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autoCompressPictures="0" defaultThemeVersion="124226"/>
  <mc:AlternateContent xmlns:mc="http://schemas.openxmlformats.org/markup-compatibility/2006">
    <mc:Choice Requires="x15">
      <x15ac:absPath xmlns:x15ac="http://schemas.microsoft.com/office/spreadsheetml/2010/11/ac" url="S:\Charter Schools\Estimate of State Aid\2019-2020\"/>
    </mc:Choice>
  </mc:AlternateContent>
  <xr:revisionPtr revIDLastSave="0" documentId="13_ncr:1_{1A72FA26-A5AE-496F-92E1-3CE694A03D45}" xr6:coauthVersionLast="43" xr6:coauthVersionMax="43" xr10:uidLastSave="{00000000-0000-0000-0000-000000000000}"/>
  <bookViews>
    <workbookView xWindow="28680" yWindow="-120" windowWidth="29040" windowHeight="15840" xr2:uid="{00000000-000D-0000-FFFF-FFFF00000000}"/>
  </bookViews>
  <sheets>
    <sheet name="ESTIMATE DATA ENTRY " sheetId="16" r:id="rId1"/>
    <sheet name="HB3 STATE AID" sheetId="62" r:id="rId2"/>
    <sheet name="PRIOR LAW STATE AID" sheetId="26" r:id="rId3"/>
    <sheet name="PAYMENT CALCULATOR" sheetId="58" r:id="rId4"/>
    <sheet name="ENROLLMENT MAX" sheetId="64" state="hidden" r:id="rId5"/>
    <sheet name="SCE ESTIMATE WORKSHEET" sheetId="45" state="hidden" r:id="rId6"/>
    <sheet name="Charter Data" sheetId="20" state="hidden" r:id="rId7"/>
    <sheet name="ADA PROJECTION" sheetId="51" state="hidden" r:id="rId8"/>
    <sheet name="HB3 Transp Est source 2018" sheetId="66" state="hidden" r:id="rId9"/>
    <sheet name="FORMULA TRANSITION GRANT" sheetId="67" state="hidden" r:id="rId10"/>
    <sheet name="INITIAL SOF" sheetId="63" state="hidden" r:id="rId11"/>
  </sheets>
  <definedNames>
    <definedName name="_cdn1" localSheetId="1">#REF!</definedName>
    <definedName name="_cdn1">#REF!</definedName>
    <definedName name="_cdn10" localSheetId="1">#REF!</definedName>
    <definedName name="_cdn10">#REF!</definedName>
    <definedName name="_cdn11" localSheetId="1">#REF!</definedName>
    <definedName name="_cdn11">#REF!</definedName>
    <definedName name="_cdn12" localSheetId="1">#REF!</definedName>
    <definedName name="_cdn12">#REF!</definedName>
    <definedName name="_cdn13" localSheetId="1">#REF!</definedName>
    <definedName name="_cdn13">#REF!</definedName>
    <definedName name="_cdn14" localSheetId="1">#REF!</definedName>
    <definedName name="_cdn14">#REF!</definedName>
    <definedName name="_cdn15" localSheetId="1">#REF!</definedName>
    <definedName name="_cdn15">#REF!</definedName>
    <definedName name="_cdn16" localSheetId="1">#REF!</definedName>
    <definedName name="_cdn16">#REF!</definedName>
    <definedName name="_cdn17" localSheetId="1">#REF!</definedName>
    <definedName name="_cdn17">#REF!</definedName>
    <definedName name="_cdn18" localSheetId="1">#REF!</definedName>
    <definedName name="_cdn18">#REF!</definedName>
    <definedName name="_cdn19" localSheetId="1">#REF!</definedName>
    <definedName name="_cdn19">#REF!</definedName>
    <definedName name="_cdn2" localSheetId="1">#REF!</definedName>
    <definedName name="_cdn2">#REF!</definedName>
    <definedName name="_cdn20" localSheetId="1">#REF!</definedName>
    <definedName name="_cdn20">#REF!</definedName>
    <definedName name="_cdn21" localSheetId="1">#REF!</definedName>
    <definedName name="_cdn21">#REF!</definedName>
    <definedName name="_cdn22" localSheetId="1">#REF!</definedName>
    <definedName name="_cdn22">#REF!</definedName>
    <definedName name="_cdn23" localSheetId="1">#REF!</definedName>
    <definedName name="_cdn23">#REF!</definedName>
    <definedName name="_cdn24" localSheetId="1">#REF!</definedName>
    <definedName name="_cdn24">#REF!</definedName>
    <definedName name="_cdn25" localSheetId="1">#REF!</definedName>
    <definedName name="_cdn25">#REF!</definedName>
    <definedName name="_cdn26" localSheetId="1">#REF!</definedName>
    <definedName name="_cdn26">#REF!</definedName>
    <definedName name="_cdn27" localSheetId="1">#REF!</definedName>
    <definedName name="_cdn27">#REF!</definedName>
    <definedName name="_cdn28" localSheetId="1">#REF!</definedName>
    <definedName name="_cdn28">#REF!</definedName>
    <definedName name="_cdn29" localSheetId="1">#REF!</definedName>
    <definedName name="_cdn29">#REF!</definedName>
    <definedName name="_cdn3" localSheetId="1">#REF!</definedName>
    <definedName name="_cdn3">#REF!</definedName>
    <definedName name="_cdn30" localSheetId="1">#REF!</definedName>
    <definedName name="_cdn30">#REF!</definedName>
    <definedName name="_cdn31" localSheetId="1">#REF!</definedName>
    <definedName name="_cdn31">#REF!</definedName>
    <definedName name="_cdn32" localSheetId="1">#REF!</definedName>
    <definedName name="_cdn32">#REF!</definedName>
    <definedName name="_cdn33" localSheetId="1">#REF!</definedName>
    <definedName name="_cdn33">#REF!</definedName>
    <definedName name="_cdn34" localSheetId="1">#REF!</definedName>
    <definedName name="_cdn34">#REF!</definedName>
    <definedName name="_cdn35" localSheetId="1">#REF!</definedName>
    <definedName name="_cdn35">#REF!</definedName>
    <definedName name="_cdn36" localSheetId="1">#REF!</definedName>
    <definedName name="_cdn36">#REF!</definedName>
    <definedName name="_cdn37" localSheetId="1">#REF!</definedName>
    <definedName name="_cdn37">#REF!</definedName>
    <definedName name="_cdn38" localSheetId="1">#REF!</definedName>
    <definedName name="_cdn38">#REF!</definedName>
    <definedName name="_cdn39" localSheetId="1">#REF!</definedName>
    <definedName name="_cdn39">#REF!</definedName>
    <definedName name="_cdn4" localSheetId="1">#REF!</definedName>
    <definedName name="_cdn4">#REF!</definedName>
    <definedName name="_cdn40" localSheetId="1">#REF!</definedName>
    <definedName name="_cdn40">#REF!</definedName>
    <definedName name="_cdn5" localSheetId="1">#REF!</definedName>
    <definedName name="_cdn5">#REF!</definedName>
    <definedName name="_cdn6" localSheetId="1">#REF!</definedName>
    <definedName name="_cdn6">#REF!</definedName>
    <definedName name="_cdn7" localSheetId="1">#REF!</definedName>
    <definedName name="_cdn7">#REF!</definedName>
    <definedName name="_cdn8" localSheetId="1">#REF!</definedName>
    <definedName name="_cdn8">#REF!</definedName>
    <definedName name="_cdn9" localSheetId="1">#REF!</definedName>
    <definedName name="_cdn9">#REF!</definedName>
    <definedName name="admin" localSheetId="1">#REF!</definedName>
    <definedName name="admin">#REF!</definedName>
    <definedName name="data" localSheetId="1">#REF!</definedName>
    <definedName name="data">#REF!</definedName>
    <definedName name="data2" localSheetId="1">#REF!</definedName>
    <definedName name="data2">#REF!</definedName>
    <definedName name="data3" localSheetId="1">#REF!</definedName>
    <definedName name="data3">#REF!</definedName>
    <definedName name="data4" localSheetId="1">#REF!</definedName>
    <definedName name="data4">#REF!</definedName>
    <definedName name="data5" localSheetId="1">#REF!</definedName>
    <definedName name="data5">#REF!</definedName>
    <definedName name="isdcdn" localSheetId="1">#REF!</definedName>
    <definedName name="isdcdn">#REF!</definedName>
    <definedName name="_xlnm.Print_Area" localSheetId="7">'ADA PROJECTION'!$A$1:$S$43</definedName>
    <definedName name="_xlnm.Print_Area" localSheetId="6">'Charter Data'!$A$1:$E$162</definedName>
    <definedName name="_xlnm.Print_Area" localSheetId="0">'ESTIMATE DATA ENTRY '!$A$1:$D$78</definedName>
    <definedName name="_xlnm.Print_Area" localSheetId="1">'HB3 STATE AID'!$A$1:$E$127</definedName>
    <definedName name="_xlnm.Print_Area" localSheetId="3">'PAYMENT CALCULATOR'!$A$2:$O$37</definedName>
    <definedName name="_xlnm.Print_Area" localSheetId="2">'PRIOR LAW STATE AID'!$A$8:$E$99</definedName>
    <definedName name="_xlnm.Print_Area" localSheetId="5">'SCE ESTIMATE WORKSHEET'!$A$1:$Z$47</definedName>
    <definedName name="_xlnm.Print_Titles" localSheetId="7">'ADA PROJECTION'!$2:$2</definedName>
    <definedName name="_xlnm.Print_Titles" localSheetId="6">'Charter Data'!$1:$5</definedName>
    <definedName name="_xlnm.Print_Titles" localSheetId="1">'HB3 STATE AID'!$1:$7</definedName>
    <definedName name="_xlnm.Print_Titles" localSheetId="3">'PAYMENT CALCULATOR'!$1:$1</definedName>
    <definedName name="_xlnm.Print_Titles" localSheetId="2">'PRIOR LAW STATE AID'!$1:$7</definedName>
    <definedName name="Table">#REF!</definedName>
    <definedName name="Table1">#REF!</definedName>
    <definedName name="TABLE2">'INITIAL SOF'!$A:$HD</definedName>
    <definedName name="whatif" localSheetId="1">#REF!</definedName>
    <definedName name="whatif">#REF!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1" i="62" l="1"/>
  <c r="D40" i="62" l="1"/>
  <c r="D4" i="16" l="1"/>
  <c r="D61" i="62" l="1"/>
  <c r="C61" i="62"/>
  <c r="C10" i="26" s="1"/>
  <c r="E6" i="26" l="1"/>
  <c r="D42" i="62" l="1"/>
  <c r="D32" i="62"/>
  <c r="D31" i="62"/>
  <c r="D30" i="62"/>
  <c r="D29" i="62"/>
  <c r="D27" i="62"/>
  <c r="D25" i="62"/>
  <c r="D24" i="62"/>
  <c r="D23" i="62"/>
  <c r="D19" i="62"/>
  <c r="D18" i="62"/>
  <c r="D17" i="62"/>
  <c r="D16" i="62"/>
  <c r="D15" i="62"/>
  <c r="D14" i="62"/>
  <c r="D13" i="62"/>
  <c r="D12" i="62"/>
  <c r="D11" i="62"/>
  <c r="D10" i="62"/>
  <c r="E44" i="26"/>
  <c r="E10" i="26"/>
  <c r="D39" i="26"/>
  <c r="C118" i="62"/>
  <c r="E117" i="62"/>
  <c r="E118" i="62" s="1"/>
  <c r="D117" i="62"/>
  <c r="D118" i="62" s="1"/>
  <c r="C117" i="62"/>
  <c r="E85" i="26" l="1"/>
  <c r="E84" i="26"/>
  <c r="E43" i="26"/>
  <c r="E38" i="26"/>
  <c r="E39" i="26"/>
  <c r="E37" i="26"/>
  <c r="E26" i="26"/>
  <c r="E27" i="26"/>
  <c r="E28" i="26"/>
  <c r="E29" i="26"/>
  <c r="E30" i="26"/>
  <c r="E31" i="26"/>
  <c r="E32" i="26"/>
  <c r="E33" i="26"/>
  <c r="E34" i="26"/>
  <c r="E25" i="26"/>
  <c r="E13" i="26"/>
  <c r="E14" i="26"/>
  <c r="E15" i="26"/>
  <c r="E16" i="26"/>
  <c r="E17" i="26"/>
  <c r="E18" i="26"/>
  <c r="E19" i="26"/>
  <c r="E20" i="26"/>
  <c r="E21" i="26"/>
  <c r="E12" i="26"/>
  <c r="E8" i="26"/>
  <c r="A57" i="16" l="1"/>
  <c r="J19" i="67" l="1"/>
  <c r="J18" i="67"/>
  <c r="J14" i="67"/>
  <c r="D19" i="67"/>
  <c r="D18" i="67"/>
  <c r="D14" i="67"/>
  <c r="J13" i="67" l="1"/>
  <c r="D13" i="67"/>
  <c r="D44" i="62" l="1"/>
  <c r="E51" i="62" l="1"/>
  <c r="E81" i="62" l="1"/>
  <c r="J6" i="67" s="1"/>
  <c r="G106" i="66" l="1"/>
  <c r="G14" i="66"/>
  <c r="G37" i="66"/>
  <c r="G41" i="66"/>
  <c r="G5" i="66"/>
  <c r="G8" i="66"/>
  <c r="G114" i="66"/>
  <c r="G33" i="66"/>
  <c r="G90" i="66"/>
  <c r="G122" i="66"/>
  <c r="G133" i="66"/>
  <c r="G147" i="66"/>
  <c r="G179" i="66"/>
  <c r="G180" i="66"/>
  <c r="G3" i="66"/>
  <c r="G72" i="66"/>
  <c r="G73" i="66"/>
  <c r="G103" i="66"/>
  <c r="G138" i="66"/>
  <c r="G154" i="66"/>
  <c r="G164" i="66"/>
  <c r="G166" i="66"/>
  <c r="G52" i="66"/>
  <c r="G54" i="66"/>
  <c r="G55" i="66"/>
  <c r="G80" i="66"/>
  <c r="G85" i="66"/>
  <c r="G98" i="66"/>
  <c r="G123" i="66"/>
  <c r="G146" i="66"/>
  <c r="G161" i="66"/>
  <c r="G169" i="66"/>
  <c r="G13" i="66"/>
  <c r="G49" i="66"/>
  <c r="G165" i="66"/>
  <c r="G17" i="66"/>
  <c r="G21" i="66"/>
  <c r="G50" i="66"/>
  <c r="G74" i="66"/>
  <c r="G124" i="66"/>
  <c r="G182" i="66"/>
  <c r="G83" i="66"/>
  <c r="G94" i="66"/>
  <c r="G99" i="66"/>
  <c r="G135" i="66"/>
  <c r="G151" i="66"/>
  <c r="G4" i="66"/>
  <c r="G26" i="66"/>
  <c r="G31" i="66"/>
  <c r="G32" i="66"/>
  <c r="G42" i="66"/>
  <c r="G56" i="66"/>
  <c r="G69" i="66"/>
  <c r="G70" i="66"/>
  <c r="G77" i="66"/>
  <c r="G88" i="66"/>
  <c r="G89" i="66"/>
  <c r="G92" i="66"/>
  <c r="G93" i="66"/>
  <c r="G102" i="66"/>
  <c r="G113" i="66"/>
  <c r="G127" i="66"/>
  <c r="G130" i="66"/>
  <c r="G134" i="66"/>
  <c r="G137" i="66"/>
  <c r="G142" i="66"/>
  <c r="G143" i="66"/>
  <c r="G144" i="66"/>
  <c r="G152" i="66"/>
  <c r="G157" i="66"/>
  <c r="G158" i="66"/>
  <c r="G167" i="66"/>
  <c r="G175" i="66"/>
  <c r="G183" i="66"/>
  <c r="G84" i="66"/>
  <c r="G18" i="66"/>
  <c r="G65" i="66"/>
  <c r="G116" i="66"/>
  <c r="G178" i="66"/>
  <c r="G61" i="66"/>
  <c r="G7" i="66"/>
  <c r="G20" i="66"/>
  <c r="G24" i="66"/>
  <c r="G60" i="66"/>
  <c r="G64" i="66"/>
  <c r="G75" i="66"/>
  <c r="G101" i="66"/>
  <c r="G107" i="66"/>
  <c r="G139" i="66"/>
  <c r="G145" i="66"/>
  <c r="G153" i="66"/>
  <c r="G156" i="66"/>
  <c r="G108" i="66"/>
  <c r="G168" i="66"/>
  <c r="G38" i="66"/>
  <c r="G76" i="66"/>
  <c r="G82" i="66"/>
  <c r="G105" i="66"/>
  <c r="G140" i="66"/>
  <c r="G172" i="66"/>
  <c r="G81" i="66"/>
  <c r="G104" i="66"/>
  <c r="G132" i="66"/>
  <c r="G181" i="66"/>
  <c r="G184" i="66"/>
  <c r="G25" i="66"/>
  <c r="G95" i="66"/>
  <c r="G110" i="66"/>
  <c r="G126" i="66"/>
  <c r="G35" i="66"/>
  <c r="G150" i="66"/>
  <c r="G39" i="66"/>
  <c r="G159" i="66"/>
  <c r="G163" i="66"/>
  <c r="G43" i="66"/>
  <c r="G58" i="66"/>
  <c r="G62" i="66"/>
  <c r="G155" i="66"/>
  <c r="G160" i="66"/>
  <c r="G162" i="66"/>
  <c r="G68" i="66"/>
  <c r="G67" i="66"/>
  <c r="G16" i="66"/>
  <c r="G149" i="66"/>
  <c r="G19" i="66"/>
  <c r="G22" i="66"/>
  <c r="G27" i="66"/>
  <c r="G115" i="66"/>
  <c r="G117" i="66"/>
  <c r="G47" i="66"/>
  <c r="G128" i="66"/>
  <c r="G118" i="66"/>
  <c r="G136" i="66"/>
  <c r="G28" i="66"/>
  <c r="G119" i="66"/>
  <c r="F106" i="66"/>
  <c r="F14" i="66"/>
  <c r="F37" i="66"/>
  <c r="F41" i="66"/>
  <c r="F5" i="66"/>
  <c r="F8" i="66"/>
  <c r="F114" i="66"/>
  <c r="F33" i="66"/>
  <c r="F90" i="66"/>
  <c r="F122" i="66"/>
  <c r="F133" i="66"/>
  <c r="F147" i="66"/>
  <c r="F179" i="66"/>
  <c r="F180" i="66"/>
  <c r="F3" i="66"/>
  <c r="F72" i="66"/>
  <c r="F73" i="66"/>
  <c r="F103" i="66"/>
  <c r="F138" i="66"/>
  <c r="F154" i="66"/>
  <c r="F164" i="66"/>
  <c r="F166" i="66"/>
  <c r="F52" i="66"/>
  <c r="F54" i="66"/>
  <c r="F55" i="66"/>
  <c r="F80" i="66"/>
  <c r="F85" i="66"/>
  <c r="F98" i="66"/>
  <c r="F123" i="66"/>
  <c r="F146" i="66"/>
  <c r="F161" i="66"/>
  <c r="F169" i="66"/>
  <c r="F13" i="66"/>
  <c r="F49" i="66"/>
  <c r="F165" i="66"/>
  <c r="F17" i="66"/>
  <c r="F21" i="66"/>
  <c r="F50" i="66"/>
  <c r="F74" i="66"/>
  <c r="F124" i="66"/>
  <c r="F182" i="66"/>
  <c r="F83" i="66"/>
  <c r="F94" i="66"/>
  <c r="F99" i="66"/>
  <c r="F135" i="66"/>
  <c r="F151" i="66"/>
  <c r="F4" i="66"/>
  <c r="F26" i="66"/>
  <c r="F31" i="66"/>
  <c r="F32" i="66"/>
  <c r="F42" i="66"/>
  <c r="F56" i="66"/>
  <c r="F69" i="66"/>
  <c r="F70" i="66"/>
  <c r="F77" i="66"/>
  <c r="F88" i="66"/>
  <c r="F89" i="66"/>
  <c r="F92" i="66"/>
  <c r="F93" i="66"/>
  <c r="F102" i="66"/>
  <c r="F113" i="66"/>
  <c r="F127" i="66"/>
  <c r="F130" i="66"/>
  <c r="F134" i="66"/>
  <c r="F137" i="66"/>
  <c r="F142" i="66"/>
  <c r="F143" i="66"/>
  <c r="F144" i="66"/>
  <c r="F152" i="66"/>
  <c r="F157" i="66"/>
  <c r="F158" i="66"/>
  <c r="F167" i="66"/>
  <c r="F175" i="66"/>
  <c r="F183" i="66"/>
  <c r="F84" i="66"/>
  <c r="F18" i="66"/>
  <c r="F65" i="66"/>
  <c r="F116" i="66"/>
  <c r="F178" i="66"/>
  <c r="F61" i="66"/>
  <c r="F7" i="66"/>
  <c r="F20" i="66"/>
  <c r="F24" i="66"/>
  <c r="F60" i="66"/>
  <c r="F64" i="66"/>
  <c r="F75" i="66"/>
  <c r="F101" i="66"/>
  <c r="F107" i="66"/>
  <c r="F139" i="66"/>
  <c r="F145" i="66"/>
  <c r="F153" i="66"/>
  <c r="F156" i="66"/>
  <c r="F108" i="66"/>
  <c r="F168" i="66"/>
  <c r="F38" i="66"/>
  <c r="F76" i="66"/>
  <c r="F82" i="66"/>
  <c r="F105" i="66"/>
  <c r="F140" i="66"/>
  <c r="F172" i="66"/>
  <c r="F81" i="66"/>
  <c r="F104" i="66"/>
  <c r="F132" i="66"/>
  <c r="F181" i="66"/>
  <c r="F184" i="66"/>
  <c r="F25" i="66"/>
  <c r="F95" i="66"/>
  <c r="F110" i="66"/>
  <c r="F126" i="66"/>
  <c r="F35" i="66"/>
  <c r="F150" i="66"/>
  <c r="F39" i="66"/>
  <c r="F159" i="66"/>
  <c r="F163" i="66"/>
  <c r="F43" i="66"/>
  <c r="F58" i="66"/>
  <c r="F62" i="66"/>
  <c r="F155" i="66"/>
  <c r="F160" i="66"/>
  <c r="F162" i="66"/>
  <c r="F68" i="66"/>
  <c r="F67" i="66"/>
  <c r="F16" i="66"/>
  <c r="F149" i="66"/>
  <c r="F19" i="66"/>
  <c r="F22" i="66"/>
  <c r="F27" i="66"/>
  <c r="F115" i="66"/>
  <c r="F117" i="66"/>
  <c r="F47" i="66"/>
  <c r="F128" i="66"/>
  <c r="F118" i="66"/>
  <c r="F136" i="66"/>
  <c r="F28" i="66"/>
  <c r="F119" i="66"/>
  <c r="A2" i="26"/>
  <c r="G9" i="66"/>
  <c r="G10" i="66"/>
  <c r="G11" i="66"/>
  <c r="G12" i="66"/>
  <c r="G15" i="66"/>
  <c r="G23" i="66"/>
  <c r="G29" i="66"/>
  <c r="G30" i="66"/>
  <c r="G34" i="66"/>
  <c r="G36" i="66"/>
  <c r="G40" i="66"/>
  <c r="G44" i="66"/>
  <c r="G45" i="66"/>
  <c r="G46" i="66"/>
  <c r="G48" i="66"/>
  <c r="G51" i="66"/>
  <c r="G53" i="66"/>
  <c r="G57" i="66"/>
  <c r="G59" i="66"/>
  <c r="G63" i="66"/>
  <c r="G66" i="66"/>
  <c r="G71" i="66"/>
  <c r="G78" i="66"/>
  <c r="G79" i="66"/>
  <c r="G86" i="66"/>
  <c r="G87" i="66"/>
  <c r="G91" i="66"/>
  <c r="G96" i="66"/>
  <c r="G97" i="66"/>
  <c r="G100" i="66"/>
  <c r="G109" i="66"/>
  <c r="G111" i="66"/>
  <c r="G112" i="66"/>
  <c r="G120" i="66"/>
  <c r="G121" i="66"/>
  <c r="G125" i="66"/>
  <c r="G129" i="66"/>
  <c r="G131" i="66"/>
  <c r="G141" i="66"/>
  <c r="G148" i="66"/>
  <c r="G170" i="66"/>
  <c r="G171" i="66"/>
  <c r="G173" i="66"/>
  <c r="G174" i="66"/>
  <c r="G176" i="66"/>
  <c r="G177" i="66"/>
  <c r="G6" i="66"/>
  <c r="C70" i="16"/>
  <c r="C69" i="16"/>
  <c r="F177" i="66"/>
  <c r="F176" i="66"/>
  <c r="F79" i="66"/>
  <c r="F78" i="66"/>
  <c r="F63" i="66"/>
  <c r="F57" i="66"/>
  <c r="F48" i="66"/>
  <c r="F36" i="66"/>
  <c r="F34" i="66"/>
  <c r="F23" i="66"/>
  <c r="F15" i="66"/>
  <c r="F10" i="66"/>
  <c r="F125" i="66"/>
  <c r="F100" i="66"/>
  <c r="F171" i="66"/>
  <c r="F40" i="66"/>
  <c r="F141" i="66"/>
  <c r="F109" i="66"/>
  <c r="F9" i="66"/>
  <c r="F148" i="66"/>
  <c r="F120" i="66"/>
  <c r="F59" i="66"/>
  <c r="F6" i="66"/>
  <c r="F11" i="66"/>
  <c r="F91" i="66"/>
  <c r="F51" i="66"/>
  <c r="F174" i="66"/>
  <c r="F44" i="66"/>
  <c r="F97" i="66"/>
  <c r="F46" i="66"/>
  <c r="F173" i="66"/>
  <c r="F112" i="66"/>
  <c r="F66" i="66"/>
  <c r="F71" i="66"/>
  <c r="F86" i="66"/>
  <c r="F53" i="66"/>
  <c r="F129" i="66"/>
  <c r="F29" i="66"/>
  <c r="F87" i="66"/>
  <c r="F121" i="66"/>
  <c r="F111" i="66"/>
  <c r="F96" i="66"/>
  <c r="F30" i="66"/>
  <c r="F12" i="66"/>
  <c r="F170" i="66"/>
  <c r="F131" i="66"/>
  <c r="F45" i="66"/>
  <c r="E42" i="26" l="1"/>
  <c r="E41" i="26"/>
  <c r="E9" i="26"/>
  <c r="E83" i="26"/>
  <c r="E50" i="26"/>
  <c r="E49" i="26"/>
  <c r="C73" i="16"/>
  <c r="C72" i="16"/>
  <c r="C71" i="16"/>
  <c r="D105" i="62"/>
  <c r="G19" i="67" s="1"/>
  <c r="D104" i="62"/>
  <c r="G18" i="67" s="1"/>
  <c r="D94" i="62"/>
  <c r="D93" i="62"/>
  <c r="G14" i="67" l="1"/>
  <c r="G13" i="67"/>
  <c r="E103" i="62"/>
  <c r="J17" i="67" s="1"/>
  <c r="C103" i="62"/>
  <c r="D17" i="67" s="1"/>
  <c r="E91" i="62"/>
  <c r="J11" i="67" s="1"/>
  <c r="D56" i="62"/>
  <c r="D57" i="62"/>
  <c r="D55" i="62"/>
  <c r="D54" i="62"/>
  <c r="D103" i="62" s="1"/>
  <c r="G17" i="67" s="1"/>
  <c r="D53" i="62"/>
  <c r="D44" i="26"/>
  <c r="C74" i="16" l="1"/>
  <c r="A47" i="16"/>
  <c r="D38" i="62" l="1"/>
  <c r="D37" i="62"/>
  <c r="E83" i="62" l="1"/>
  <c r="J22" i="67"/>
  <c r="E92" i="62"/>
  <c r="J12" i="67" s="1"/>
  <c r="D92" i="62"/>
  <c r="G12" i="67" s="1"/>
  <c r="C92" i="62"/>
  <c r="D12" i="67" s="1"/>
  <c r="C53" i="62" l="1"/>
  <c r="C91" i="62" s="1"/>
  <c r="D11" i="67" s="1"/>
  <c r="C52" i="62"/>
  <c r="D52" i="62"/>
  <c r="E39" i="62"/>
  <c r="E86" i="62" s="1"/>
  <c r="J8" i="67" s="1"/>
  <c r="C81" i="26" l="1"/>
  <c r="C16" i="67" s="1"/>
  <c r="A1" i="26"/>
  <c r="C8" i="62"/>
  <c r="C95" i="62" s="1"/>
  <c r="D22" i="67" s="1"/>
  <c r="C10" i="62"/>
  <c r="C11" i="62"/>
  <c r="C12" i="62"/>
  <c r="C13" i="62"/>
  <c r="C14" i="62"/>
  <c r="C15" i="62"/>
  <c r="C16" i="62"/>
  <c r="C17" i="62"/>
  <c r="C18" i="62"/>
  <c r="C78" i="62" s="1"/>
  <c r="C19" i="62"/>
  <c r="C77" i="62" s="1"/>
  <c r="C41" i="62"/>
  <c r="C88" i="62" s="1"/>
  <c r="D9" i="67" s="1"/>
  <c r="C40" i="62"/>
  <c r="C76" i="62" s="1"/>
  <c r="C23" i="62"/>
  <c r="C24" i="62"/>
  <c r="C25" i="62"/>
  <c r="C26" i="62"/>
  <c r="C27" i="62"/>
  <c r="C28" i="62"/>
  <c r="C29" i="62"/>
  <c r="C30" i="62"/>
  <c r="C31" i="62"/>
  <c r="C32" i="62"/>
  <c r="C46" i="62"/>
  <c r="C51" i="62" s="1"/>
  <c r="C83" i="62" s="1"/>
  <c r="C84" i="62"/>
  <c r="C36" i="62"/>
  <c r="C42" i="62"/>
  <c r="C89" i="62" s="1"/>
  <c r="D10" i="67" s="1"/>
  <c r="E20" i="62"/>
  <c r="E43" i="62" s="1"/>
  <c r="E21" i="62"/>
  <c r="E75" i="62" s="1"/>
  <c r="E76" i="62"/>
  <c r="E77" i="62"/>
  <c r="E78" i="62"/>
  <c r="E84" i="62"/>
  <c r="E88" i="62"/>
  <c r="J9" i="67" s="1"/>
  <c r="D8" i="62"/>
  <c r="D26" i="62"/>
  <c r="D28" i="62"/>
  <c r="D36" i="62"/>
  <c r="D89" i="62"/>
  <c r="G10" i="67" s="1"/>
  <c r="D8" i="26"/>
  <c r="E23" i="26"/>
  <c r="E65" i="26" s="1"/>
  <c r="C17" i="16"/>
  <c r="C99" i="62"/>
  <c r="C100" i="62"/>
  <c r="C102" i="62"/>
  <c r="D16" i="67" s="1"/>
  <c r="C81" i="62"/>
  <c r="D6" i="67" s="1"/>
  <c r="C113" i="62"/>
  <c r="C8" i="26"/>
  <c r="C12" i="26"/>
  <c r="C13" i="26"/>
  <c r="C14" i="26"/>
  <c r="C15" i="26"/>
  <c r="C16" i="26"/>
  <c r="C17" i="26"/>
  <c r="C18" i="26"/>
  <c r="C19" i="26"/>
  <c r="C20" i="26"/>
  <c r="C21" i="26"/>
  <c r="C38" i="26"/>
  <c r="C55" i="26"/>
  <c r="C37" i="26"/>
  <c r="C25" i="26"/>
  <c r="C26" i="26"/>
  <c r="C27" i="26"/>
  <c r="C28" i="26"/>
  <c r="C29" i="26"/>
  <c r="C30" i="26"/>
  <c r="C31" i="26"/>
  <c r="C32" i="26"/>
  <c r="C33" i="26"/>
  <c r="C34" i="26"/>
  <c r="C39" i="26"/>
  <c r="C73" i="26" s="1"/>
  <c r="C10" i="67" s="1"/>
  <c r="C41" i="26"/>
  <c r="C42" i="26"/>
  <c r="C43" i="26"/>
  <c r="C44" i="26"/>
  <c r="C83" i="26"/>
  <c r="C84" i="26"/>
  <c r="C85" i="26"/>
  <c r="C9" i="26"/>
  <c r="C54" i="26"/>
  <c r="C53" i="26"/>
  <c r="C56" i="26"/>
  <c r="C57" i="26"/>
  <c r="C60" i="16"/>
  <c r="C61" i="16"/>
  <c r="D49" i="26" s="1"/>
  <c r="C62" i="16"/>
  <c r="D50" i="26" s="1"/>
  <c r="C94" i="26"/>
  <c r="C26" i="67" s="1"/>
  <c r="C58" i="26"/>
  <c r="E101" i="62"/>
  <c r="J15" i="67" s="1"/>
  <c r="E34" i="62"/>
  <c r="E79" i="62" s="1"/>
  <c r="E89" i="62"/>
  <c r="J10" i="67" s="1"/>
  <c r="E126" i="62"/>
  <c r="D112" i="62"/>
  <c r="E112" i="62"/>
  <c r="E113" i="62" s="1"/>
  <c r="J26" i="67" s="1"/>
  <c r="E33" i="62"/>
  <c r="A2" i="62"/>
  <c r="A1" i="62" s="1"/>
  <c r="A2" i="16"/>
  <c r="B4" i="45" s="1"/>
  <c r="C63" i="16"/>
  <c r="C58" i="16"/>
  <c r="D37" i="26"/>
  <c r="C52" i="26"/>
  <c r="E45" i="26"/>
  <c r="D73" i="26"/>
  <c r="F10" i="67" s="1"/>
  <c r="E35" i="26"/>
  <c r="E36" i="26"/>
  <c r="E69" i="26" s="1"/>
  <c r="E22" i="26"/>
  <c r="E40" i="26" s="1"/>
  <c r="E63" i="26" s="1"/>
  <c r="I3" i="67" s="1"/>
  <c r="D12" i="26"/>
  <c r="D13" i="26"/>
  <c r="D14" i="26"/>
  <c r="D15" i="26"/>
  <c r="D16" i="26"/>
  <c r="D17" i="26"/>
  <c r="D18" i="26"/>
  <c r="D19" i="26"/>
  <c r="D20" i="26"/>
  <c r="D21" i="26"/>
  <c r="D38" i="26"/>
  <c r="D9" i="26"/>
  <c r="D25" i="26"/>
  <c r="D26" i="26"/>
  <c r="D27" i="26"/>
  <c r="D28" i="26"/>
  <c r="D29" i="26"/>
  <c r="D30" i="26"/>
  <c r="D31" i="26"/>
  <c r="D32" i="26"/>
  <c r="D33" i="26"/>
  <c r="D34" i="26"/>
  <c r="D43" i="26"/>
  <c r="D9" i="58"/>
  <c r="C9" i="58"/>
  <c r="D7" i="58"/>
  <c r="C7" i="58"/>
  <c r="D10" i="58"/>
  <c r="C10" i="58"/>
  <c r="B41" i="51"/>
  <c r="C8" i="45"/>
  <c r="B20" i="45"/>
  <c r="B21" i="45"/>
  <c r="B19" i="45"/>
  <c r="B11" i="45"/>
  <c r="B12" i="45"/>
  <c r="B13" i="45"/>
  <c r="B14" i="45"/>
  <c r="B15" i="45"/>
  <c r="B16" i="45"/>
  <c r="B17" i="45"/>
  <c r="B18" i="45"/>
  <c r="B10" i="45"/>
  <c r="E8" i="45"/>
  <c r="A21" i="45"/>
  <c r="A20" i="45"/>
  <c r="A19" i="45"/>
  <c r="E9" i="45"/>
  <c r="D8" i="45"/>
  <c r="B3" i="45"/>
  <c r="A10" i="45"/>
  <c r="A18" i="45"/>
  <c r="A17" i="45"/>
  <c r="A16" i="45"/>
  <c r="A15" i="45"/>
  <c r="A14" i="45"/>
  <c r="A13" i="45"/>
  <c r="A12" i="45"/>
  <c r="A11" i="45"/>
  <c r="E10" i="45"/>
  <c r="E11" i="45"/>
  <c r="E12" i="45"/>
  <c r="E13" i="45"/>
  <c r="E14" i="45"/>
  <c r="E15" i="45"/>
  <c r="E16" i="45"/>
  <c r="E17" i="45"/>
  <c r="E18" i="45"/>
  <c r="E19" i="45"/>
  <c r="E20" i="45"/>
  <c r="E21" i="45"/>
  <c r="D47" i="26"/>
  <c r="D94" i="26" s="1"/>
  <c r="F26" i="67" s="1"/>
  <c r="E75" i="26"/>
  <c r="I20" i="67" s="1"/>
  <c r="E80" i="26"/>
  <c r="I8" i="67" s="1"/>
  <c r="E66" i="26"/>
  <c r="E72" i="26"/>
  <c r="E77" i="26"/>
  <c r="E78" i="26"/>
  <c r="E87" i="26"/>
  <c r="I21" i="67" s="1"/>
  <c r="E47" i="26"/>
  <c r="E94" i="26" s="1"/>
  <c r="I26" i="67" s="1"/>
  <c r="E73" i="26"/>
  <c r="I10" i="67" s="1"/>
  <c r="D8" i="51"/>
  <c r="E8" i="51"/>
  <c r="D9" i="51"/>
  <c r="E9" i="51"/>
  <c r="B10" i="51"/>
  <c r="B12" i="51"/>
  <c r="C10" i="51"/>
  <c r="C12" i="51"/>
  <c r="D11" i="51"/>
  <c r="E11" i="51"/>
  <c r="D14" i="51"/>
  <c r="E14" i="51"/>
  <c r="D16" i="51"/>
  <c r="E16" i="51"/>
  <c r="F16" i="51"/>
  <c r="G16" i="51"/>
  <c r="H16" i="51"/>
  <c r="D18" i="51"/>
  <c r="E18" i="51"/>
  <c r="D43" i="51"/>
  <c r="E43" i="51"/>
  <c r="D32" i="51"/>
  <c r="E32" i="51"/>
  <c r="F32" i="51"/>
  <c r="G32" i="51"/>
  <c r="D33" i="51"/>
  <c r="E33" i="51"/>
  <c r="F33" i="51"/>
  <c r="G33" i="51"/>
  <c r="H33" i="51"/>
  <c r="D34" i="51"/>
  <c r="E34" i="51"/>
  <c r="F34" i="51"/>
  <c r="G34" i="51"/>
  <c r="H34" i="51"/>
  <c r="D35" i="51"/>
  <c r="D36" i="51"/>
  <c r="E36" i="51"/>
  <c r="D37" i="51"/>
  <c r="E37" i="51"/>
  <c r="F37" i="51"/>
  <c r="G37" i="51"/>
  <c r="H37" i="51"/>
  <c r="D38" i="51"/>
  <c r="E38" i="51"/>
  <c r="F38" i="51"/>
  <c r="G38" i="51"/>
  <c r="H38" i="51"/>
  <c r="D39" i="51"/>
  <c r="E39" i="51"/>
  <c r="D40" i="51"/>
  <c r="E40" i="51"/>
  <c r="D31" i="51"/>
  <c r="E31" i="51"/>
  <c r="D24" i="51"/>
  <c r="E24" i="51"/>
  <c r="F24" i="51"/>
  <c r="D25" i="51"/>
  <c r="E25" i="51"/>
  <c r="F25" i="51"/>
  <c r="G25" i="51"/>
  <c r="H25" i="51"/>
  <c r="I25" i="51"/>
  <c r="D26" i="51"/>
  <c r="E26" i="51"/>
  <c r="F26" i="51"/>
  <c r="G26" i="51"/>
  <c r="H26" i="51"/>
  <c r="D27" i="51"/>
  <c r="E27" i="51"/>
  <c r="D28" i="51"/>
  <c r="E28" i="51"/>
  <c r="D23" i="51"/>
  <c r="E23" i="51"/>
  <c r="D19" i="51"/>
  <c r="E19" i="51"/>
  <c r="F19" i="51"/>
  <c r="D17" i="51"/>
  <c r="E17" i="51"/>
  <c r="F17" i="51"/>
  <c r="G17" i="51"/>
  <c r="H17" i="51"/>
  <c r="D13" i="51"/>
  <c r="E13" i="51"/>
  <c r="F13" i="51"/>
  <c r="C41" i="51"/>
  <c r="C29" i="51"/>
  <c r="B29" i="51"/>
  <c r="B42" i="51"/>
  <c r="D21" i="51"/>
  <c r="D20" i="51"/>
  <c r="D15" i="51"/>
  <c r="E15" i="51"/>
  <c r="F15" i="51"/>
  <c r="G15" i="51"/>
  <c r="C42" i="51"/>
  <c r="F23" i="51"/>
  <c r="G23" i="51"/>
  <c r="H23" i="51"/>
  <c r="D10" i="51"/>
  <c r="D12" i="51"/>
  <c r="E21" i="51"/>
  <c r="F21" i="51"/>
  <c r="G21" i="51"/>
  <c r="H21" i="51"/>
  <c r="F18" i="51"/>
  <c r="G18" i="51"/>
  <c r="H18" i="51"/>
  <c r="F28" i="51"/>
  <c r="G28" i="51"/>
  <c r="H28" i="51"/>
  <c r="F14" i="51"/>
  <c r="G14" i="51"/>
  <c r="H14" i="51"/>
  <c r="I33" i="51"/>
  <c r="F39" i="51"/>
  <c r="G39" i="51"/>
  <c r="H39" i="51"/>
  <c r="F27" i="51"/>
  <c r="G27" i="51"/>
  <c r="H27" i="51"/>
  <c r="F11" i="51"/>
  <c r="G11" i="51"/>
  <c r="H11" i="51"/>
  <c r="H15" i="51"/>
  <c r="I15" i="51"/>
  <c r="G19" i="51"/>
  <c r="H19" i="51"/>
  <c r="H32" i="51"/>
  <c r="I32" i="51"/>
  <c r="G24" i="51"/>
  <c r="H24" i="51"/>
  <c r="F36" i="51"/>
  <c r="G36" i="51"/>
  <c r="H36" i="51"/>
  <c r="F9" i="51"/>
  <c r="G9" i="51"/>
  <c r="H9" i="51"/>
  <c r="F43" i="51"/>
  <c r="G43" i="51"/>
  <c r="H43" i="51"/>
  <c r="F8" i="51"/>
  <c r="E10" i="51"/>
  <c r="I34" i="51"/>
  <c r="I38" i="51"/>
  <c r="E20" i="51"/>
  <c r="F20" i="51"/>
  <c r="G20" i="51"/>
  <c r="H20" i="51"/>
  <c r="G13" i="51"/>
  <c r="F31" i="51"/>
  <c r="E35" i="51"/>
  <c r="F35" i="51"/>
  <c r="G35" i="51"/>
  <c r="H35" i="51"/>
  <c r="E29" i="51"/>
  <c r="I37" i="51"/>
  <c r="I26" i="51"/>
  <c r="D29" i="51"/>
  <c r="I17" i="51"/>
  <c r="F40" i="51"/>
  <c r="G40" i="51"/>
  <c r="H40" i="51"/>
  <c r="I16" i="51"/>
  <c r="D41" i="51"/>
  <c r="E29" i="45"/>
  <c r="E28" i="45"/>
  <c r="E27" i="45"/>
  <c r="E26" i="45"/>
  <c r="E25" i="45"/>
  <c r="E24" i="45"/>
  <c r="E68" i="26"/>
  <c r="E67" i="26"/>
  <c r="I18" i="51"/>
  <c r="I9" i="51"/>
  <c r="I27" i="51"/>
  <c r="G29" i="51"/>
  <c r="I23" i="51"/>
  <c r="I11" i="51"/>
  <c r="H29" i="51"/>
  <c r="I39" i="51"/>
  <c r="I21" i="51"/>
  <c r="E12" i="51"/>
  <c r="G31" i="51"/>
  <c r="F41" i="51"/>
  <c r="G8" i="51"/>
  <c r="F10" i="51"/>
  <c r="F12" i="51"/>
  <c r="I24" i="51"/>
  <c r="I14" i="51"/>
  <c r="D42" i="51"/>
  <c r="I43" i="51"/>
  <c r="I36" i="51"/>
  <c r="I19" i="51"/>
  <c r="I28" i="51"/>
  <c r="H13" i="51"/>
  <c r="I13" i="51"/>
  <c r="I35" i="51"/>
  <c r="I20" i="51"/>
  <c r="E41" i="51"/>
  <c r="F29" i="51"/>
  <c r="I40" i="51"/>
  <c r="E30" i="45"/>
  <c r="F42" i="51"/>
  <c r="E42" i="51"/>
  <c r="H8" i="51"/>
  <c r="H10" i="51"/>
  <c r="H12" i="51"/>
  <c r="G10" i="51"/>
  <c r="H31" i="51"/>
  <c r="H41" i="51"/>
  <c r="H42" i="51"/>
  <c r="G41" i="51"/>
  <c r="G42" i="51"/>
  <c r="I29" i="51"/>
  <c r="I8" i="51"/>
  <c r="I42" i="51"/>
  <c r="G12" i="51"/>
  <c r="I12" i="51"/>
  <c r="I10" i="51"/>
  <c r="I31" i="51"/>
  <c r="I41" i="51"/>
  <c r="D26" i="67" l="1"/>
  <c r="D113" i="62"/>
  <c r="G26" i="67" s="1"/>
  <c r="D50" i="62"/>
  <c r="D46" i="62"/>
  <c r="D47" i="62"/>
  <c r="D48" i="62"/>
  <c r="D49" i="62"/>
  <c r="D98" i="62"/>
  <c r="C98" i="62"/>
  <c r="C101" i="62" s="1"/>
  <c r="D15" i="67" s="1"/>
  <c r="D100" i="62"/>
  <c r="D99" i="62"/>
  <c r="D48" i="26"/>
  <c r="C48" i="26" s="1"/>
  <c r="D81" i="62"/>
  <c r="G6" i="67" s="1"/>
  <c r="D91" i="62"/>
  <c r="G11" i="67" s="1"/>
  <c r="C87" i="26"/>
  <c r="C21" i="67" s="1"/>
  <c r="D10" i="26"/>
  <c r="D85" i="26"/>
  <c r="E48" i="26"/>
  <c r="C49" i="26"/>
  <c r="D42" i="26"/>
  <c r="D77" i="26" s="1"/>
  <c r="C50" i="26"/>
  <c r="D41" i="26"/>
  <c r="D75" i="26" s="1"/>
  <c r="F20" i="67" s="1"/>
  <c r="D87" i="26"/>
  <c r="F21" i="67" s="1"/>
  <c r="E74" i="26"/>
  <c r="D72" i="26"/>
  <c r="D95" i="62"/>
  <c r="G22" i="67" s="1"/>
  <c r="C126" i="62"/>
  <c r="D39" i="62"/>
  <c r="C39" i="62"/>
  <c r="C86" i="62" s="1"/>
  <c r="D8" i="67" s="1"/>
  <c r="C85" i="62"/>
  <c r="D7" i="67" s="1"/>
  <c r="D78" i="62"/>
  <c r="E90" i="62"/>
  <c r="D88" i="62"/>
  <c r="E80" i="62"/>
  <c r="J5" i="67" s="1"/>
  <c r="C33" i="62"/>
  <c r="E72" i="62"/>
  <c r="J3" i="67" s="1"/>
  <c r="E73" i="62"/>
  <c r="J4" i="67" s="1"/>
  <c r="D20" i="62"/>
  <c r="D43" i="62" s="1"/>
  <c r="D34" i="62"/>
  <c r="D79" i="62" s="1"/>
  <c r="C34" i="62"/>
  <c r="C79" i="62" s="1"/>
  <c r="D84" i="62"/>
  <c r="C90" i="62"/>
  <c r="C20" i="62"/>
  <c r="C43" i="62" s="1"/>
  <c r="C73" i="62" s="1"/>
  <c r="D4" i="67" s="1"/>
  <c r="D33" i="62"/>
  <c r="C21" i="62"/>
  <c r="C75" i="62" s="1"/>
  <c r="D126" i="62"/>
  <c r="D76" i="62"/>
  <c r="D77" i="62"/>
  <c r="D102" i="62"/>
  <c r="D21" i="62"/>
  <c r="D75" i="62" s="1"/>
  <c r="D67" i="26"/>
  <c r="E79" i="26"/>
  <c r="I7" i="67" s="1"/>
  <c r="E70" i="26"/>
  <c r="I5" i="67" s="1"/>
  <c r="D68" i="26"/>
  <c r="D80" i="26"/>
  <c r="F8" i="67" s="1"/>
  <c r="D45" i="26"/>
  <c r="D78" i="26"/>
  <c r="D66" i="26"/>
  <c r="D84" i="26"/>
  <c r="D81" i="26"/>
  <c r="F16" i="67" s="1"/>
  <c r="D83" i="26"/>
  <c r="D95" i="26"/>
  <c r="D23" i="26"/>
  <c r="D65" i="26" s="1"/>
  <c r="C98" i="26"/>
  <c r="C72" i="26"/>
  <c r="C77" i="26"/>
  <c r="C67" i="26"/>
  <c r="C75" i="26"/>
  <c r="C20" i="67" s="1"/>
  <c r="C35" i="26"/>
  <c r="C86" i="26"/>
  <c r="C15" i="67" s="1"/>
  <c r="C66" i="26"/>
  <c r="D35" i="26"/>
  <c r="C68" i="26"/>
  <c r="D36" i="26"/>
  <c r="D69" i="26" s="1"/>
  <c r="C80" i="26"/>
  <c r="C8" i="67" s="1"/>
  <c r="C78" i="26"/>
  <c r="D22" i="26"/>
  <c r="D40" i="26" s="1"/>
  <c r="D63" i="26" s="1"/>
  <c r="F3" i="67" s="1"/>
  <c r="C36" i="26"/>
  <c r="C69" i="26" s="1"/>
  <c r="C22" i="26"/>
  <c r="C40" i="26" s="1"/>
  <c r="C63" i="26" s="1"/>
  <c r="C3" i="67" s="1"/>
  <c r="E95" i="26"/>
  <c r="C23" i="26"/>
  <c r="C65" i="26" s="1"/>
  <c r="C45" i="26"/>
  <c r="D51" i="62" l="1"/>
  <c r="D90" i="62"/>
  <c r="G9" i="67"/>
  <c r="C74" i="26"/>
  <c r="C9" i="67"/>
  <c r="E96" i="26"/>
  <c r="I23" i="67"/>
  <c r="D74" i="26"/>
  <c r="F9" i="67" s="1"/>
  <c r="I9" i="67"/>
  <c r="G16" i="67"/>
  <c r="D96" i="26"/>
  <c r="F23" i="67"/>
  <c r="E85" i="62"/>
  <c r="J7" i="67" s="1"/>
  <c r="E86" i="26"/>
  <c r="D98" i="26"/>
  <c r="E46" i="26"/>
  <c r="E90" i="26" s="1"/>
  <c r="I24" i="67" s="1"/>
  <c r="C95" i="26"/>
  <c r="D101" i="62"/>
  <c r="G15" i="67" s="1"/>
  <c r="C80" i="62"/>
  <c r="D5" i="67" s="1"/>
  <c r="D80" i="62"/>
  <c r="G5" i="67" s="1"/>
  <c r="C72" i="62"/>
  <c r="D86" i="62"/>
  <c r="G8" i="67" s="1"/>
  <c r="D72" i="62"/>
  <c r="D73" i="62"/>
  <c r="G4" i="67" s="1"/>
  <c r="C79" i="26"/>
  <c r="C7" i="67" s="1"/>
  <c r="D86" i="26"/>
  <c r="F15" i="67" s="1"/>
  <c r="D79" i="26"/>
  <c r="D70" i="26"/>
  <c r="F5" i="67" s="1"/>
  <c r="C70" i="26"/>
  <c r="C5" i="67" s="1"/>
  <c r="D3" i="67" l="1"/>
  <c r="C106" i="62"/>
  <c r="C58" i="62" s="1"/>
  <c r="C109" i="62" s="1"/>
  <c r="D25" i="67" s="1"/>
  <c r="G3" i="67"/>
  <c r="J16" i="67"/>
  <c r="E81" i="26"/>
  <c r="I16" i="67" s="1"/>
  <c r="E106" i="62"/>
  <c r="E58" i="62" s="1"/>
  <c r="C96" i="26"/>
  <c r="C23" i="67"/>
  <c r="E88" i="26"/>
  <c r="I15" i="67"/>
  <c r="D83" i="62"/>
  <c r="D85" i="62" s="1"/>
  <c r="F7" i="67" s="1"/>
  <c r="C46" i="26"/>
  <c r="C90" i="26" s="1"/>
  <c r="C24" i="67" s="1"/>
  <c r="E98" i="26"/>
  <c r="E91" i="26"/>
  <c r="C88" i="26"/>
  <c r="D46" i="26"/>
  <c r="D91" i="26" s="1"/>
  <c r="F25" i="67" s="1"/>
  <c r="D88" i="26"/>
  <c r="E109" i="62" l="1"/>
  <c r="J25" i="67" s="1"/>
  <c r="G7" i="67"/>
  <c r="D106" i="62"/>
  <c r="D58" i="62" s="1"/>
  <c r="D108" i="62" s="1"/>
  <c r="G24" i="67" s="1"/>
  <c r="E92" i="26"/>
  <c r="E100" i="26" s="1"/>
  <c r="E114" i="62" s="1"/>
  <c r="I25" i="67"/>
  <c r="C108" i="62"/>
  <c r="C91" i="26"/>
  <c r="D90" i="26"/>
  <c r="E108" i="62" l="1"/>
  <c r="J24" i="67" s="1"/>
  <c r="E97" i="26"/>
  <c r="E99" i="26" s="1"/>
  <c r="D109" i="62"/>
  <c r="G25" i="67" s="1"/>
  <c r="C92" i="26"/>
  <c r="C97" i="26" s="1"/>
  <c r="C99" i="26" s="1"/>
  <c r="C25" i="67"/>
  <c r="C110" i="62"/>
  <c r="C121" i="62" s="1"/>
  <c r="C122" i="62" s="1"/>
  <c r="D24" i="67"/>
  <c r="D92" i="26"/>
  <c r="D97" i="26" s="1"/>
  <c r="D99" i="26" s="1"/>
  <c r="F24" i="67"/>
  <c r="E101" i="26"/>
  <c r="E110" i="62" l="1"/>
  <c r="E121" i="62" s="1"/>
  <c r="E122" i="62" s="1"/>
  <c r="E115" i="62"/>
  <c r="E116" i="62" s="1"/>
  <c r="E119" i="62" s="1"/>
  <c r="E120" i="62" s="1"/>
  <c r="D110" i="62"/>
  <c r="D121" i="62" s="1"/>
  <c r="D122" i="62" s="1"/>
  <c r="C100" i="26"/>
  <c r="D100" i="26"/>
  <c r="D114" i="62" s="1"/>
  <c r="E123" i="62" l="1"/>
  <c r="E124" i="62" s="1"/>
  <c r="E125" i="62" s="1"/>
  <c r="E127" i="62" s="1"/>
  <c r="C101" i="26"/>
  <c r="C115" i="62" s="1"/>
  <c r="C116" i="62" s="1"/>
  <c r="C119" i="62" s="1"/>
  <c r="C114" i="62"/>
  <c r="D101" i="26"/>
  <c r="C120" i="62" l="1"/>
  <c r="C123" i="62" s="1"/>
  <c r="D115" i="62"/>
  <c r="D116" i="62" s="1"/>
  <c r="D119" i="62" s="1"/>
  <c r="D120" i="62" s="1"/>
  <c r="D123" i="62" s="1"/>
  <c r="D124" i="62" s="1"/>
  <c r="D125" i="62" s="1"/>
  <c r="D127" i="62" s="1"/>
  <c r="C124" i="62" l="1"/>
  <c r="C125" i="62" s="1"/>
  <c r="C127"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Nora Rainey</author>
    <author>tc={5245D142-52D0-4754-BFB9-E6D5AAB31AB9}</author>
    <author>tc={2373E105-460C-43C1-B071-D6A75425CB29}</author>
    <author>tc={73A2A6DA-29B0-41F0-986F-2060177E82EC}</author>
    <author>tc={2A2E679B-EC73-47E8-896E-F2EBD4EB4E7E}</author>
    <author>tc={D1B38C0A-E62D-40F7-A75C-4D3292379841}</author>
    <author>Black, Dina</author>
  </authors>
  <commentList>
    <comment ref="C3" authorId="0" shapeId="0" xr:uid="{00000000-0006-0000-0000-000002000000}">
      <text>
        <r>
          <rPr>
            <b/>
            <sz val="11"/>
            <color indexed="81"/>
            <rFont val="Arial Nova"/>
            <family val="2"/>
          </rPr>
          <t xml:space="preserve">Cell C3 </t>
        </r>
        <r>
          <rPr>
            <sz val="11"/>
            <color indexed="81"/>
            <rFont val="Arial Nova"/>
            <family val="2"/>
          </rPr>
          <t xml:space="preserve">defaults to </t>
        </r>
        <r>
          <rPr>
            <b/>
            <sz val="11"/>
            <color indexed="81"/>
            <rFont val="Arial Nova"/>
            <family val="2"/>
          </rPr>
          <t>95.00%</t>
        </r>
        <r>
          <rPr>
            <sz val="11"/>
            <color indexed="81"/>
            <rFont val="Arial Nova"/>
            <family val="2"/>
          </rPr>
          <t xml:space="preserve">.  Percentage may be revised based on data from TSDS Report PDM3-130-008 or current FSP ADA Projection Report.  </t>
        </r>
      </text>
    </comment>
    <comment ref="C18" authorId="1" shapeId="0" xr:uid="{5245D142-52D0-4754-BFB9-E6D5AAB31AB9}">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C19" authorId="2" shapeId="0" xr:uid="{2373E105-460C-43C1-B071-D6A75425CB29}">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C20" authorId="3" shapeId="0" xr:uid="{73A2A6DA-29B0-41F0-986F-2060177E82EC}">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C21" authorId="4" shapeId="0" xr:uid="{2A2E679B-EC73-47E8-896E-F2EBD4EB4E7E}">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C22" authorId="5" shapeId="0" xr:uid="{D1B38C0A-E62D-40F7-A75C-4D3292379841}">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A47" authorId="0" shapeId="0" xr:uid="{00000000-0006-0000-0000-000003000000}">
      <text>
        <r>
          <rPr>
            <sz val="11"/>
            <color indexed="81"/>
            <rFont val="Arial Nova"/>
            <family val="2"/>
          </rPr>
          <t>If the "</t>
        </r>
        <r>
          <rPr>
            <sz val="11"/>
            <color indexed="10"/>
            <rFont val="Arial Nova"/>
            <family val="2"/>
          </rPr>
          <t>Sped Total Error</t>
        </r>
        <r>
          <rPr>
            <sz val="11"/>
            <color indexed="81"/>
            <rFont val="Arial Nova"/>
            <family val="2"/>
          </rPr>
          <t xml:space="preserve">" is displayed in cell </t>
        </r>
        <r>
          <rPr>
            <b/>
            <sz val="11"/>
            <color indexed="81"/>
            <rFont val="Arial Nova"/>
            <family val="2"/>
          </rPr>
          <t>C47</t>
        </r>
        <r>
          <rPr>
            <sz val="11"/>
            <color indexed="81"/>
            <rFont val="Arial Nova"/>
            <family val="2"/>
          </rPr>
          <t xml:space="preserve">, the sum of Students in Special Education Instructional Arrangements 01 though 98 is greater than the number of Students enrolled in cell C4.
</t>
        </r>
        <r>
          <rPr>
            <sz val="9"/>
            <color indexed="81"/>
            <rFont val="Arial"/>
            <family val="2"/>
          </rPr>
          <t xml:space="preserve">
</t>
        </r>
      </text>
    </comment>
    <comment ref="A57" authorId="0" shapeId="0" xr:uid="{00000000-0006-0000-0000-000004000000}">
      <text>
        <r>
          <rPr>
            <sz val="11"/>
            <color indexed="81"/>
            <rFont val="Arial Nova"/>
            <family val="2"/>
          </rPr>
          <t>If the "</t>
        </r>
        <r>
          <rPr>
            <sz val="11"/>
            <color indexed="10"/>
            <rFont val="Arial Nova"/>
            <family val="2"/>
          </rPr>
          <t>CATE Total Error</t>
        </r>
        <r>
          <rPr>
            <sz val="11"/>
            <color indexed="81"/>
            <rFont val="Arial Nova"/>
            <family val="2"/>
          </rPr>
          <t xml:space="preserve">" is displayed in cell </t>
        </r>
        <r>
          <rPr>
            <b/>
            <sz val="11"/>
            <color indexed="81"/>
            <rFont val="Arial Nova"/>
            <family val="2"/>
          </rPr>
          <t>C57</t>
        </r>
        <r>
          <rPr>
            <sz val="11"/>
            <color indexed="81"/>
            <rFont val="Arial Nova"/>
            <family val="2"/>
          </rPr>
          <t xml:space="preserve">, then the sum of enrolled students in Career and Technology settings V1 though V6 exceeds the overall number enrolled in cell C4.  </t>
        </r>
      </text>
    </comment>
    <comment ref="C59" authorId="6" shapeId="0" xr:uid="{00000000-0006-0000-0000-000005000000}">
      <text>
        <r>
          <rPr>
            <b/>
            <sz val="11"/>
            <color indexed="81"/>
            <rFont val="Arial Nova"/>
            <family val="2"/>
          </rPr>
          <t>Cell C59</t>
        </r>
        <r>
          <rPr>
            <sz val="11"/>
            <color indexed="81"/>
            <rFont val="Arial Nova"/>
            <family val="2"/>
          </rPr>
          <t xml:space="preserve"> </t>
        </r>
        <r>
          <rPr>
            <b/>
            <sz val="11"/>
            <color indexed="81"/>
            <rFont val="Arial Nova"/>
            <family val="2"/>
          </rPr>
          <t>defaults</t>
        </r>
        <r>
          <rPr>
            <sz val="11"/>
            <color indexed="81"/>
            <rFont val="Arial Nova"/>
            <family val="2"/>
          </rPr>
          <t xml:space="preserve"> to </t>
        </r>
        <r>
          <rPr>
            <b/>
            <sz val="11"/>
            <color indexed="81"/>
            <rFont val="Arial Nova"/>
            <family val="2"/>
          </rPr>
          <t>NO</t>
        </r>
        <r>
          <rPr>
            <sz val="11"/>
            <color indexed="81"/>
            <rFont val="Arial Nova"/>
            <family val="2"/>
          </rPr>
          <t xml:space="preserve">.
Click on cell to use drop-down and select YES if charter qualifies for funding.
</t>
        </r>
        <r>
          <rPr>
            <b/>
            <sz val="11"/>
            <color indexed="81"/>
            <rFont val="Arial Nova"/>
            <family val="2"/>
          </rPr>
          <t xml:space="preserve">2019 Accountablity ratings released in August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tc={C21351D6-AB23-4ED6-BC89-D0C5C9CC42BF}</author>
    <author>tc={894CB662-F0D9-4CFB-82C6-7D9B23D5BA8C}</author>
    <author>tc={B30BECAE-6ED6-4002-907D-A6B0AE330DC3}</author>
    <author>tc={C65CC2DE-53AF-4815-8B77-9C601F0DC9AD}</author>
    <author>tc={A4BAC083-D0BE-4CB5-8D6F-DDE752847BC9}</author>
    <author>tc={30916379-64C6-4A52-AF3E-2A90630F28AE}</author>
    <author>tc={32481421-0244-47B1-B0C0-01A9D30FBA12}</author>
    <author>tc={2C1B77EC-FF28-41EB-B4AC-BA181ECA0C63}</author>
  </authors>
  <commentList>
    <comment ref="E46" authorId="0" shapeId="0" xr:uid="{C21351D6-AB23-4ED6-BC89-D0C5C9CC42BF}">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E47" authorId="1" shapeId="0" xr:uid="{894CB662-F0D9-4CFB-82C6-7D9B23D5BA8C}">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E48" authorId="2" shapeId="0" xr:uid="{B30BECAE-6ED6-4002-907D-A6B0AE330DC3}">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E49" authorId="3" shapeId="0" xr:uid="{C65CC2DE-53AF-4815-8B77-9C601F0DC9AD}">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E50" authorId="4" shapeId="0" xr:uid="{A4BAC083-D0BE-4CB5-8D6F-DDE752847BC9}">
      <text>
        <t>[Threaded comment]
Your version of Excel allows you to read this threaded comment; however, any edits to it will get removed if the file is opened in a newer version of Excel. Learn more: https://go.microsoft.com/fwlink/?linkid=870924
Comment:
    Please enter data in accordance with the weight not the Census Tier  Block name.</t>
      </text>
    </comment>
    <comment ref="C123" authorId="5" shapeId="0" xr:uid="{30916379-64C6-4A52-AF3E-2A90630F28AE}">
      <text>
        <t>[Threaded comment]
Your version of Excel allows you to read this threaded comment; however, any edits to it will get removed if the file is opened in a newer version of Excel. Learn more: https://go.microsoft.com/fwlink/?linkid=870924
Comment:
    2020 revenue target per ADA for formula transition lesser of 103% of current law 2020 M&amp;O revenue per ADA or 128% of statewide average M&amp;O revenue per ADA or 100% of PL 2020 M&amp;O revenue per ADA (excluding chapter 41 hold harmless)</t>
      </text>
    </comment>
    <comment ref="D123" authorId="6" shapeId="0" xr:uid="{32481421-0244-47B1-B0C0-01A9D30FBA12}">
      <text>
        <t>[Threaded comment]
Your version of Excel allows you to read this threaded comment; however, any edits to it will get removed if the file is opened in a newer version of Excel. Learn more: https://go.microsoft.com/fwlink/?linkid=870924
Comment:
    2020 revenue target per ADA for formula transition lesser of 103% of current law 2020 M&amp;O revenue per ADA or 128% of statewide average M&amp;O revenue per ADA or 100% of PL 2020 M&amp;O revenue per ADA (excluding chapter 41 hold harmless)</t>
      </text>
    </comment>
    <comment ref="E123" authorId="7" shapeId="0" xr:uid="{2C1B77EC-FF28-41EB-B4AC-BA181ECA0C63}">
      <text>
        <t>[Threaded comment]
Your version of Excel allows you to read this threaded comment; however, any edits to it will get removed if the file is opened in a newer version of Excel. Learn more: https://go.microsoft.com/fwlink/?linkid=870924
Comment:
    2020 revenue target per ADA for formula transition lesser of 103% of current law 2020 M&amp;O revenue per ADA or 128% of statewide average M&amp;O revenue per ADA or 100% of PL 2020 M&amp;O revenue per ADA (excluding chapter 41 hold harmless)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Black, Dina</author>
  </authors>
  <commentList>
    <comment ref="A40" authorId="0" shapeId="0" xr:uid="{00000000-0006-0000-0100-000001000000}">
      <text>
        <r>
          <rPr>
            <b/>
            <sz val="10"/>
            <color indexed="81"/>
            <rFont val="Arial Nova"/>
            <family val="2"/>
          </rPr>
          <t xml:space="preserve">REGULAR PROGRAM ADA </t>
        </r>
        <r>
          <rPr>
            <sz val="10"/>
            <color indexed="81"/>
            <rFont val="Arial Nova"/>
            <family val="2"/>
          </rPr>
          <t xml:space="preserve">= Refined ADA minus Special Ed. FTEs and CTE FTEs. </t>
        </r>
      </text>
    </comment>
  </commentList>
</comments>
</file>

<file path=xl/sharedStrings.xml><?xml version="1.0" encoding="utf-8"?>
<sst xmlns="http://schemas.openxmlformats.org/spreadsheetml/2006/main" count="2086" uniqueCount="923">
  <si>
    <t>WESTLAKE ACADEMY CHARTER SCHOOL</t>
  </si>
  <si>
    <t>ORENDA CHARTER SCHOOL</t>
  </si>
  <si>
    <t>MEYERPARK ELEMENTARY</t>
  </si>
  <si>
    <t>TEXAS PREPARATORY SCHOOL</t>
  </si>
  <si>
    <t>EHRHART SCHOOL</t>
  </si>
  <si>
    <t>WACO CHARTER SCHOOL</t>
  </si>
  <si>
    <t>CROSSTIMBERS ACADEMY</t>
  </si>
  <si>
    <t>GEORGE I SANCHEZ CHARTER</t>
  </si>
  <si>
    <t>UNIVERSITY OF HOUSTON CHARTER SCHOOL</t>
  </si>
  <si>
    <t>AMIGOS POR VIDA-FRIENDS FOR LIFE PUBLIC CHARTER SC</t>
  </si>
  <si>
    <t>HOUSTON HEIGHTS HIGH SCHOOL</t>
  </si>
  <si>
    <t>HOUSTON GATEWAY ACADEMY, INC.</t>
  </si>
  <si>
    <t>OTHER PROGRAMS</t>
  </si>
  <si>
    <t>CALVIN NELMS CHARTER SCHOOLS</t>
  </si>
  <si>
    <t>SOUTHWEST SCHOOL</t>
  </si>
  <si>
    <t>ACCELERATED INTERMEDIATE ACADEMY</t>
  </si>
  <si>
    <t>SCHOOL OF SCIENCE AND TECHNOLOGY</t>
  </si>
  <si>
    <t>HARMONY SCIENCE ACAD (SAN ANTONIO)</t>
  </si>
  <si>
    <t>PEGASUS SCHOOL OF LIBERAL ARTS AND SCIENCES</t>
  </si>
  <si>
    <t>LIFE SCHOOL</t>
  </si>
  <si>
    <t>NOVA ACADEMY (OAK CLIFF)</t>
  </si>
  <si>
    <t>ACADEMY OF DALLAS</t>
  </si>
  <si>
    <t>TRINITY BASIN PREPARATORY</t>
  </si>
  <si>
    <t>NOVA ACADEMY (SOUTHEAST)</t>
  </si>
  <si>
    <t>EVOLUTION ACADEMY</t>
  </si>
  <si>
    <t>ST ANTHONY SCHOOL</t>
  </si>
  <si>
    <t>EL PASO ACADEMY</t>
  </si>
  <si>
    <t>HARMONY SCIENCE ACAD (EL PASO)</t>
  </si>
  <si>
    <t>ODYSSEY ACADEMY, THE</t>
  </si>
  <si>
    <t>EAST TEXAS CHARTER SCHOOLS</t>
  </si>
  <si>
    <t>TWO DIMENSIONS PREPARATORY ACADEMY</t>
  </si>
  <si>
    <t>COMQUEST ACADEMY</t>
  </si>
  <si>
    <t>HARMONY SCIENCE ACADEMY</t>
  </si>
  <si>
    <t>BEATRICE MAYES INSTITUTE CHARTER SCHOOL</t>
  </si>
  <si>
    <t>DRAW ACADEMY</t>
  </si>
  <si>
    <t>KATHERINE ANNE PORTER SCHOOL</t>
  </si>
  <si>
    <t>CHARTER NAME</t>
  </si>
  <si>
    <t>RICHARD MILBURN ALTER HIGH SCHOOL (KILLEEN)</t>
  </si>
  <si>
    <t>POR VIDA ACADEMY</t>
  </si>
  <si>
    <t>BEXAR COUNTY ACADEMY</t>
  </si>
  <si>
    <t>SOUTHWEST PREPARATORY SCHOOL</t>
  </si>
  <si>
    <t>POSITIVE SOLUTIONS CHARTER SCHOOL</t>
  </si>
  <si>
    <t>BRAZOS SCHOOL FOR INQUIRY &amp; CREATIVITY</t>
  </si>
  <si>
    <t>TRINITY CHARTER SCHOOL</t>
  </si>
  <si>
    <t>UNIVERSAL ACADEMY</t>
  </si>
  <si>
    <t>JEAN MASSIEU ACADEMY</t>
  </si>
  <si>
    <t>A+ ACADEMY</t>
  </si>
  <si>
    <t>INSPIRED VISION ACADEMY</t>
  </si>
  <si>
    <t>GATEWAY CHARTER ACADEMY</t>
  </si>
  <si>
    <t>EDUCATION CENTER INTERNATIONAL ACADEMY</t>
  </si>
  <si>
    <t>GOLDEN RULE CHARTER SCHOOL</t>
  </si>
  <si>
    <t>WAXAHACHIE FAITH FAMILY ACADEMY</t>
  </si>
  <si>
    <t>SER-NINOS CHARTER SCHOOL</t>
  </si>
  <si>
    <t>ACADEMY OF ACCELERATED LEARNING, INC</t>
  </si>
  <si>
    <t>KIPP, INC CHARTER</t>
  </si>
  <si>
    <t>ALIEF MONTESSORI COMMUNITY SCHOOL</t>
  </si>
  <si>
    <t>PINEYWOODS COMMUNITY ACADEMY</t>
  </si>
  <si>
    <t>ST MARY'S ACADEMY CHARTER SCHOOL</t>
  </si>
  <si>
    <t>GEORGE GERVIN ACADEMY</t>
  </si>
  <si>
    <t>SCHOOL OF EXCELLENCE IN EDUCATION</t>
  </si>
  <si>
    <t>Special Education Data:</t>
  </si>
  <si>
    <t>Career &amp; Technology Data:</t>
  </si>
  <si>
    <t>BROOKS ACADEMY OF SCIENCE AND ENGINEERING</t>
  </si>
  <si>
    <t>LA ACADEMIA DE ESTRELLAS</t>
  </si>
  <si>
    <t>HARMONY SCHOOL OF EXCELLENCE</t>
  </si>
  <si>
    <t>CDN</t>
  </si>
  <si>
    <t>LIGHTHOUSE CHARTER SCHOOL</t>
  </si>
  <si>
    <t>EAST FORT WORTH MONTESSORI ACADEMY</t>
  </si>
  <si>
    <t>LA FE PREPARATORY SCHOOL</t>
  </si>
  <si>
    <t>AMBASSADORS PREPARATORY ACADEMY</t>
  </si>
  <si>
    <t>YES</t>
  </si>
  <si>
    <t>NO</t>
  </si>
  <si>
    <t>AUSTIN DISCOVERY SCHOOL</t>
  </si>
  <si>
    <t>CORPUS CHRISTI MONTESSORI SCHOOL</t>
  </si>
  <si>
    <t>Regular Program ADA</t>
  </si>
  <si>
    <t>TEXAS SERENITY ACADEMY</t>
  </si>
  <si>
    <t>PANOLA CHARTER SCHOOL</t>
  </si>
  <si>
    <t>BIG SPRINGS CHARTER SCHOOL</t>
  </si>
  <si>
    <t>CUMBERLAND ACADEMY</t>
  </si>
  <si>
    <t>BRAZOS RIVER CHARTER SCHOOL</t>
  </si>
  <si>
    <t>TREETOPS SCHOOL INTERNATIONAL</t>
  </si>
  <si>
    <t>ARLINGTON CLASSICS ACADEMY</t>
  </si>
  <si>
    <t>FORT WORTH ACADEMY OF FINE ARTS</t>
  </si>
  <si>
    <t>NYOS CHARTER SCHOOL</t>
  </si>
  <si>
    <t>TEXAS EMPOWERMENT ACADEMY</t>
  </si>
  <si>
    <t>CEDARS INTERNATIONAL ACADEMY</t>
  </si>
  <si>
    <t>RANCH ACADEMY</t>
  </si>
  <si>
    <t>RAVEN SCHOOL</t>
  </si>
  <si>
    <t>WINFREE ACADEMY CHARTER SCHOOLS</t>
  </si>
  <si>
    <t>BURNHAM WOOD CHARTER SCHOOL DISTRICT</t>
  </si>
  <si>
    <t>UNIVERSITY OF TEXAS UNIVERSITY CHARTER SCHOOL</t>
  </si>
  <si>
    <t>HARMONY SCIENCE ACADEMY (AUSTIN)</t>
  </si>
  <si>
    <t>UNIVERSITY OF TEXAS ELEMENTARY CHARTER SCHOOL</t>
  </si>
  <si>
    <t>VANGUARD ACADEMY</t>
  </si>
  <si>
    <t>RISE ACADEMY</t>
  </si>
  <si>
    <t>MIDLAND ACADEMY CHARTER SCHOOL</t>
  </si>
  <si>
    <t xml:space="preserve">Career and Technology Program Transportation Allotment </t>
  </si>
  <si>
    <t xml:space="preserve">Special Education Program Transportation Allotment </t>
  </si>
  <si>
    <t>ARISTOI CLASSICAL ACADEMY</t>
  </si>
  <si>
    <t>CHAPARRAL STAR ACADEMY</t>
  </si>
  <si>
    <t>DR M L GARZA-GONZALEZ CHARTER SCHOOL</t>
  </si>
  <si>
    <t>HENRY FORD ACADEMY ALAMEDA SCHOOL FOR ART + DESIGN</t>
  </si>
  <si>
    <t>IDEA PUBLIC SCHOOLS</t>
  </si>
  <si>
    <t>KIPP SAN ANTONIO</t>
  </si>
  <si>
    <t>MERIDIAN WORLD SCHOOL LLC</t>
  </si>
  <si>
    <t>PREMIER HIGH SCHOOLS</t>
  </si>
  <si>
    <t>PROMISE COMMUNITY SCHOOL</t>
  </si>
  <si>
    <t>SEASHORE CHARTER SCHOOLS</t>
  </si>
  <si>
    <t>TEXAS LEADERSHIP</t>
  </si>
  <si>
    <t>YES PREP PUBLIC SCHOOLS INC</t>
  </si>
  <si>
    <t>Payment Month</t>
  </si>
  <si>
    <t>% of Unpaid Balance</t>
  </si>
  <si>
    <t>September</t>
  </si>
  <si>
    <t>October</t>
  </si>
  <si>
    <t>November</t>
  </si>
  <si>
    <t>December</t>
  </si>
  <si>
    <t>January</t>
  </si>
  <si>
    <t>February</t>
  </si>
  <si>
    <t>March</t>
  </si>
  <si>
    <t>April</t>
  </si>
  <si>
    <t>May</t>
  </si>
  <si>
    <t>June</t>
  </si>
  <si>
    <t>July</t>
  </si>
  <si>
    <t>August</t>
  </si>
  <si>
    <t>UME PREPARATORY ACADEMY</t>
  </si>
  <si>
    <t>LEGACY PREPARATORY</t>
  </si>
  <si>
    <t>EXCELLENCE IN LEADERSHIP ACADEMY</t>
  </si>
  <si>
    <t>UT TYLER INNOVATION ACADEMY</t>
  </si>
  <si>
    <t>AUSTIN ACHIEVE PUBLIC SCHOOLS</t>
  </si>
  <si>
    <t>TOTAL TIER II</t>
  </si>
  <si>
    <t>Average</t>
  </si>
  <si>
    <t>1st</t>
  </si>
  <si>
    <t>2nd</t>
  </si>
  <si>
    <t>3rd</t>
  </si>
  <si>
    <t>4th</t>
  </si>
  <si>
    <t>5th</t>
  </si>
  <si>
    <t>6th</t>
  </si>
  <si>
    <t>SOF_RUN_ID</t>
  </si>
  <si>
    <t>DISTRICT_ID</t>
  </si>
  <si>
    <t>SCHOOLYEAR</t>
  </si>
  <si>
    <t>ABA</t>
  </si>
  <si>
    <t>ACTIVE_MILITARY_ADA</t>
  </si>
  <si>
    <t>ADA_ADJ_TOT_REFINED</t>
  </si>
  <si>
    <t>ADA_REG_PGM</t>
  </si>
  <si>
    <t>ADA_REG_PGM_ACTUAL</t>
  </si>
  <si>
    <t>ADA_TOT_REFINED</t>
  </si>
  <si>
    <t>ADDL_AID_FED_IMPACT</t>
  </si>
  <si>
    <t>ADJ_ALLOT</t>
  </si>
  <si>
    <t>APPLY_ASATR_TO_COO_FLAG</t>
  </si>
  <si>
    <t>ASATR_ADDL_AID</t>
  </si>
  <si>
    <t>ASATR_REDUC_EXCESS</t>
  </si>
  <si>
    <t>ASF_ADA</t>
  </si>
  <si>
    <t>ASF_ADJ_TO_DATE_AMT</t>
  </si>
  <si>
    <t>ASF_ALLOT</t>
  </si>
  <si>
    <t>ASF_RATE</t>
  </si>
  <si>
    <t>ASF_SFSF</t>
  </si>
  <si>
    <t>ASF_YTD_PAYMENTS</t>
  </si>
  <si>
    <t>BIL_ADA</t>
  </si>
  <si>
    <t>BIL_ALLOT</t>
  </si>
  <si>
    <t>BIL_BLOCK_GRANT</t>
  </si>
  <si>
    <t>BIL_SETASIDE_P2</t>
  </si>
  <si>
    <t>BUDGET_BALANCED_AMT</t>
  </si>
  <si>
    <t>CEI</t>
  </si>
  <si>
    <t>CEI_ADJ</t>
  </si>
  <si>
    <t>CH313_TAX_CREDIT</t>
  </si>
  <si>
    <t>CH41_FLAG</t>
  </si>
  <si>
    <t>CH41_PARTNER_GAIN</t>
  </si>
  <si>
    <t>CODT215</t>
  </si>
  <si>
    <t>CODT231</t>
  </si>
  <si>
    <t>CPTD_PROPERTY_VALUE</t>
  </si>
  <si>
    <t>CREDRECAP</t>
  </si>
  <si>
    <t>DISTRICT_BA</t>
  </si>
  <si>
    <t>DISTRICT_FSP_TYPE</t>
  </si>
  <si>
    <t>DISTRICT_NAME</t>
  </si>
  <si>
    <t>DRATE3</t>
  </si>
  <si>
    <t>EARLY_GRAD_ALLOT</t>
  </si>
  <si>
    <t>EDA_ELIG_DEBT_SVC_AMT</t>
  </si>
  <si>
    <t>EDA_LOCAL_SHARE</t>
  </si>
  <si>
    <t>EDA_STATE_SHARE</t>
  </si>
  <si>
    <t>FINCOST</t>
  </si>
  <si>
    <t>FINL3</t>
  </si>
  <si>
    <t>FLAG_300SQMI</t>
  </si>
  <si>
    <t>FLAG_30MI</t>
  </si>
  <si>
    <t>FSF_ADJ_TO_DATE_AMT</t>
  </si>
  <si>
    <t>FSF_ALLOT_ADJ</t>
  </si>
  <si>
    <t>FSF_ALLOT_TOT</t>
  </si>
  <si>
    <t>FSF_YTD_PAYMENTS</t>
  </si>
  <si>
    <t>FSP_TOT_RECEIPTS</t>
  </si>
  <si>
    <t>FT_STAFF_CNT</t>
  </si>
  <si>
    <t>GT_ALLOT</t>
  </si>
  <si>
    <t>GT_BLOCK_GRANT</t>
  </si>
  <si>
    <t>GT_ENROLL</t>
  </si>
  <si>
    <t>GT_SETASIDE_P2</t>
  </si>
  <si>
    <t>GYA_COST</t>
  </si>
  <si>
    <t>HHB1</t>
  </si>
  <si>
    <t>HIGH_SCHOOL_ADA</t>
  </si>
  <si>
    <t>HIGH_SCHOOL_ALLOT</t>
  </si>
  <si>
    <t>HIGHEST_GRADE</t>
  </si>
  <si>
    <t>IFA_BOND_LEASE_STATE</t>
  </si>
  <si>
    <t>IFA_BOND_LOCAL</t>
  </si>
  <si>
    <t>IFA_BOND_STATE</t>
  </si>
  <si>
    <t>IFA_BOND_STATE_LOCAL</t>
  </si>
  <si>
    <t>IFA_LEASE_PURCH_LOCAL</t>
  </si>
  <si>
    <t>IFA_LEASE_PURCH_STATE</t>
  </si>
  <si>
    <t>MDA</t>
  </si>
  <si>
    <t>MIDFLAG</t>
  </si>
  <si>
    <t>MIGRANT_DIST_FLAG</t>
  </si>
  <si>
    <t>MO_COLL_LV1</t>
  </si>
  <si>
    <t>MO_COLL_LV2</t>
  </si>
  <si>
    <t>MO_COLL_LV3</t>
  </si>
  <si>
    <t>MO_COLL_RATE_AVG</t>
  </si>
  <si>
    <t>MO_RATE_COMPR</t>
  </si>
  <si>
    <t>MO_RATE_LV2</t>
  </si>
  <si>
    <t>MULT</t>
  </si>
  <si>
    <t>NIFA_ADA</t>
  </si>
  <si>
    <t>NIFA_ALLOT</t>
  </si>
  <si>
    <t>OEYP_ALLOCATION</t>
  </si>
  <si>
    <t>OP3_RECAP_AMT_LV1</t>
  </si>
  <si>
    <t>OP3_RECAP_AMT_LV3</t>
  </si>
  <si>
    <t>OP4_RECAP_AMT_LV1</t>
  </si>
  <si>
    <t>OTHER_ADJUSTMENT</t>
  </si>
  <si>
    <t>OTHER_PROGRAMS_AMOUNT</t>
  </si>
  <si>
    <t>PAY_ADA</t>
  </si>
  <si>
    <t>PAYMENT_CLASS_CD</t>
  </si>
  <si>
    <t>PEG_ADA</t>
  </si>
  <si>
    <t>PEG_ALLOT</t>
  </si>
  <si>
    <t>PFTAX</t>
  </si>
  <si>
    <t>PRE_K_K_GRANT</t>
  </si>
  <si>
    <t>PROCESSING_FLAG</t>
  </si>
  <si>
    <t>PRS_FTE</t>
  </si>
  <si>
    <t>PT_STAFF_CNT</t>
  </si>
  <si>
    <t>PY1_ADA_TOT_REFINED</t>
  </si>
  <si>
    <t>PY1_DPV_LOCAL</t>
  </si>
  <si>
    <t>PY1_IS_COLL</t>
  </si>
  <si>
    <t>PY1_MO_COLL_LOCAL</t>
  </si>
  <si>
    <t>PY1_MO_RATE_ADOPT</t>
  </si>
  <si>
    <t>PY1_TAX_LEVY_TOT</t>
  </si>
  <si>
    <t>PY1_TAX_TIF_PAYMENT</t>
  </si>
  <si>
    <t>PY2_DPV_ADJ_15K</t>
  </si>
  <si>
    <t>RECAPTURE</t>
  </si>
  <si>
    <t>REG_PGM_ADJ_FACTOR</t>
  </si>
  <si>
    <t>REG_PGM_ALLOT</t>
  </si>
  <si>
    <t>RIDER71_AMT</t>
  </si>
  <si>
    <t>SALARY_ALLOT_CNT</t>
  </si>
  <si>
    <t>SCE_ALLOT</t>
  </si>
  <si>
    <t>SCE_BLOCK_GRANT</t>
  </si>
  <si>
    <t>SCE_ENROLL</t>
  </si>
  <si>
    <t>SCE_MILITARY_ALLOT</t>
  </si>
  <si>
    <t>SCE_PRS_ALLOT</t>
  </si>
  <si>
    <t>SCE_SETASIDE_P2</t>
  </si>
  <si>
    <t>SDA</t>
  </si>
  <si>
    <t>SEC_30_83_TOT_ALLOT</t>
  </si>
  <si>
    <t>SPECED_BLOCK_GRANT</t>
  </si>
  <si>
    <t>SPECED_ECI_SETASIDE_P2</t>
  </si>
  <si>
    <t>SPECED_EYS_ALLOT</t>
  </si>
  <si>
    <t>SPECED_EYS_HOMEBOUND_FTE</t>
  </si>
  <si>
    <t>SPECED_EYS_HOSPITAL_FTE</t>
  </si>
  <si>
    <t>SPECED_EYS_OFF_CAMP_FTE</t>
  </si>
  <si>
    <t>SPECED_EYS_RES_CT_FTE</t>
  </si>
  <si>
    <t>SPECED_EYS_RESOURCE_FTE</t>
  </si>
  <si>
    <t>SPECED_EYS_SELF_CONT_SV_FTE</t>
  </si>
  <si>
    <t>SPECED_EYS_SELF_CONTAIN_FTE</t>
  </si>
  <si>
    <t>SPECED_EYS_SPEECH_FTE</t>
  </si>
  <si>
    <t>SPECED_EYS_ST_SCHOOL_FTE</t>
  </si>
  <si>
    <t>SPECED_EYS_VAC_FTE</t>
  </si>
  <si>
    <t>SPECED_EYS_WEIGHTED_FTE</t>
  </si>
  <si>
    <t>SPECED_HOMEBOUND_FTE</t>
  </si>
  <si>
    <t>SPECED_HOSPITAL_FTE</t>
  </si>
  <si>
    <t>SPECED_MAINSTREAM_ADA</t>
  </si>
  <si>
    <t>SPECED_MAINSTREAM_ALLOT</t>
  </si>
  <si>
    <t>SPECED_NONPUB_ALLOT</t>
  </si>
  <si>
    <t>SPECED_NONPUB_FTE</t>
  </si>
  <si>
    <t>SPECED_OFF_CAMP_FTE</t>
  </si>
  <si>
    <t>SPECED_REG_ALLOT</t>
  </si>
  <si>
    <t>SPECED_RES_CT_ALLOT</t>
  </si>
  <si>
    <t>SPECED_RES_CT_FTE</t>
  </si>
  <si>
    <t>SPECED_RESOURCE_FTE</t>
  </si>
  <si>
    <t>SPECED_SELF_CONT_SV_FTE</t>
  </si>
  <si>
    <t>SPECED_SELF_CONTAIN_FTE</t>
  </si>
  <si>
    <t>SPECED_SPEECH_FTE</t>
  </si>
  <si>
    <t>SPECED_ST_SCHOOL_ALLOT</t>
  </si>
  <si>
    <t>SPECED_ST_SCHOOL_FTE</t>
  </si>
  <si>
    <t>SPECED_SUM_TOT_FTE</t>
  </si>
  <si>
    <t>SPECED_VAC_FTE</t>
  </si>
  <si>
    <t>SPECED_WEIGHTED_TOT_FTE</t>
  </si>
  <si>
    <t>STAFF_ALLOT</t>
  </si>
  <si>
    <t>SUPER_ASF</t>
  </si>
  <si>
    <t>SUPP_TIF_PAYMENT</t>
  </si>
  <si>
    <t>TECH_ADJ_ALLOT</t>
  </si>
  <si>
    <t>TECH_ALLOT</t>
  </si>
  <si>
    <t>TECH_SETASIDE_P2</t>
  </si>
  <si>
    <t>TIER_I_ALLOT_P2</t>
  </si>
  <si>
    <t>TIER_I_LOCAL_SHARE</t>
  </si>
  <si>
    <t>TIER_I_TOT_COST_P2</t>
  </si>
  <si>
    <t>TIER_II_ABA_ADJ</t>
  </si>
  <si>
    <t>TIER_II_AID_LV1</t>
  </si>
  <si>
    <t>TIER_II_AID_LV2</t>
  </si>
  <si>
    <t>TIER_II_AID_LV3</t>
  </si>
  <si>
    <t>TIER_II_DTR_LV2</t>
  </si>
  <si>
    <t>TIER_II_DTR_LV3</t>
  </si>
  <si>
    <t>TIER_II_LOCAL_REV_LV2</t>
  </si>
  <si>
    <t>TIER_II_LOCAL_REV_LV3</t>
  </si>
  <si>
    <t>TIER_II_WADA</t>
  </si>
  <si>
    <t>TOT_STATE_AID</t>
  </si>
  <si>
    <t>TOT_TAX_COLLECTION</t>
  </si>
  <si>
    <t>TRANS_PRIVATE_ALLOT</t>
  </si>
  <si>
    <t>TRANS_REG_ALLOT</t>
  </si>
  <si>
    <t>TRANS_SPECED_ALLOT</t>
  </si>
  <si>
    <t>TRANS_TOT_ALLOT</t>
  </si>
  <si>
    <t>TRANS_TOT_REGULAR_ALLOT</t>
  </si>
  <si>
    <t>TRANS_VOCED_ALLOT</t>
  </si>
  <si>
    <t>TRS_CVR_MBR_AMT</t>
  </si>
  <si>
    <t>TSBVI_ADA</t>
  </si>
  <si>
    <t>TSBVI_FOUNDATION_AMT</t>
  </si>
  <si>
    <t>TSD_ADA</t>
  </si>
  <si>
    <t>TSD_FOUNDATION_AMT</t>
  </si>
  <si>
    <t>TUITION_PAID</t>
  </si>
  <si>
    <t>VOCED_ADV_ALLOT</t>
  </si>
  <si>
    <t>VOCED_ADV_FTE</t>
  </si>
  <si>
    <t>VOCED_ALLOT</t>
  </si>
  <si>
    <t>VOCED_BLOCK_GRANT</t>
  </si>
  <si>
    <t>VOCED_FTE</t>
  </si>
  <si>
    <t>VOCED_SETASIDE_P2</t>
  </si>
  <si>
    <t>VSN_ADA</t>
  </si>
  <si>
    <t>VSN_ENROLL</t>
  </si>
  <si>
    <t>WADA_REDUCTION</t>
  </si>
  <si>
    <t>WINDHAM_APPROP</t>
  </si>
  <si>
    <t>Y05_MO_RATE_ADOPT</t>
  </si>
  <si>
    <t>Y10_HB1_REV_PER_WADA</t>
  </si>
  <si>
    <t>Y09_EDSAL_ALLOT</t>
  </si>
  <si>
    <t>Y10_NIFA_ALLOT</t>
  </si>
  <si>
    <t>Y10_TRANS_ALLOT</t>
  </si>
  <si>
    <t>N</t>
  </si>
  <si>
    <t>PRIORITY CHARTER SCHOOLS</t>
  </si>
  <si>
    <t>SCHOOL OF SCIENCE AND TECHNOLOGY DISCOVERY</t>
  </si>
  <si>
    <t>BASIS TEXAS</t>
  </si>
  <si>
    <t>GREAT HEARTS TEXAS</t>
  </si>
  <si>
    <t>ELEANOR KOLITZ HEBREW LANGUAGE ACADEMY</t>
  </si>
  <si>
    <t>ARROW ACADEMY</t>
  </si>
  <si>
    <t>IMAGINE INTERNATIONAL ACADEMY OF NORTH TEXAS</t>
  </si>
  <si>
    <t>TEXANS CAN ACADEMIES</t>
  </si>
  <si>
    <t>LUMIN EDUCATION</t>
  </si>
  <si>
    <t>ADVANTAGE ACADEMY</t>
  </si>
  <si>
    <t>NOVA ACADEMY</t>
  </si>
  <si>
    <t>ACADEMY FOR ACADEMIC EXCELLENCE</t>
  </si>
  <si>
    <t>EVOLUTION ACADEMY CHARTER SCHOOL</t>
  </si>
  <si>
    <t>KIPP DALLAS-FORT WORTH</t>
  </si>
  <si>
    <t>RICHLAND COLLEGIATE HIGH SCHOOL</t>
  </si>
  <si>
    <t>CITYSCAPE SCHOOLS</t>
  </si>
  <si>
    <t>MANARA ACADEMY</t>
  </si>
  <si>
    <t>VILLAGE TECH SCHOOLS</t>
  </si>
  <si>
    <t>INTERNATIONAL LEADERSHIP OF TEXAS (ILT)</t>
  </si>
  <si>
    <t>NORTH TEXAS COLLEGIATE ACADEMY</t>
  </si>
  <si>
    <t>LEADERSHIP PREP SCHOOL</t>
  </si>
  <si>
    <t>COMPASS ACADEMY CHARTER SCHOOL</t>
  </si>
  <si>
    <t>UTPB STEM ACADEMY</t>
  </si>
  <si>
    <t>PASO DEL NORTE ACADEMY CHARTER DISTRICT</t>
  </si>
  <si>
    <t>VISTA DEL FUTURO CHARTER SCHOOL</t>
  </si>
  <si>
    <t>EL PASO LEADERSHIP ACADEMY</t>
  </si>
  <si>
    <t>ERATH EXCELS ACADEMY INC</t>
  </si>
  <si>
    <t>ODYSSEY ACADEMY INC</t>
  </si>
  <si>
    <t>ACADEMY OF ACCELERATED LEARNING INC</t>
  </si>
  <si>
    <t>EXCEL ACADEMY</t>
  </si>
  <si>
    <t>THE VARNETT PUBLIC SCHOOL</t>
  </si>
  <si>
    <t>AMIGOS POR VIDA-FRIENDS FOR LIFE PUB CHTR SCH</t>
  </si>
  <si>
    <t>HOUSTON GATEWAY ACADEMY INC</t>
  </si>
  <si>
    <t>STEP CHARTER SCHOOL</t>
  </si>
  <si>
    <t>THE RHODES SCHOOL</t>
  </si>
  <si>
    <t>HARMONY SCHOOL OF SCIENCE - HOUSTON</t>
  </si>
  <si>
    <t>THE LAWSON ACADEMY</t>
  </si>
  <si>
    <t>THE PRO-VISION ACADEMY</t>
  </si>
  <si>
    <t>HORIZON MONTESSORI PUBLIC SCHOOLS</t>
  </si>
  <si>
    <t>MIDVALLEY ACADEMY CHARTER DISTRICT</t>
  </si>
  <si>
    <t>TEKOA ACADEMY OF ACCELERATED STUDIES STEM SCHOOL</t>
  </si>
  <si>
    <t>BOB HOPE SCHOOL</t>
  </si>
  <si>
    <t>SOUTH PLAINS ACADEMY CHARTER DISTRICT</t>
  </si>
  <si>
    <t>RAPOPORT ACADEMY PUBLIC SCHOOL</t>
  </si>
  <si>
    <t>HARMONY SCIENCE ACAD (WACO)</t>
  </si>
  <si>
    <t>STEPHEN F AUSTIN STATE UNIVERSITY CHARTER SCHOOL</t>
  </si>
  <si>
    <t>TEXAS SCHOOL OF THE ARTS</t>
  </si>
  <si>
    <t>CHAPEL HILL ACADEMY</t>
  </si>
  <si>
    <t>NEWMAN INTERNATIONAL ACADEMY OF ARLINGTON</t>
  </si>
  <si>
    <t>TEXAS COLLEGE PREPARATORY ACADEMIES</t>
  </si>
  <si>
    <t>WAYSIDE SCHOOLS</t>
  </si>
  <si>
    <t>MONTESSORI FOR ALL</t>
  </si>
  <si>
    <t>THE EXCEL CENTER (FOR ADULTS)</t>
  </si>
  <si>
    <t>GATEWAY ACADEMY CHARTER DISTRICT</t>
  </si>
  <si>
    <t>% of Annual Allotment</t>
  </si>
  <si>
    <t>Payment Number</t>
  </si>
  <si>
    <t>TRINITY ENVIRONMENTAL ACADEMY</t>
  </si>
  <si>
    <t>BETA ACADEMY</t>
  </si>
  <si>
    <t>KI CHARTER ACADEMY</t>
  </si>
  <si>
    <t>HIGH POINT ACADEMY</t>
  </si>
  <si>
    <t>THE EXCEL CENTER</t>
  </si>
  <si>
    <t>DR. M.L. GARZA-GONZALEZ CHARTER SCHOOL</t>
  </si>
  <si>
    <t>HARMONY SCIENCE ACAD (HOUSTON)</t>
  </si>
  <si>
    <t>HARMONY SCIENCE ACAD (AUSTIN)</t>
  </si>
  <si>
    <t>KIPP AUSTIN PUBLIC SCHOOLS</t>
  </si>
  <si>
    <t>MERIDIAN WORLD SCHOOL</t>
  </si>
  <si>
    <t>RHODES SCHOOL, THE</t>
  </si>
  <si>
    <t>ST MARYS ACADEMY CHARTER SCHOOL</t>
  </si>
  <si>
    <t>TEKOA ACADEMY OF ACCELERATED STUDIES S.T.E.M. SCH.</t>
  </si>
  <si>
    <t>VARNETT PUBLIC SCHOOL, THE</t>
  </si>
  <si>
    <t>YES PREP PUBLIC SCHOOLS, INC.</t>
  </si>
  <si>
    <t>% Remaining</t>
  </si>
  <si>
    <t xml:space="preserve">New Instructional Facilities (NIFA) Allotment </t>
  </si>
  <si>
    <t>Settle-Up</t>
  </si>
  <si>
    <t>UPLIFT EDUCATION</t>
  </si>
  <si>
    <t>Payment Amount</t>
  </si>
  <si>
    <t>A+ UNLIMITED POTENTIAL</t>
  </si>
  <si>
    <t>KAUFFMAN LEADERSHIP ACADEMY</t>
  </si>
  <si>
    <t>PIONEER TECHNOLOGY &amp; ARTS ACADEMY</t>
  </si>
  <si>
    <t>TRIVIUM ACADEMY</t>
  </si>
  <si>
    <t>SAM HOUSTON STATE UNIVERSITY CHARTER SCHOOL</t>
  </si>
  <si>
    <t>HERITAGE ACADEMY</t>
  </si>
  <si>
    <t>Estimate</t>
  </si>
  <si>
    <t>1st Six Weeks</t>
  </si>
  <si>
    <t>2nd Six Weeks</t>
  </si>
  <si>
    <t>3rd Six Weeks</t>
  </si>
  <si>
    <t>4th Six Weeks</t>
  </si>
  <si>
    <t>5th Six Weeks</t>
  </si>
  <si>
    <t>6th Six Weeks</t>
  </si>
  <si>
    <t>Status</t>
  </si>
  <si>
    <t>Attendance Data</t>
  </si>
  <si>
    <t>Days in Membership</t>
  </si>
  <si>
    <t>Total Days Absent</t>
  </si>
  <si>
    <t>Total Days Present</t>
  </si>
  <si>
    <t>Total Ineligible Days</t>
  </si>
  <si>
    <t>Total Eligible Days</t>
  </si>
  <si>
    <t>Total Refined ADA</t>
  </si>
  <si>
    <t>Bilingual/ESL Eligible Days</t>
  </si>
  <si>
    <t>BIL/ESL Refined ADA</t>
  </si>
  <si>
    <t>Special Ed. Mainstream Eligible Days (Code 40)</t>
  </si>
  <si>
    <t>Special Ed. Mainstream Refined ADA</t>
  </si>
  <si>
    <t>Pregnancy Related Services (PRS) Eligible Days</t>
  </si>
  <si>
    <t>Pregnancy Related Services FTE</t>
  </si>
  <si>
    <t>Gifted and Talented Enrolled</t>
  </si>
  <si>
    <t>Gifted and Talented Max</t>
  </si>
  <si>
    <t>Career and Technology Education (CATE) Data</t>
  </si>
  <si>
    <t>V1 FTE</t>
  </si>
  <si>
    <t>V2 FTE</t>
  </si>
  <si>
    <t>V3 FTE</t>
  </si>
  <si>
    <t>V4 FTE</t>
  </si>
  <si>
    <t>V5 FTE</t>
  </si>
  <si>
    <t>V6 FTE</t>
  </si>
  <si>
    <t>Total CATE FTE</t>
  </si>
  <si>
    <t>Special Education Data</t>
  </si>
  <si>
    <t>00 Speech Therapy FTE</t>
  </si>
  <si>
    <t>01 Homebound FTE</t>
  </si>
  <si>
    <t>02 Hospital FTE</t>
  </si>
  <si>
    <t>08 Vocational Class FTE</t>
  </si>
  <si>
    <t>30 State School FTE</t>
  </si>
  <si>
    <t>41-42 Resource Room FTE</t>
  </si>
  <si>
    <t>43-44 Mild/Mod/Severe FTE</t>
  </si>
  <si>
    <t>45 Full Time Early Childhood FTE</t>
  </si>
  <si>
    <t>81-89 Residential Care &amp; Treatment FTE</t>
  </si>
  <si>
    <t>91-98 Off Home Campus FTE</t>
  </si>
  <si>
    <t>Total Special Education FTE</t>
  </si>
  <si>
    <t>Attendance Percentage</t>
  </si>
  <si>
    <t>Select Status</t>
  </si>
  <si>
    <t>PRELIMINARY SUMMARY OF FINANCES (SOF)</t>
  </si>
  <si>
    <t xml:space="preserve">Payment Number </t>
  </si>
  <si>
    <t>Payment Class:</t>
  </si>
  <si>
    <t>Total Foundation School Fund (FSF)</t>
  </si>
  <si>
    <t>4
(regular)</t>
  </si>
  <si>
    <t>5
(accelerated)</t>
  </si>
  <si>
    <t>MAXIMUM ENROLLMENT</t>
  </si>
  <si>
    <t>A. W. BROWN LEADERSHIP ACADEMY</t>
  </si>
  <si>
    <t>COMPASS ROSE ACADEMY</t>
  </si>
  <si>
    <t>GOODWATER MONTESSORI SCHOOL</t>
  </si>
  <si>
    <t>SOUTHWEST SCHOOLS</t>
  </si>
  <si>
    <t>New Charter School</t>
  </si>
  <si>
    <t>Weight or Rate</t>
  </si>
  <si>
    <t>TIER II</t>
  </si>
  <si>
    <t>CALC_FORM_CD</t>
  </si>
  <si>
    <t>NET_MO_LOCAL_REV</t>
  </si>
  <si>
    <t>FSF_ALLOT_BEFORE_42_2518</t>
  </si>
  <si>
    <t>NET_MO_REV_TOT</t>
  </si>
  <si>
    <t>PY2_DPV_ADJ</t>
  </si>
  <si>
    <t>PY1_MO_COLL_FRZ</t>
  </si>
  <si>
    <t>PY1_MO_COLL_TOT</t>
  </si>
  <si>
    <t>JUBILEE ACADEMIES</t>
  </si>
  <si>
    <t>A W BROWN LEADERSHIP ACADEMY</t>
  </si>
  <si>
    <t>Payment Class</t>
  </si>
  <si>
    <t>TOTAL OTHER PROGRAMS</t>
  </si>
  <si>
    <t>Status Date</t>
  </si>
  <si>
    <t>Begin Date</t>
  </si>
  <si>
    <t>End Date</t>
  </si>
  <si>
    <t>Highest Six-Month Average Calculation</t>
  </si>
  <si>
    <t>Month/Year</t>
  </si>
  <si>
    <t>Texas Education Agency (TEA) Alternative State Compensatory Education Monthly Claims</t>
  </si>
  <si>
    <t>County District Number</t>
  </si>
  <si>
    <t>Charter School Name</t>
  </si>
  <si>
    <t xml:space="preserve">Is the 2018-2019 school year the charter school's first year of operation? </t>
  </si>
  <si>
    <t>Available School Fund Average Daily Attendance (ADA)</t>
  </si>
  <si>
    <t>01</t>
  </si>
  <si>
    <t>08</t>
  </si>
  <si>
    <t>02</t>
  </si>
  <si>
    <t>00</t>
  </si>
  <si>
    <t>41 &amp; 42</t>
  </si>
  <si>
    <t>43 &amp; 44</t>
  </si>
  <si>
    <t>91-98</t>
  </si>
  <si>
    <t>81 - 89</t>
  </si>
  <si>
    <t>V1</t>
  </si>
  <si>
    <t>V2</t>
  </si>
  <si>
    <t>V3</t>
  </si>
  <si>
    <t>V4</t>
  </si>
  <si>
    <t>V5</t>
  </si>
  <si>
    <t>V6</t>
  </si>
  <si>
    <t xml:space="preserve">Number Enrolled in Homebound </t>
  </si>
  <si>
    <t>Number Enrolled in Hospital Class</t>
  </si>
  <si>
    <t xml:space="preserve">Number Enrolled in Speech Therapy </t>
  </si>
  <si>
    <t xml:space="preserve">Number Enrolled in Resource Room </t>
  </si>
  <si>
    <t xml:space="preserve">Number Enrolled in Self-Contained Mild/Mod/Sev </t>
  </si>
  <si>
    <t xml:space="preserve">Number Enrolled in Full-Time Early Childhood </t>
  </si>
  <si>
    <t xml:space="preserve">Number Enrolled in Off-Home Campus </t>
  </si>
  <si>
    <t xml:space="preserve">Number Enrolled in VAC </t>
  </si>
  <si>
    <t xml:space="preserve">Number Enrolled from State Schools </t>
  </si>
  <si>
    <t>Number Enrolled in Residential Care &amp; Treatment</t>
  </si>
  <si>
    <t xml:space="preserve">Number Enrolled in Mainstream </t>
  </si>
  <si>
    <t xml:space="preserve">Number Enrolled in Two-hour Class </t>
  </si>
  <si>
    <t>Number Enrolled in One-hour Class</t>
  </si>
  <si>
    <t>Number Enrolled in Three-hour Class</t>
  </si>
  <si>
    <t xml:space="preserve">Number Enrolled in Four-hour Class </t>
  </si>
  <si>
    <t>Number Enrolled in Five-hour Class</t>
  </si>
  <si>
    <t>Number Enrolled in Six-hour Class</t>
  </si>
  <si>
    <t>Codes</t>
  </si>
  <si>
    <t>Enter number in 
Data Elements Cell C14</t>
  </si>
  <si>
    <t>Texas Department of Agriculture (TDA) - NSLP, SBP, CEP</t>
  </si>
  <si>
    <t>Print Screen of SCE section of Data Elements tab:</t>
  </si>
  <si>
    <t>2018-2019 Estimate of State Aid Template
STATE COMPENSATORY EDUCATION ESTIMATE WORKSHEET</t>
  </si>
  <si>
    <t>Adjustment Amount</t>
  </si>
  <si>
    <t>Data Input</t>
  </si>
  <si>
    <t>Only reports in Approved status used for Average</t>
  </si>
  <si>
    <t>2018-2019 Estimate of State Aid Template
STATE COMPENSATORY EDUCATION ESTIMATE WORKSHEET
INSTRUCTIONS</t>
  </si>
  <si>
    <t xml:space="preserve">Complete the State Compensatory Education (SCE) Estimate worksheet to calculate an accurate estimate of the highest six-month average for SCE Enrollment.
Utilizing this worksheet is beneficial because it should minimize adjustments to the State Compensatory Education allotment. Failure to do so may result
in over/under reporting for majority of school year (September – March).
Data reported for SCE eligibility claims must include actual and/or estimate data from one or more of the following sources:
     •   National School Lunch Program (NSLP) for free or reduced-price lunches or in the School  Breakfast Program (SBP), and/or Community Eligibility Provision (CEP)
          received through the Texas Unified Nutrition Programs System (TX-UNPS) of the Texas Department  of Agriculture (TDA); or
     •   A contract between the school district/charter school and the TDA to provide NSLP or SBP services; or
     •   A contract between the school district/charter school and a school district to provide NSLP or SBP
          services; or
     •   The Alternative SCE Basic Monthly Claim, submitted directly to the Texas Education Agency (TEA)
          for campuses that do not participate in the TDA programs.
1. The County District Number (cell B3) and the Charter School Name (cell B4) populate when the 
     charter school enters its six-digit county district number in cell D4 of the Data Elements tab.
2.  If you are a new open-enrollment charter school, Select YES from drop-down menu in cell B6.
      Otherwise make no change. 
3.  Enter October through September data in the appropriate column for applications received through
     Texas Department of Agriculture (TDA) and/or Texas Education Agency (TEA).  Review Month/Year
     and DataType column information for accurate reporting.
         •   For new open enrollment charter schools, data reported is estimate data from October 2018 through
              September 2019.
         •   For charters that operated in the 2017-2018 school year, data reported is actual data from October
              2017 through June 2018, with estimates for July, August, and September 2018.
4.  Enter the calculated value in cell E30 (Highest Six-Month Average) and report in cell C14 of Data
      Elements tab.   
</t>
  </si>
  <si>
    <t>DPV_ADJ_DECLINE</t>
  </si>
  <si>
    <t>STATE_AID_INCR_DECLINE</t>
  </si>
  <si>
    <t>RECAP_DECR_DECLINE</t>
  </si>
  <si>
    <t>DPV_DECLINE_AMT</t>
  </si>
  <si>
    <t>DPV_DECLINE_AMT_ADJ</t>
  </si>
  <si>
    <t>DPV_DECLINE_PCT_5K</t>
  </si>
  <si>
    <t>DPV_DECLINE_PCT_15K</t>
  </si>
  <si>
    <t>STATE_CHART_FACIL_UNADJ</t>
  </si>
  <si>
    <t>AVG_IS_RATE_CHART_CAP</t>
  </si>
  <si>
    <t>FACIL_ALLOT_CHART</t>
  </si>
  <si>
    <t>BRIDGEWAY PREPARATORY ACADEMY</t>
  </si>
  <si>
    <t>ETOILE ACADEMY CHARTER SCHOOL</t>
  </si>
  <si>
    <t>INSPIRE ACADEMIES</t>
  </si>
  <si>
    <t>LEGACY SCHOOL OF SPORT SCIENCES</t>
  </si>
  <si>
    <t>LONE STAR LANGUAGE ACADEMY</t>
  </si>
  <si>
    <t>MEADOWLAND CHARTER DISTRICT</t>
  </si>
  <si>
    <t>NEW FRONTIERS PUBLIC SCHOOLS, INC.</t>
  </si>
  <si>
    <t>PROMESA PUBLIC SCHOOLS</t>
  </si>
  <si>
    <t>RAUL YZAGUIRRE SCHOOLS FOR SUCCESS</t>
  </si>
  <si>
    <t>VALOR PUBLIC SCHOOLS</t>
  </si>
  <si>
    <t>YELLOWSTONE COLLEGE PREPARATORY</t>
  </si>
  <si>
    <t>APPROVED MAXIMUM ENROLLMENT CHANGES
(effective 7/1/2018)</t>
  </si>
  <si>
    <t>REQUESTED MAXIMUM
ENROLLMENT CHANGES</t>
  </si>
  <si>
    <t>MAXIMUM
ENROLLMENT</t>
  </si>
  <si>
    <t>STAFF SALARY</t>
  </si>
  <si>
    <t>1</t>
  </si>
  <si>
    <t>Percent of Unpaid Balance (based on schedule below)</t>
  </si>
  <si>
    <t>Foundation School Fund Remaining Balance</t>
  </si>
  <si>
    <t xml:space="preserve">     Homebound (Code 01)</t>
  </si>
  <si>
    <t xml:space="preserve">     Hospital Class (Code 02)</t>
  </si>
  <si>
    <t xml:space="preserve">     Speech Therapy (Code 00)</t>
  </si>
  <si>
    <t xml:space="preserve">     Resource Room (Code 41&amp; 42)</t>
  </si>
  <si>
    <t xml:space="preserve">     Self-contained Mild/Mod/Severe (Code 43 &amp; 44)</t>
  </si>
  <si>
    <t xml:space="preserve">     Full Time Early Childhood (Code 45)</t>
  </si>
  <si>
    <t xml:space="preserve">     Off-home Campus (Codes 91-98)</t>
  </si>
  <si>
    <t xml:space="preserve">     VAC (Code 08)</t>
  </si>
  <si>
    <t xml:space="preserve">     State School Students (Code 30)</t>
  </si>
  <si>
    <t xml:space="preserve">     Residential Care &amp; Treatment (Code 81-89)</t>
  </si>
  <si>
    <t>TOTAL SPECIAL EDUCATION FTE</t>
  </si>
  <si>
    <t>TOTAL SPECIAL EDUCATION WEIGHTED FTE</t>
  </si>
  <si>
    <t xml:space="preserve">     Refined Average Daily Attendance (ADA)</t>
  </si>
  <si>
    <t xml:space="preserve">TOTAL FOUNDATION SCHOOL PROGRAM STATE AID </t>
  </si>
  <si>
    <t xml:space="preserve">     EYS Hospital Class (Code 02)</t>
  </si>
  <si>
    <t xml:space="preserve">     EYS Homebound (Code 01)</t>
  </si>
  <si>
    <t>TOTAL EYS SPECIAL EDUCATION FTE</t>
  </si>
  <si>
    <t xml:space="preserve">     EYS Resource Room (Code 41&amp; 42)</t>
  </si>
  <si>
    <t xml:space="preserve">     EYS Speech Therapy (Code 00)</t>
  </si>
  <si>
    <t xml:space="preserve">     EYS Self-contained Mild/Mod/Severe (Code 43 &amp; 44)</t>
  </si>
  <si>
    <t xml:space="preserve">     EYS Full Time Early Childhood (Code 45)</t>
  </si>
  <si>
    <t xml:space="preserve">     EYS Off-home Campus (Codes 91-98)</t>
  </si>
  <si>
    <t xml:space="preserve">     EYS VAC (Code 08)</t>
  </si>
  <si>
    <t xml:space="preserve">     EYS State School Students (Code 30)</t>
  </si>
  <si>
    <t xml:space="preserve">     EYS Residential Care &amp; Treatment (Code 81-89)</t>
  </si>
  <si>
    <t>TOTAL EYS SPECIAL EDUCATION WEIGHTED FTE</t>
  </si>
  <si>
    <t xml:space="preserve">     Mainstream ADA</t>
  </si>
  <si>
    <t xml:space="preserve">     Career &amp; Technology FTEs</t>
  </si>
  <si>
    <t>REGULAR PROGRAM ADA</t>
  </si>
  <si>
    <t xml:space="preserve">     State Compensatory Education Enrollment</t>
  </si>
  <si>
    <t xml:space="preserve">     Pregnancy Related FTEs</t>
  </si>
  <si>
    <t xml:space="preserve">     Bilingual ADA</t>
  </si>
  <si>
    <t>TIER I ALLOTMENTS</t>
  </si>
  <si>
    <t xml:space="preserve">     Per Capita Rate</t>
  </si>
  <si>
    <t xml:space="preserve">     District Basic Allotment (DBA)</t>
  </si>
  <si>
    <t xml:space="preserve">     Adjusted Basic Allotment (ABA)</t>
  </si>
  <si>
    <t xml:space="preserve">     Adjusted Allotment</t>
  </si>
  <si>
    <t xml:space="preserve">     District Tax Rate Level 1 (DTR1)</t>
  </si>
  <si>
    <t xml:space="preserve">     District Tax Rate Level 2 (DTR2)</t>
  </si>
  <si>
    <t xml:space="preserve">     EDA Guaranteed Yield (GY)</t>
  </si>
  <si>
    <t xml:space="preserve">     Level 1 Entitlement</t>
  </si>
  <si>
    <t xml:space="preserve">     Level 2 Entitlement</t>
  </si>
  <si>
    <t xml:space="preserve">     Interest &amp; Sinking Rate</t>
  </si>
  <si>
    <t xml:space="preserve">          Full-Time Staff (not MSS)</t>
  </si>
  <si>
    <t xml:space="preserve">          Part-Time Staff (not MSS)</t>
  </si>
  <si>
    <t xml:space="preserve">          Tier II Level 1</t>
  </si>
  <si>
    <t xml:space="preserve">          Tier II Level 2</t>
  </si>
  <si>
    <t>TOTAL TIER I</t>
  </si>
  <si>
    <t>ASF</t>
  </si>
  <si>
    <t>FSF</t>
  </si>
  <si>
    <t>Method of finance: Available School Fund (ASF) and 
Foundattion School Fund (FSF)</t>
  </si>
  <si>
    <t>SPECIAL EDUCATION FTEs</t>
  </si>
  <si>
    <t>EXTENDED YEAR SERVICES (EYS) SPECIAL EDUCATION FTEs</t>
  </si>
  <si>
    <r>
      <t xml:space="preserve">Total </t>
    </r>
    <r>
      <rPr>
        <b/>
        <sz val="11"/>
        <rFont val="Arial Nova"/>
        <family val="2"/>
      </rPr>
      <t>Paid to Date</t>
    </r>
    <r>
      <rPr>
        <sz val="11"/>
        <rFont val="Arial Nova"/>
        <family val="2"/>
      </rPr>
      <t xml:space="preserve"> Amount</t>
    </r>
  </si>
  <si>
    <t xml:space="preserve">     Dyslexia Enrollment</t>
  </si>
  <si>
    <t xml:space="preserve">        Adjusted GYA</t>
  </si>
  <si>
    <t xml:space="preserve">EYS Number Enrolled in Homebound </t>
  </si>
  <si>
    <t>EYS Number Enrolled in Hospital Class</t>
  </si>
  <si>
    <t xml:space="preserve">EYS Number Enrolled in Speech Therapy </t>
  </si>
  <si>
    <t xml:space="preserve">EYS Number Enrolled in Resource Room </t>
  </si>
  <si>
    <t xml:space="preserve">EYS Number Enrolled in Self-Contained Mild/Mod/Sev </t>
  </si>
  <si>
    <t xml:space="preserve">EYS Number Enrolled in Full-Time Early Childhood </t>
  </si>
  <si>
    <t xml:space="preserve">EYS Number Enrolled in Off-Home Campus </t>
  </si>
  <si>
    <t xml:space="preserve">EYS Number Enrolled in VAC </t>
  </si>
  <si>
    <t xml:space="preserve">EYS Number Enrolled from State Schools </t>
  </si>
  <si>
    <t>EYS Number Enrolled in Residential Care &amp; Treatment</t>
  </si>
  <si>
    <t xml:space="preserve">EYS Number Enrolled in Mainstream </t>
  </si>
  <si>
    <t>Extended Year Services Special Education Data</t>
  </si>
  <si>
    <t>Advanced CTE Data</t>
  </si>
  <si>
    <t>County District Number:</t>
  </si>
  <si>
    <t>Percentage Rate of Attendance</t>
  </si>
  <si>
    <t>FSP ADA Projection Report Average Column</t>
  </si>
  <si>
    <t>Y</t>
  </si>
  <si>
    <t>4</t>
  </si>
  <si>
    <t>NEW FRONTIERS PUBLIC SCHOOLS INC</t>
  </si>
  <si>
    <t>BROOKS ACADEMIES OF TEXAS</t>
  </si>
  <si>
    <t>PROMESA ACADEMY CHARTER SCHOOL</t>
  </si>
  <si>
    <t>BOWIE COUNTY</t>
  </si>
  <si>
    <t>TERLINGUA CSD</t>
  </si>
  <si>
    <t>UNIVERSITY OF TEXAS RIO GRANDE VALLEY</t>
  </si>
  <si>
    <t>CROCKETT COUNTY CONSOLIDATED CSD</t>
  </si>
  <si>
    <t>NOVA ACADEMY SOUTHEAST</t>
  </si>
  <si>
    <t>INTERNATIONAL LEADERSHIP OF TEXAS (ILTEXAS)</t>
  </si>
  <si>
    <t>UNIVERSITY OF NORTH TEXAS</t>
  </si>
  <si>
    <t>RAMIREZ CSD</t>
  </si>
  <si>
    <t>DOSS CONSOLIDATED CSD</t>
  </si>
  <si>
    <t>HARRIS COUNTY DEPT OF ED</t>
  </si>
  <si>
    <t>BLOOM ACADEMY CHARTER SCHOOL</t>
  </si>
  <si>
    <t>REVE PREPARATORY CHARTER SCHOOL</t>
  </si>
  <si>
    <t>TRIUMPH PUBLIC HIGH SCHOOLS-RIO GRANDE VALLEY</t>
  </si>
  <si>
    <t>LAKE GRANBURY ACADEMY CHARTER SCHOOL</t>
  </si>
  <si>
    <t>TEXAS ACADEMY OF LEADERSHIP IN THE HUMANITIES</t>
  </si>
  <si>
    <t>KENEDY COUNTY WIDE CSD</t>
  </si>
  <si>
    <t>GUTHRIE CSD</t>
  </si>
  <si>
    <t>ELEMENTARY SCHOOL FOR EDUCATION INNOVATION</t>
  </si>
  <si>
    <t>UT TYLER UNIVERSITY ACADEMY</t>
  </si>
  <si>
    <t>6</t>
  </si>
  <si>
    <t>TEXAS JUVENILE JUSTICE DEPARTMENT</t>
  </si>
  <si>
    <t>KIPP TEXAS PUBLIC SCHOOLS</t>
  </si>
  <si>
    <t>TEXAS A&amp;M INTERNATIONAL UNIVERSITY ISD</t>
  </si>
  <si>
    <t>TRIUMPH PUBLIC HIGH SCHOOLS-LAREDO</t>
  </si>
  <si>
    <t xml:space="preserve">Bloom Academy Charter School </t>
  </si>
  <si>
    <t>Elementary School for Education Innovation (Lubbock)</t>
  </si>
  <si>
    <t>Promesa Academy Charter School (San Antonio)</t>
  </si>
  <si>
    <t>Rêve Preparatory Charter School (Houston)</t>
  </si>
  <si>
    <t xml:space="preserve">INTERNATIONAL LEADERSHIP OF TEXAS (ILTEXAS) </t>
  </si>
  <si>
    <t>POSTPONED OPENING UNTIL 2020</t>
  </si>
  <si>
    <t>TRIUMPH PUBLIC HIGH SCHOOLS-EL PASO</t>
  </si>
  <si>
    <t>TRIUMPH PUBLIC HIGH SCHOOLS-LUBBOCK</t>
  </si>
  <si>
    <t xml:space="preserve">      1. Login through TEA Login (TEAL): https://tealprod.tea.state.tx.us/</t>
  </si>
  <si>
    <t xml:space="preserve">      2. Select FSP - Foundation School Program Application </t>
  </si>
  <si>
    <t xml:space="preserve">      3. Hover over Programs menu</t>
  </si>
  <si>
    <t xml:space="preserve">      4. Click on Charter Schools module</t>
  </si>
  <si>
    <t xml:space="preserve">      5. Change School Year to 2019-2020 (top right-hand corner of screen) and click Update button</t>
  </si>
  <si>
    <t xml:space="preserve">      6. Under Submissions section, complete Contact Information with primary and secondary contacts</t>
  </si>
  <si>
    <t xml:space="preserve">      7. Under "Submissions" section, select Estimate Data</t>
  </si>
  <si>
    <t xml:space="preserve">      8. Click "Revise Data" button found at bottom of screen interface to start entering revised data</t>
  </si>
  <si>
    <t xml:space="preserve">           (For new charter schools, simply start entering estimate data in New Value column)</t>
  </si>
  <si>
    <t xml:space="preserve">      9. To submit, click "SUBMIT TO TEA" button.</t>
  </si>
  <si>
    <t>Enter Six Digit County District Number above</t>
  </si>
  <si>
    <t>Enter six digit county district number in cell C1</t>
  </si>
  <si>
    <t>SOF date:</t>
  </si>
  <si>
    <t xml:space="preserve">     District Basic Allotment (DBA) </t>
  </si>
  <si>
    <t xml:space="preserve">                          Special Education (regular)</t>
  </si>
  <si>
    <t xml:space="preserve">                          Mainstream</t>
  </si>
  <si>
    <t xml:space="preserve">                          Residential Care and Treatment</t>
  </si>
  <si>
    <t xml:space="preserve">                          State Schools</t>
  </si>
  <si>
    <t xml:space="preserve">                          Extended Year Special Education</t>
  </si>
  <si>
    <t xml:space="preserve">                          Career &amp; Technology (CTE) Allotment</t>
  </si>
  <si>
    <t xml:space="preserve">                          Advanced CTE Allotment</t>
  </si>
  <si>
    <t xml:space="preserve">                          State Compensatory Allotment</t>
  </si>
  <si>
    <t xml:space="preserve">                          Pregnancy Related</t>
  </si>
  <si>
    <t xml:space="preserve">                           Special Education Transportation</t>
  </si>
  <si>
    <t xml:space="preserve">                           Career &amp; Technology Education Transporation</t>
  </si>
  <si>
    <r>
      <t xml:space="preserve">     Early Education ADA, K - 3
     </t>
    </r>
    <r>
      <rPr>
        <sz val="9"/>
        <rFont val="Arial Nova"/>
        <family val="2"/>
      </rPr>
      <t>(Educationally disadvantaged or LEP &amp; bilingual or special language)</t>
    </r>
  </si>
  <si>
    <t xml:space="preserve">     ASF ADA</t>
  </si>
  <si>
    <t xml:space="preserve">     School Safety Allotment</t>
  </si>
  <si>
    <t>TIER TWO</t>
  </si>
  <si>
    <t>TOTAL TIER TWO</t>
  </si>
  <si>
    <t>TOTAL TIER ONE</t>
  </si>
  <si>
    <t>11    -    Regular Program Allotment, 48.051</t>
  </si>
  <si>
    <t>xx   -    Small &amp; Mid-Sized District Allotment, 48.101</t>
  </si>
  <si>
    <t>24   -    Dyslexia or Related Disorder Allotment, 48.103</t>
  </si>
  <si>
    <t xml:space="preserve">   99    -    Transportation Allotment, 48.151</t>
  </si>
  <si>
    <t>99    -    New Instructional Facility Allotment, 48.152</t>
  </si>
  <si>
    <t xml:space="preserve">                       Career and Technology Detail:</t>
  </si>
  <si>
    <t xml:space="preserve">                     State Compensatory Detail:</t>
  </si>
  <si>
    <t xml:space="preserve">                     Special Education Detail:</t>
  </si>
  <si>
    <t xml:space="preserve">                       Transporation Allotment Detail:</t>
  </si>
  <si>
    <r>
      <t xml:space="preserve">   22    -   Career and Technology Allotment, 48.106 </t>
    </r>
    <r>
      <rPr>
        <b/>
        <sz val="10.5"/>
        <rFont val="Arial Nova"/>
        <family val="2"/>
      </rPr>
      <t>(spend 55% of amount)</t>
    </r>
  </si>
  <si>
    <r>
      <t xml:space="preserve">   24    -    Compensatory Education Allotment, 48.104 </t>
    </r>
    <r>
      <rPr>
        <b/>
        <sz val="10.5"/>
        <rFont val="Arial Nova"/>
        <family val="2"/>
      </rPr>
      <t>(spend 55% of amount)</t>
    </r>
  </si>
  <si>
    <r>
      <t xml:space="preserve">   23    -   Special Education Adjusted Allotment, 48.102 </t>
    </r>
    <r>
      <rPr>
        <b/>
        <sz val="10"/>
        <rFont val="Arial Nova"/>
        <family val="2"/>
      </rPr>
      <t>(spend 55% of amount)</t>
    </r>
  </si>
  <si>
    <t>TIER ONE SUBCHAPTER B AND C ALLOTMENTS:</t>
  </si>
  <si>
    <t>TIER ONE SUBCHAPTER D ALLOTMENTS:</t>
  </si>
  <si>
    <t>STATE AID - HOUSE BILL 3</t>
  </si>
  <si>
    <t>STATE AID - LAW PRIOR TO HOUSE BILL 3</t>
  </si>
  <si>
    <t xml:space="preserve">        Refined Average Daily Attendance (ADA)</t>
  </si>
  <si>
    <t xml:space="preserve">        Prior Year Refined ADA </t>
  </si>
  <si>
    <t xml:space="preserve">     Dropout Recovery</t>
  </si>
  <si>
    <t>TOTAL BILINGUAL WEIGHTED ADA</t>
  </si>
  <si>
    <t>BILINGUAL ADA</t>
  </si>
  <si>
    <t>WEIGHTED SCE COUNT</t>
  </si>
  <si>
    <t>Bloom Academy Charter School (Houston)</t>
  </si>
  <si>
    <t>M&amp;O Revenue Before HB3</t>
  </si>
  <si>
    <t xml:space="preserve">   Dyslexia or Related Disorder</t>
  </si>
  <si>
    <t xml:space="preserve">
Highest Six-Month Average State Compensatory Education</t>
  </si>
  <si>
    <t>EYS Spec Ed</t>
  </si>
  <si>
    <t>Transporation</t>
  </si>
  <si>
    <r>
      <t xml:space="preserve">     Small &amp; Mid-Size Charter Allotment </t>
    </r>
    <r>
      <rPr>
        <sz val="9"/>
        <rFont val="Arial Nova"/>
        <family val="2"/>
      </rPr>
      <t>(all charter schools regardless of size)</t>
    </r>
  </si>
  <si>
    <t>9th to 12th Grade</t>
  </si>
  <si>
    <t>Charter School Facility Funding Eligibility</t>
  </si>
  <si>
    <t xml:space="preserve">Full-time staff 
Do not include administrators, teachers, librarians, nurses or counselors.  </t>
  </si>
  <si>
    <t xml:space="preserve">Part-time staff 
Do not include administrators, teachers, librarians, nurses or counselors.  </t>
  </si>
  <si>
    <t>HB3</t>
  </si>
  <si>
    <t xml:space="preserve">Participated in Teacher Retirement System (TRS) Active Care:
in the 2005-2006 school year? </t>
  </si>
  <si>
    <t xml:space="preserve">      TOTAL Number of Students Enrolled - All Grades
      (Average Membership for 1st Six-Weeks) </t>
  </si>
  <si>
    <t>Bilingual Data:</t>
  </si>
  <si>
    <t>Transportation Allotment Total</t>
  </si>
  <si>
    <t>Spec. Ed</t>
  </si>
  <si>
    <r>
      <t xml:space="preserve"> </t>
    </r>
    <r>
      <rPr>
        <b/>
        <sz val="12"/>
        <rFont val="Arial Nova"/>
        <family val="2"/>
      </rPr>
      <t>NonLEP</t>
    </r>
    <r>
      <rPr>
        <sz val="12"/>
        <rFont val="Arial Nova"/>
        <family val="2"/>
      </rPr>
      <t xml:space="preserve"> with dual language immersion</t>
    </r>
  </si>
  <si>
    <r>
      <t xml:space="preserve">    Bilingual/ESL </t>
    </r>
    <r>
      <rPr>
        <b/>
        <sz val="12"/>
        <rFont val="Arial Nova"/>
        <family val="2"/>
      </rPr>
      <t>(LEP only)</t>
    </r>
  </si>
  <si>
    <t>College, Career, Military Readiness (CCMR) Outcomes Bonus</t>
  </si>
  <si>
    <t xml:space="preserve">          (Contact Information must be completed to activate Estimate Data link).</t>
  </si>
  <si>
    <r>
      <rPr>
        <b/>
        <sz val="12"/>
        <rFont val="Arial Nova"/>
        <family val="2"/>
      </rPr>
      <t xml:space="preserve"> LEP with </t>
    </r>
    <r>
      <rPr>
        <sz val="12"/>
        <rFont val="Arial Nova"/>
        <family val="2"/>
      </rPr>
      <t>dual language immersion</t>
    </r>
  </si>
  <si>
    <t xml:space="preserve">   Dropout Recovery</t>
  </si>
  <si>
    <t>Is the charter district eligible for 12.106(d) facilities funding?  
Yes or No from Estimate Data Entry tab, cell C63</t>
  </si>
  <si>
    <t>Special Education graduate cohort
(Number in excess of minimum graduate threshold for cohort)</t>
  </si>
  <si>
    <t>Economically disadvantaged graduate cohort
(Number of graduates in excess of minimum graduate threshold for cohort)</t>
  </si>
  <si>
    <t xml:space="preserve">     Economically disadvantaged graduates above cohort threshold</t>
  </si>
  <si>
    <t xml:space="preserve">     Special Ed. Graduates above cohort threshold</t>
  </si>
  <si>
    <t xml:space="preserve">     Non-economically disadvanteged graduates above cohort
     threshold</t>
  </si>
  <si>
    <t xml:space="preserve">    Tier 2 Census Block</t>
  </si>
  <si>
    <t xml:space="preserve">    Tier 3 Census Block</t>
  </si>
  <si>
    <t xml:space="preserve">    Tier 4 Census Block</t>
  </si>
  <si>
    <r>
      <t xml:space="preserve">     Bilingual ADA </t>
    </r>
    <r>
      <rPr>
        <b/>
        <sz val="11"/>
        <rFont val="Arial Nova"/>
        <family val="2"/>
      </rPr>
      <t>(LEP only)</t>
    </r>
  </si>
  <si>
    <r>
      <t xml:space="preserve">     Dual Language ADA, </t>
    </r>
    <r>
      <rPr>
        <b/>
        <sz val="11"/>
        <rFont val="Arial Nova"/>
        <family val="2"/>
      </rPr>
      <t>NonLEP in</t>
    </r>
    <r>
      <rPr>
        <sz val="11"/>
        <rFont val="Arial Nova"/>
        <family val="2"/>
      </rPr>
      <t xml:space="preserve">:
     </t>
    </r>
    <r>
      <rPr>
        <sz val="10"/>
        <rFont val="Arial Nova"/>
        <family val="2"/>
      </rPr>
      <t>dual lang. immersion/one-way or two-way program model</t>
    </r>
  </si>
  <si>
    <t>Mentor Program Allotment</t>
  </si>
  <si>
    <t>Teacher Incentive Allotment</t>
  </si>
  <si>
    <t>College Preparation Assessment Reimbursement</t>
  </si>
  <si>
    <t>Certification Examination Reimbursement</t>
  </si>
  <si>
    <t xml:space="preserve">    11    -    Regular Program Allotment</t>
  </si>
  <si>
    <t xml:space="preserve">                            Special Education Detail:</t>
  </si>
  <si>
    <t xml:space="preserve">       23    -    Special Education Adjusted Allotment </t>
  </si>
  <si>
    <t xml:space="preserve">                            Career and Technology Detail:</t>
  </si>
  <si>
    <t xml:space="preserve">       22    -    Career and Technology Allotment </t>
  </si>
  <si>
    <r>
      <t xml:space="preserve">    21    -    Gifted &amp; Talented Adjusted Allotment </t>
    </r>
    <r>
      <rPr>
        <sz val="10"/>
        <rFont val="Arial Nova"/>
        <family val="2"/>
      </rPr>
      <t>(Not applicable under HB3)</t>
    </r>
  </si>
  <si>
    <t xml:space="preserve">       24    -    Compensatory Education Allotment </t>
  </si>
  <si>
    <t xml:space="preserve">    25    -    Bilingual Education Allotment</t>
  </si>
  <si>
    <t xml:space="preserve">    99    -    New Instructional Facility Allotment</t>
  </si>
  <si>
    <t xml:space="preserve">       99    -    Transportation Allotment</t>
  </si>
  <si>
    <r>
      <t xml:space="preserve">    31    -    High School Allotment </t>
    </r>
    <r>
      <rPr>
        <sz val="10"/>
        <rFont val="Arial Nova"/>
        <family val="2"/>
      </rPr>
      <t>(Not applicable under HB3)</t>
    </r>
  </si>
  <si>
    <t xml:space="preserve">                     Tier II Level 1</t>
  </si>
  <si>
    <t xml:space="preserve">                     Tier II Level 2</t>
  </si>
  <si>
    <t xml:space="preserve">                     Charter Schools Facilities Funding (12.106(d))</t>
  </si>
  <si>
    <r>
      <t xml:space="preserve">                     Staff Salary Allotment </t>
    </r>
    <r>
      <rPr>
        <sz val="10"/>
        <rFont val="Arial Nova"/>
        <family val="2"/>
      </rPr>
      <t>(Not applicable under HB3)</t>
    </r>
  </si>
  <si>
    <t xml:space="preserve">                            Transporation Detail:</t>
  </si>
  <si>
    <t xml:space="preserve">                            State Compensatory Education Detail:</t>
  </si>
  <si>
    <t xml:space="preserve">                          Special Education </t>
  </si>
  <si>
    <t xml:space="preserve">                           Career &amp; Technology (CTE) Allotment</t>
  </si>
  <si>
    <t xml:space="preserve">                           Advanced CTE Allotment</t>
  </si>
  <si>
    <t xml:space="preserve">                          Special Education Transportation</t>
  </si>
  <si>
    <t xml:space="preserve">                          Career &amp; Technology Education Transporation</t>
  </si>
  <si>
    <r>
      <t xml:space="preserve">SUMMARY OF FINANCE (SOF) DESCRIPTION
</t>
    </r>
    <r>
      <rPr>
        <b/>
        <sz val="14"/>
        <color rgb="FF00B050"/>
        <rFont val="Arial Nova"/>
        <family val="2"/>
      </rPr>
      <t>LAW PRIOR TO HOUSE BILL 3</t>
    </r>
  </si>
  <si>
    <r>
      <t xml:space="preserve">     High School ADA </t>
    </r>
    <r>
      <rPr>
        <sz val="10"/>
        <rFont val="Arial Nova"/>
        <family val="2"/>
      </rPr>
      <t>(Not applicable under HB3)</t>
    </r>
  </si>
  <si>
    <r>
      <t xml:space="preserve">     Dual Language ADA, </t>
    </r>
    <r>
      <rPr>
        <b/>
        <sz val="11"/>
        <rFont val="Arial Nova"/>
        <family val="2"/>
      </rPr>
      <t>LEP in</t>
    </r>
    <r>
      <rPr>
        <sz val="11"/>
        <rFont val="Arial Nova"/>
        <family val="2"/>
      </rPr>
      <t xml:space="preserve">:
     </t>
    </r>
    <r>
      <rPr>
        <sz val="10"/>
        <rFont val="Arial Nova"/>
        <family val="2"/>
      </rPr>
      <t>dual language immersion/one-way or two-way program model</t>
    </r>
  </si>
  <si>
    <t xml:space="preserve">
Use the Payment Calculator to calculate the charter school's the Foundation School Fund (FSF) payment for any given month,
September through August.  Payments are direct deposited to the charter school's banking institution on the 25th of each
month or prior busines day if the 25th falls on a holiday or weekend day.
1. Enter your data in the column C or D according to your established payment class, either Payment Class: 4 (regular) or
    5 (accelerated).  
2. In row 4 for Total Foundation School Fund (FSF) enter amount from State Aid tab.
3. In row 5 for Adjustment Amount, enter each amount from the Adjustment Amount column just as reported from Payment Ledger.
4. In row 6 for Total Paid to Date Amount, enter amount as reported in the last row of the "Paid to Date" column of  your Payment
    Ledger report.  Enter the Paid to Date amount as a negative whole number.  For example, if you have been paid to date $922,206,
    enter as -922206.
5.  In row 8 for Payment Number, enter a number 1 through 12 (i.e Payment number) according to the Payment Month as listed
      in the table below. 
</t>
  </si>
  <si>
    <t xml:space="preserve">
2019-2020 Estimate of State Aid Template
PAYMENT CALCULATOR
</t>
  </si>
  <si>
    <t xml:space="preserve">
2019-2020 Estimate of State Aid Template
PAYMENT CALCULATOR
INSTRUCTIONS</t>
  </si>
  <si>
    <t xml:space="preserve">***Accelerated Payment Class 5*** - House Bill 2251 enacted by the 84th Texas Legislature provides charter schools that have experienced a 10% or greater growth in enrollment with the option of an accelerated FSP payment schedule (Payment Class 5). Applicants eligibility will be determined by comparing a charter school’s first day enrollment reported on the Accelerated Payment Schedule with the charter school's prior year Fall PEIMS enrollment. The 2019-2020 Accelerated Payment Schedule opens in the Foundation School Program system, Charter Schools module, on August 20, 2019 and closes September 1, 2019. NO LATE SUBMISSIONS ARE ACCEPTED.
Note:  Charter schools whose Payment Class 5 schedule ends August 31, 2019,  will have the opportunity to reestablish eligibility and submit a new application for APS by the September 1, 2019, the deadline date. NO LATE SUBMISSIONS ARE ACCEPTED.
</t>
  </si>
  <si>
    <t>2019-2020 Estimate of State Aid Template
ADA Projection Report Worksheet
Purpose of ADA Projection Worksheet</t>
  </si>
  <si>
    <t xml:space="preserve">
The 2019-2020 ADA Projection Report worksheet models the interface of the same name in the Foundation School Program (FSP) system.  The Texas Education Agency (TEA) uses the "Average" column of the FSP ADA Projecction Report  to determine the charter school's Foundation School Program State Aid (average ADA and average FTEs).
The "Average "column is calculated by taking Approved data for the 1st through 6th, Six-Week District Summary Attendance reports. For reporting periods that are not in Approved status, the FSP system uses the latest Approved Six-Week District Summary Attendance report and carries the data forward to applicable Six-Week District Summary Attendance report columns.
Charters may choose to use this tool to update one or more of the Six-Week District Summary Attendance report columns to reflect known trends and evaluate the "Average" column for budgeting purposes.
</t>
  </si>
  <si>
    <t>Enter SOF date 
and data:</t>
  </si>
  <si>
    <r>
      <t xml:space="preserve">SUMMARY OF FINANCE (SOF) DESCRIPTION
</t>
    </r>
    <r>
      <rPr>
        <b/>
        <sz val="14"/>
        <color rgb="FF0070C0"/>
        <rFont val="Arial Nova"/>
        <family val="2"/>
      </rPr>
      <t>HOUSE BILL 3</t>
    </r>
  </si>
  <si>
    <t>Regular Program Transportation Allotment (Regular Program 2018 Mileage * $1)</t>
  </si>
  <si>
    <t>DISTNAME</t>
  </si>
  <si>
    <t>tot_tot_totmil</t>
  </si>
  <si>
    <t>BUS PASSES</t>
  </si>
  <si>
    <t>TRANS_REG_ALLOT MINUS Bus Passes</t>
  </si>
  <si>
    <t>UNIVERSITY OF TEXAS ELEMENTARY CHA</t>
  </si>
  <si>
    <t>BRAZOS SCHOOL FOR INQUIRY &amp; CREATI</t>
  </si>
  <si>
    <t>TEKOA ACADEMY OF ACCELERATED STUDI</t>
  </si>
  <si>
    <t>HENRY FORD ACADEMY ALAMEDA SCHOOL</t>
  </si>
  <si>
    <t>PEGASUS SCHOOL OF LIBERAL ARTS AND</t>
  </si>
  <si>
    <t>INTERNATIONAL LEADERSHIP OF TEXAS</t>
  </si>
  <si>
    <t>Regular Program Transportation Allotment (Bus Passes)</t>
  </si>
  <si>
    <t xml:space="preserve"> Detail Added for HB3</t>
  </si>
  <si>
    <t xml:space="preserve">                           Regular Routes Transportation @ $1 per mile Plus Bus Passes</t>
  </si>
  <si>
    <t>Using June 2019 Data Only</t>
  </si>
  <si>
    <t>HB3 REGULAR TRANSPORTATION ALLOTMENT</t>
  </si>
  <si>
    <t xml:space="preserve">                          Regular Transporation (Based on Linear Density + Bus Passes)</t>
  </si>
  <si>
    <t xml:space="preserve">M&amp;O Revenue Per ADA Before HB3 </t>
  </si>
  <si>
    <t>MEADOWLAND CHARTER SCHOOL</t>
  </si>
  <si>
    <t>JOHN H WOOD JR PUBLIC CHARTER DISTRICT</t>
  </si>
  <si>
    <t>JUBILEE ACADEMIC CENTER</t>
  </si>
  <si>
    <t>THE LONE STAR LANGUAGE ACADEMY</t>
  </si>
  <si>
    <t>Bridgeway Preparatory Academy Charter School (Dallas)</t>
  </si>
  <si>
    <t xml:space="preserve">YELLOWSTONE COLLEGE PREPARATORY </t>
  </si>
  <si>
    <t xml:space="preserve">VALOR PUBLIC SCHOOLS </t>
  </si>
  <si>
    <t>GOODWATER MONTESSORI SCHOOL</t>
  </si>
  <si>
    <t xml:space="preserve">ETOILE ACADEMY CHARTER SCHOOL </t>
  </si>
  <si>
    <t xml:space="preserve">LEGACY SCHOOL OF SPORT SCIENCES </t>
  </si>
  <si>
    <t>LAKE GRANDBURY ACADENY CHARTER SCHOOL</t>
  </si>
  <si>
    <t>Data from
 Estimate Data Entry</t>
  </si>
  <si>
    <t>No Data Entry</t>
  </si>
  <si>
    <r>
      <t xml:space="preserve">Regular Program Transportation Allotment </t>
    </r>
    <r>
      <rPr>
        <sz val="11"/>
        <color rgb="FF000000"/>
        <rFont val="Arial Nova"/>
        <family val="2"/>
      </rPr>
      <t xml:space="preserve">(Based on 2018 Linear Density includes Bus Passes) </t>
    </r>
  </si>
  <si>
    <r>
      <t xml:space="preserve">Enter six-digit CDN on </t>
    </r>
    <r>
      <rPr>
        <b/>
        <sz val="11"/>
        <rFont val="Arial Nova"/>
        <family val="2"/>
      </rPr>
      <t>Estimate Data Entry</t>
    </r>
    <r>
      <rPr>
        <sz val="11"/>
        <rFont val="Arial Nova"/>
        <family val="2"/>
      </rPr>
      <t xml:space="preserve"> tab to load data.</t>
    </r>
  </si>
  <si>
    <r>
      <t xml:space="preserve">Enter 1st six-week estimates on </t>
    </r>
    <r>
      <rPr>
        <b/>
        <sz val="11"/>
        <rFont val="Arial Nova"/>
        <family val="2"/>
      </rPr>
      <t>Estimate Data Entry</t>
    </r>
    <r>
      <rPr>
        <sz val="11"/>
        <rFont val="Arial Nova"/>
        <family val="2"/>
      </rPr>
      <t xml:space="preserve"> tab to load data and review data.</t>
    </r>
  </si>
  <si>
    <r>
      <t xml:space="preserve">Enter six-digit CDN on </t>
    </r>
    <r>
      <rPr>
        <b/>
        <sz val="11"/>
        <rFont val="Arial Nova"/>
        <family val="2"/>
      </rPr>
      <t>Estimate</t>
    </r>
    <r>
      <rPr>
        <sz val="11"/>
        <rFont val="Arial Nova"/>
        <family val="2"/>
      </rPr>
      <t xml:space="preserve"> </t>
    </r>
    <r>
      <rPr>
        <b/>
        <sz val="11"/>
        <rFont val="Arial Nova"/>
        <family val="2"/>
      </rPr>
      <t>Data Entry</t>
    </r>
    <r>
      <rPr>
        <sz val="11"/>
        <rFont val="Arial Nova"/>
        <family val="2"/>
      </rPr>
      <t xml:space="preserve"> tab to load data.</t>
    </r>
  </si>
  <si>
    <r>
      <t xml:space="preserve">Enter 1st six-week estimates on </t>
    </r>
    <r>
      <rPr>
        <b/>
        <sz val="11"/>
        <rFont val="Arial Nova"/>
        <family val="2"/>
      </rPr>
      <t>Estimate Data Entry</t>
    </r>
    <r>
      <rPr>
        <sz val="11"/>
        <rFont val="Arial Nova"/>
        <family val="2"/>
      </rPr>
      <t xml:space="preserve"> tab to load cells and review data.</t>
    </r>
  </si>
  <si>
    <t>2019-2020 Estimate of State Aid Template
ADA Projection Report Worksheet
BEFORE HOUSE BILL 3</t>
  </si>
  <si>
    <t>Non-economically disadvantaged graduates
(Number in excess of minimum graduate threshold for cohort)</t>
  </si>
  <si>
    <t>Prior Law 2020 M&amp;O Revenue Per ADA</t>
  </si>
  <si>
    <t>Prior Law 2020 State Average M&amp;O Revenue Per ADA</t>
  </si>
  <si>
    <t>Charter Schools Facilities Funding (12.106(d))</t>
  </si>
  <si>
    <t>Charter Schools Facilites Funding Eligibility? From Estimate Data Entry tab, cell C63</t>
  </si>
  <si>
    <t>Number Enrolled in Advanced CTE</t>
  </si>
  <si>
    <r>
      <t xml:space="preserve">9th to 12th Grade
</t>
    </r>
    <r>
      <rPr>
        <b/>
        <sz val="10"/>
        <rFont val="Arial Nova"/>
        <family val="2"/>
      </rPr>
      <t>students enrolled
in two or more advanced CTE classes
for three or more credits</t>
    </r>
  </si>
  <si>
    <r>
      <t xml:space="preserve">House Bill 3
</t>
    </r>
    <r>
      <rPr>
        <b/>
        <sz val="12"/>
        <color rgb="FF000000"/>
        <rFont val="Arial Nova"/>
        <family val="2"/>
      </rPr>
      <t>7th to 12th Grade</t>
    </r>
    <r>
      <rPr>
        <b/>
        <sz val="10"/>
        <color rgb="FF000000"/>
        <rFont val="Arial Nova"/>
        <family val="2"/>
      </rPr>
      <t xml:space="preserve">
students enrolled
in two or more advanced CTE classes for three or more
credits or in a campus under TEC 48.106</t>
    </r>
  </si>
  <si>
    <t>House Bill 3
7th to 12th Grade</t>
  </si>
  <si>
    <t xml:space="preserve">     Advanced Career &amp; Technology Education Students</t>
  </si>
  <si>
    <r>
      <t xml:space="preserve">   Early Education, K-3 </t>
    </r>
    <r>
      <rPr>
        <b/>
        <sz val="11"/>
        <rFont val="Arial Nova"/>
        <family val="2"/>
      </rPr>
      <t>(Educationally disadvantaged or 
   LEP &amp; bilingual or special language)</t>
    </r>
  </si>
  <si>
    <t xml:space="preserve">NO
</t>
  </si>
  <si>
    <t>Advanced CTE Allotment</t>
  </si>
  <si>
    <t>Transportation Allotment</t>
  </si>
  <si>
    <t>Regular Program Allotment</t>
  </si>
  <si>
    <t xml:space="preserve">Special Education Adjusted Allotment </t>
  </si>
  <si>
    <t xml:space="preserve">Compensatory Education Allotment </t>
  </si>
  <si>
    <t>Bilingual Education Allotment</t>
  </si>
  <si>
    <t>Tier II Level 1</t>
  </si>
  <si>
    <t>Tier II Level 2</t>
  </si>
  <si>
    <t xml:space="preserve">Career and Technology Allotment </t>
  </si>
  <si>
    <t xml:space="preserve">Gifted &amp; Talented Adjusted Allotment </t>
  </si>
  <si>
    <t xml:space="preserve">High School Allotment </t>
  </si>
  <si>
    <t>Staff Salary Allotment</t>
  </si>
  <si>
    <t xml:space="preserve"> Using June 2019 Data </t>
  </si>
  <si>
    <t>ADA Projection</t>
  </si>
  <si>
    <t>PRIOR LAW</t>
  </si>
  <si>
    <t>HOUSE BILL 3</t>
  </si>
  <si>
    <t>Small and Mid-Size Allotment</t>
  </si>
  <si>
    <t xml:space="preserve">Charter Schools Facilities Funding </t>
  </si>
  <si>
    <t>Allotment for Student with Dyslexia or Related Disorder</t>
  </si>
  <si>
    <t>Chapter 48 
(formerly 42)
Texas Education Code</t>
  </si>
  <si>
    <t>Early Education Allotment</t>
  </si>
  <si>
    <t>College, Career, or Military Readiness Outcomes Bonus</t>
  </si>
  <si>
    <t>Dropout Recovery</t>
  </si>
  <si>
    <t>School Safety Allotment</t>
  </si>
  <si>
    <t>New Instructional Facility Allotment</t>
  </si>
  <si>
    <t xml:space="preserve">      Pregnancy Related Students </t>
  </si>
  <si>
    <r>
      <t xml:space="preserve">      Gifted &amp; Talented </t>
    </r>
    <r>
      <rPr>
        <b/>
        <sz val="9"/>
        <rFont val="Arial Nova"/>
        <family val="2"/>
      </rPr>
      <t>(Not applicable under HB3)</t>
    </r>
  </si>
  <si>
    <r>
      <t xml:space="preserve">      Grades 9-12 </t>
    </r>
    <r>
      <rPr>
        <b/>
        <sz val="9"/>
        <rFont val="Arial Nova"/>
        <family val="2"/>
      </rPr>
      <t>(Not applicable under HB3)</t>
    </r>
  </si>
  <si>
    <t>SOF Date and Data
from STATE AID-HB3</t>
  </si>
  <si>
    <t>TOTAL WEIGHTED AVERAGE DAILY ATTENDANCE (WADA)</t>
  </si>
  <si>
    <t xml:space="preserve">Prior Law 2020 M&amp; O Revenue </t>
  </si>
  <si>
    <t>Prior Law 2020 M&amp;O Revenue Per ADA*1.03</t>
  </si>
  <si>
    <t>Prior Law 2020 State Average M&amp;O Revenue Per ADA*1.28</t>
  </si>
  <si>
    <t>Revenue Target Per ADA (Lesser of of Line 116 or Line 118)</t>
  </si>
  <si>
    <t>Revenue Target (Greater of  Line 114 or Line 119*Line 8)</t>
  </si>
  <si>
    <r>
      <t xml:space="preserve">Current Law M&amp;O Revenue (Line 106 + Line 110+ </t>
    </r>
    <r>
      <rPr>
        <b/>
        <sz val="8"/>
        <color rgb="FF0070C0"/>
        <rFont val="Arial Nova"/>
        <family val="2"/>
      </rPr>
      <t>Line 113</t>
    </r>
    <r>
      <rPr>
        <b/>
        <sz val="8"/>
        <rFont val="Arial Nova"/>
        <family val="2"/>
      </rPr>
      <t>)</t>
    </r>
  </si>
  <si>
    <t>Current Law M&amp;O Revenue Per ADA</t>
  </si>
  <si>
    <t>Transition Formula Grant 48.277 (If Line 120 &gt; Line 121, Line 120 - Line 121, 0)</t>
  </si>
  <si>
    <t>DATA ENTRY IS ONLY ALLOWED ON HIGHLIGHTED CELLS</t>
  </si>
  <si>
    <r>
      <t xml:space="preserve">FUNDING COMPONENTS 
</t>
    </r>
    <r>
      <rPr>
        <b/>
        <u/>
        <sz val="11"/>
        <rFont val="Arial Nova"/>
        <family val="2"/>
      </rPr>
      <t>Enter data from latest Summary of Finance publication</t>
    </r>
  </si>
  <si>
    <r>
      <t xml:space="preserve">   25    -    Bilingual Education Allotment, 48.105 </t>
    </r>
    <r>
      <rPr>
        <b/>
        <sz val="10.5"/>
        <rFont val="Arial Nova"/>
        <family val="2"/>
      </rPr>
      <t>(spend 55% of amount)</t>
    </r>
  </si>
  <si>
    <t xml:space="preserve">  xx    -    Early Education Allotment, 48.108 </t>
  </si>
  <si>
    <t xml:space="preserve">  xx    -    College Career or Military Readiness Outcomes Bonus, 48.110</t>
  </si>
  <si>
    <t xml:space="preserve">  xx    -    Teacher Incentive Allotment, 48.112</t>
  </si>
  <si>
    <t xml:space="preserve">  xx    -    Mentor Program Allotment, 48.114</t>
  </si>
  <si>
    <t xml:space="preserve">  xx    -  School Safety Allotment, 42.168</t>
  </si>
  <si>
    <t xml:space="preserve">   xx   -    College Preparation Assessment Reimbursement, 48.155</t>
  </si>
  <si>
    <t xml:space="preserve">   xx   -    Certification Examination Reimbursement, 48.156</t>
  </si>
  <si>
    <t xml:space="preserve">    xx   -    Dropout Recovery School &amp; Residential Placement Facility Allotment, 48.153
             </t>
  </si>
  <si>
    <r>
      <t xml:space="preserve">FUNDING COMPONENTS 
</t>
    </r>
    <r>
      <rPr>
        <b/>
        <u/>
        <sz val="11"/>
        <rFont val="Arial Nova"/>
        <family val="2"/>
      </rPr>
      <t>Enter data on highlighted cells using latest Summary of Finance publication</t>
    </r>
  </si>
  <si>
    <t>HB3 STATE AID</t>
  </si>
  <si>
    <t>PRIOR LAW STATE AID</t>
  </si>
  <si>
    <t>2019-2020 FSP ESTIMATE DATA REPORT INSTRUCTIONS</t>
  </si>
  <si>
    <r>
      <t xml:space="preserve">     Gifted &amp; Talented Enrollment </t>
    </r>
    <r>
      <rPr>
        <sz val="10"/>
        <rFont val="Arial Nova"/>
        <family val="2"/>
      </rPr>
      <t>(Not applicable under HB3)</t>
    </r>
  </si>
  <si>
    <r>
      <t xml:space="preserve">Eligible for Staff Salary Allotment?: </t>
    </r>
    <r>
      <rPr>
        <sz val="10"/>
        <rFont val="Arial Nova"/>
        <family val="2"/>
      </rPr>
      <t>(Not applicable under HB3)</t>
    </r>
  </si>
  <si>
    <r>
      <t xml:space="preserve">TOTAL WEIGHTED AVERAGE DAILY ATTENDANCE (WADA)
</t>
    </r>
    <r>
      <rPr>
        <sz val="10"/>
        <color rgb="FF0070C0"/>
        <rFont val="Arial Nova"/>
        <family val="2"/>
      </rPr>
      <t>WADA (col E) editable to match SOF should the
WADA excel calculation vary from the SOF due to rounding.</t>
    </r>
  </si>
  <si>
    <t xml:space="preserve">ESTIMATE DATA ENTRY </t>
  </si>
  <si>
    <r>
      <rPr>
        <b/>
        <sz val="11"/>
        <color theme="0"/>
        <rFont val="Arial Nova"/>
        <family val="2"/>
      </rPr>
      <t>NO</t>
    </r>
    <r>
      <rPr>
        <sz val="11"/>
        <color theme="0"/>
        <rFont val="Arial Nova"/>
        <family val="2"/>
      </rPr>
      <t xml:space="preserve"> prepopulated in Cell B6. Select </t>
    </r>
    <r>
      <rPr>
        <b/>
        <sz val="11"/>
        <color theme="0"/>
        <rFont val="Arial Nova"/>
        <family val="2"/>
      </rPr>
      <t>YES</t>
    </r>
    <r>
      <rPr>
        <sz val="11"/>
        <color theme="0"/>
        <rFont val="Arial Nova"/>
        <family val="2"/>
      </rPr>
      <t xml:space="preserve"> from drop-down if charter school is in its first year of operation.</t>
    </r>
  </si>
  <si>
    <t>1. Use actual attendance (ADA/FTE) data from the latest FSP ADA Projection Report to reconcile to the latest SOF.
2. Data on Column C reconciles to the initial June SOF. Data on Column D is from Estimate Data Entry.  Data entry override is not permitted for Column C and D.
3. Only report and enter ADA, FTE, and Enrollment data in Column E. 
4. Use the latest 2019-2020 SOF to update the Funding Components on HB3 STATE AID, Column E, Rows 60-70.</t>
  </si>
  <si>
    <t>0.2375 weight</t>
  </si>
  <si>
    <t>0.2625 weight</t>
  </si>
  <si>
    <r>
      <t xml:space="preserve">   Tier 2 Census Block - </t>
    </r>
    <r>
      <rPr>
        <b/>
        <sz val="12"/>
        <rFont val="Arial Nova"/>
        <family val="2"/>
      </rPr>
      <t>HB3</t>
    </r>
  </si>
  <si>
    <r>
      <t xml:space="preserve">   Tier 3 Census Block - </t>
    </r>
    <r>
      <rPr>
        <b/>
        <sz val="12"/>
        <rFont val="Arial Nova"/>
        <family val="2"/>
      </rPr>
      <t>HB3</t>
    </r>
  </si>
  <si>
    <r>
      <t xml:space="preserve">   Tier 4 Census Block - </t>
    </r>
    <r>
      <rPr>
        <b/>
        <sz val="12"/>
        <rFont val="Arial Nova"/>
        <family val="2"/>
      </rPr>
      <t>HB3</t>
    </r>
  </si>
  <si>
    <r>
      <t xml:space="preserve">State Compensatory Education (SCE) Data:
Enter Tier Census Block data according to the </t>
    </r>
    <r>
      <rPr>
        <b/>
        <u/>
        <sz val="12"/>
        <rFont val="Arial Nova"/>
        <family val="2"/>
      </rPr>
      <t>weight assigned</t>
    </r>
    <r>
      <rPr>
        <b/>
        <sz val="12"/>
        <rFont val="Arial Nova"/>
        <family val="2"/>
      </rPr>
      <t xml:space="preserve"> not by Tier name.</t>
    </r>
  </si>
  <si>
    <t>0.2250 weight</t>
  </si>
  <si>
    <t>0.2500 weight</t>
  </si>
  <si>
    <t>0.2750 weight</t>
  </si>
  <si>
    <r>
      <t xml:space="preserve">    Tier 1 Census Block </t>
    </r>
    <r>
      <rPr>
        <b/>
        <sz val="11"/>
        <rFont val="Arial Nova"/>
        <family val="2"/>
      </rPr>
      <t>(least severe economic disadvantage)</t>
    </r>
  </si>
  <si>
    <r>
      <t xml:space="preserve">    Tier 5 Census Block </t>
    </r>
    <r>
      <rPr>
        <b/>
        <sz val="11"/>
        <rFont val="Arial Nova"/>
        <family val="2"/>
      </rPr>
      <t>(most severe economic disadvantage)</t>
    </r>
  </si>
  <si>
    <r>
      <t xml:space="preserve">STATE COMPENSATORY ENROLLMENT (SCE)
</t>
    </r>
    <r>
      <rPr>
        <b/>
        <sz val="10"/>
        <rFont val="Arial Nova"/>
        <family val="2"/>
      </rPr>
      <t xml:space="preserve">Enter Tier Census Block data according to the </t>
    </r>
    <r>
      <rPr>
        <b/>
        <u/>
        <sz val="10"/>
        <rFont val="Arial Nova"/>
        <family val="2"/>
      </rPr>
      <t>weight assigned</t>
    </r>
    <r>
      <rPr>
        <b/>
        <sz val="10"/>
        <rFont val="Arial Nova"/>
        <family val="2"/>
      </rPr>
      <t xml:space="preserve"> not by Tier name.</t>
    </r>
  </si>
  <si>
    <r>
      <t xml:space="preserve">1.  Cell C1: Enter six-digit county district number without dashes or spaces.
2.  If the charter district intends to submit the FSP Estimate Data Report (EDR) - ONLY enter the EDR data to reconcile to TEA's Preliminary September Summary of Finance (SOF).
3.  Report and submit the </t>
    </r>
    <r>
      <rPr>
        <b/>
        <u/>
        <sz val="11"/>
        <color rgb="FFFF0000"/>
        <rFont val="Arial Nova"/>
        <family val="2"/>
      </rPr>
      <t>first Six-week average number of students</t>
    </r>
    <r>
      <rPr>
        <sz val="11"/>
        <rFont val="Arial Nova"/>
        <family val="2"/>
      </rPr>
      <t xml:space="preserve"> on the FSP Estimate Data report (instructions below).
4.  For purposes of estimating annual revenues enter the annual average number of students in each category. </t>
    </r>
    <r>
      <rPr>
        <b/>
        <sz val="11"/>
        <color rgb="FFFF0000"/>
        <rFont val="Arial Nova"/>
        <family val="2"/>
      </rPr>
      <t>DO NOT REPORT AND SUBMIT ANNUAL AVERAGES to the FSP EDR.</t>
    </r>
    <r>
      <rPr>
        <sz val="11"/>
        <rFont val="Arial Nova"/>
        <family val="2"/>
      </rPr>
      <t xml:space="preserve">
5. The ESTIMATE DATA ENTRY tab populates columns D of the STATE AID tabs and provides an estimate of funding before the enactment of  House Bill 3 and House Bill 3 (Prior Law).
6.  Use the latest 2019-2020 SOF to update the Funding Components on HB3 STATE AID, Column D, Rows 60-70.
</t>
    </r>
  </si>
  <si>
    <r>
      <t xml:space="preserve">1. The "M&amp;O Revenue Before HB3" calculation in the PRIOR LAW STATE AID worksheet is used to calculate the </t>
    </r>
    <r>
      <rPr>
        <b/>
        <sz val="11"/>
        <rFont val="Arial Nova"/>
        <family val="2"/>
      </rPr>
      <t>Formula Transition Grant</t>
    </r>
    <r>
      <rPr>
        <sz val="11"/>
        <rFont val="Arial Nova"/>
        <family val="2"/>
      </rPr>
      <t xml:space="preserve"> on the HB3 STATE AID worksheet.  Therefore, only Prior Law State Aid data elements which are not part of HB3 are open for data entry.  Those data elements include High School ADA, Gifted and Talented, State Compensatory NSLBP Highest Six Months Average,  FT and PT Staff Data, and the Transportation Linear Density Regular Program Allotment.   </t>
    </r>
    <r>
      <rPr>
        <b/>
        <sz val="11"/>
        <rFont val="Arial Nova"/>
        <family val="2"/>
      </rPr>
      <t>If reconciling to the SOF do not change the pre-populated values</t>
    </r>
    <r>
      <rPr>
        <sz val="11"/>
        <rFont val="Arial Nova"/>
        <family val="2"/>
      </rPr>
      <t xml:space="preserve">.  </t>
    </r>
    <r>
      <rPr>
        <b/>
        <sz val="11"/>
        <color rgb="FFFF0000"/>
        <rFont val="Arial Nova"/>
        <family val="2"/>
      </rPr>
      <t xml:space="preserve">For local estimate projections, modify data in the highlighted cells of Column E only.
</t>
    </r>
    <r>
      <rPr>
        <sz val="11"/>
        <rFont val="Arial Nova"/>
        <family val="2"/>
      </rPr>
      <t xml:space="preserve">
2. TEA will publish new versions of the template to update the Funding Components on PRIOR LAW STATE AID Rows 52-61.</t>
    </r>
  </si>
  <si>
    <r>
      <t xml:space="preserve">   Tier 1 Census Block </t>
    </r>
    <r>
      <rPr>
        <b/>
        <sz val="12"/>
        <rFont val="Arial Nova"/>
        <family val="2"/>
      </rPr>
      <t>(least severe economic disadvantage) - HB3</t>
    </r>
  </si>
  <si>
    <r>
      <t xml:space="preserve">   Tier 5 Census Block </t>
    </r>
    <r>
      <rPr>
        <b/>
        <sz val="12"/>
        <rFont val="Arial Nova"/>
        <family val="2"/>
      </rPr>
      <t>(most severe economic disadvantage) - HB3</t>
    </r>
  </si>
  <si>
    <t>The 2019-2020 Charter School Estimate of State Aid is a draft Microsoft Excel tool for use in projecting a charter school's school year 2019-2020 Foundation School Program (FSP) state aid.  TEA anticipates further modification and refinements may be required.  Charter school districts are advised to use the draft Microsoft Excel tool in conjunction with any other available resources and tools for estimating 2019-2020 school year FSP state aid. 
NOTE: The results from this draft Microsoft Excel tool do not create an entitlement to FSP state aid funding.  The published Summary of Finance, available online, remains the final official source of information about charter school district payments.</t>
  </si>
  <si>
    <r>
      <t xml:space="preserve">     </t>
    </r>
    <r>
      <rPr>
        <b/>
        <sz val="11"/>
        <rFont val="Arial Nova"/>
        <family val="2"/>
      </rPr>
      <t xml:space="preserve">Submission of the 2019-2020 FSP Estimate Data is optional, except for new open-enrollment charter schools.
</t>
    </r>
    <r>
      <rPr>
        <b/>
        <sz val="11"/>
        <color rgb="FFFF0000"/>
        <rFont val="Arial Nova"/>
        <family val="2"/>
      </rPr>
      <t xml:space="preserve">     NO LATE SUBMISSIONS ARE ACCEPTED. DEADLINE - THURSDAY, AUGUST 1, 2019.</t>
    </r>
    <r>
      <rPr>
        <sz val="11"/>
        <rFont val="Arial Nov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</si>
</sst>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0.000"/>
    <numFmt numFmtId="166" formatCode="0.0000"/>
    <numFmt numFmtId="167" formatCode="_(&quot;$&quot;* #,##0_);_(&quot;$&quot;* \(#,##0\);_(&quot;$&quot;* &quot;-&quot;??_);_(@_)"/>
    <numFmt numFmtId="168" formatCode="000000"/>
    <numFmt numFmtId="169" formatCode="0.0"/>
    <numFmt numFmtId="170" formatCode="_(* #,##0_);_(* \(#,##0\);_(* &quot;-&quot;??_);_(@_)"/>
    <numFmt numFmtId="171" formatCode="[$-409]mmmm\ d\,\ yyyy;@"/>
    <numFmt numFmtId="172" formatCode="_(&quot;$&quot;* #,##0.000_);_(&quot;$&quot;* \(#,##0.000\);_(&quot;$&quot;* &quot;-&quot;???_);_(@_)"/>
    <numFmt numFmtId="173" formatCode="_(&quot;$&quot;* #,##0.000000_);_(&quot;$&quot;* \(#,##0.000000\);_(&quot;$&quot;* &quot;-&quot;??????_);_(@_)"/>
    <numFmt numFmtId="174" formatCode="#,##0.000_);\(#,##0.000\)"/>
    <numFmt numFmtId="175" formatCode="yyyy\-mm\-dd;@"/>
    <numFmt numFmtId="176" formatCode="&quot;$&quot;#,##0"/>
    <numFmt numFmtId="177" formatCode="_(&quot;$&quot;* #,##0.0000_);_(&quot;$&quot;* \(#,##0.0000\);_(&quot;$&quot;* &quot;-&quot;????_);_(@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sz val="9"/>
      <color indexed="81"/>
      <name val="Arial"/>
      <family val="2"/>
    </font>
    <font>
      <sz val="11"/>
      <name val="Arial Nova"/>
      <family val="2"/>
    </font>
    <font>
      <sz val="10"/>
      <name val="Arial Nova"/>
      <family val="2"/>
    </font>
    <font>
      <b/>
      <sz val="12"/>
      <name val="Arial Nova"/>
      <family val="2"/>
    </font>
    <font>
      <b/>
      <sz val="14"/>
      <name val="Arial Nova"/>
      <family val="2"/>
    </font>
    <font>
      <b/>
      <sz val="11"/>
      <name val="Arial Nova"/>
      <family val="2"/>
    </font>
    <font>
      <b/>
      <sz val="11"/>
      <color rgb="FF0070C0"/>
      <name val="Arial Nova"/>
      <family val="2"/>
    </font>
    <font>
      <b/>
      <sz val="10"/>
      <name val="Arial Nova"/>
      <family val="2"/>
    </font>
    <font>
      <sz val="11"/>
      <color theme="1"/>
      <name val="Arial Nova"/>
      <family val="2"/>
    </font>
    <font>
      <b/>
      <sz val="11"/>
      <color theme="1"/>
      <name val="Arial Nova"/>
      <family val="2"/>
    </font>
    <font>
      <b/>
      <sz val="12"/>
      <color theme="1"/>
      <name val="Arial Nova"/>
      <family val="2"/>
    </font>
    <font>
      <b/>
      <sz val="12"/>
      <name val="Arial"/>
      <family val="2"/>
    </font>
    <font>
      <sz val="11"/>
      <color indexed="81"/>
      <name val="Arial Nova"/>
      <family val="2"/>
    </font>
    <font>
      <b/>
      <sz val="11"/>
      <color rgb="FFFF0000"/>
      <name val="Arial Nova"/>
      <family val="2"/>
    </font>
    <font>
      <sz val="10"/>
      <color indexed="81"/>
      <name val="Arial Nova"/>
      <family val="2"/>
    </font>
    <font>
      <b/>
      <sz val="11"/>
      <color indexed="81"/>
      <name val="Arial Nova"/>
      <family val="2"/>
    </font>
    <font>
      <b/>
      <sz val="10"/>
      <color indexed="81"/>
      <name val="Arial Nova"/>
      <family val="2"/>
    </font>
    <font>
      <b/>
      <sz val="10"/>
      <name val="Arial"/>
      <family val="2"/>
    </font>
    <font>
      <b/>
      <sz val="11"/>
      <color rgb="FFC00000"/>
      <name val="Arial Nova"/>
      <family val="2"/>
    </font>
    <font>
      <sz val="9"/>
      <name val="Arial Nova"/>
      <family val="2"/>
    </font>
    <font>
      <b/>
      <sz val="10.5"/>
      <name val="Arial Nova"/>
      <family val="2"/>
    </font>
    <font>
      <u/>
      <sz val="10"/>
      <color theme="10"/>
      <name val="Arial"/>
      <family val="2"/>
    </font>
    <font>
      <u/>
      <sz val="10"/>
      <color theme="11"/>
      <name val="Arial"/>
      <family val="2"/>
    </font>
    <font>
      <sz val="10"/>
      <color rgb="FF0070C0"/>
      <name val="Arial Nova"/>
      <family val="2"/>
    </font>
    <font>
      <sz val="11"/>
      <name val="Arial"/>
      <family val="2"/>
    </font>
    <font>
      <sz val="12"/>
      <name val="Arial Nova"/>
      <family val="2"/>
    </font>
    <font>
      <sz val="12"/>
      <name val="Arial"/>
      <family val="2"/>
    </font>
    <font>
      <sz val="12"/>
      <color indexed="8"/>
      <name val="Arial Nova"/>
      <family val="2"/>
    </font>
    <font>
      <sz val="11"/>
      <color indexed="10"/>
      <name val="Arial Nova"/>
      <family val="2"/>
    </font>
    <font>
      <b/>
      <sz val="12"/>
      <color theme="3" tint="-0.249977111117893"/>
      <name val="Arial Nova"/>
      <family val="2"/>
    </font>
    <font>
      <b/>
      <sz val="14"/>
      <color theme="3" tint="-0.249977111117893"/>
      <name val="Arial Nova"/>
      <family val="2"/>
    </font>
    <font>
      <sz val="11"/>
      <color theme="0"/>
      <name val="Arial Nova"/>
      <family val="2"/>
    </font>
    <font>
      <b/>
      <sz val="12"/>
      <color indexed="8"/>
      <name val="Arial Nova"/>
      <family val="2"/>
    </font>
    <font>
      <b/>
      <sz val="14"/>
      <color rgb="FF00B050"/>
      <name val="Arial Nova"/>
      <family val="2"/>
    </font>
    <font>
      <b/>
      <sz val="12"/>
      <color rgb="FF00B050"/>
      <name val="Arial Nova"/>
      <family val="2"/>
    </font>
    <font>
      <sz val="12"/>
      <color rgb="FF00B050"/>
      <name val="Arial"/>
      <family val="2"/>
    </font>
    <font>
      <b/>
      <sz val="14"/>
      <color rgb="FF0070C0"/>
      <name val="Arial Nova"/>
      <family val="2"/>
    </font>
    <font>
      <b/>
      <sz val="12"/>
      <color rgb="FF0000FF"/>
      <name val="Arial Nova"/>
      <family val="2"/>
    </font>
    <font>
      <sz val="12"/>
      <color rgb="FF0070C0"/>
      <name val="Arial"/>
      <family val="2"/>
    </font>
    <font>
      <sz val="11"/>
      <color rgb="FFFF0000"/>
      <name val="Arial"/>
      <family val="2"/>
    </font>
    <font>
      <b/>
      <sz val="9"/>
      <color indexed="8"/>
      <name val="Arial Nova"/>
      <family val="2"/>
    </font>
    <font>
      <sz val="11"/>
      <color indexed="8"/>
      <name val="Arial Nova"/>
      <family val="2"/>
    </font>
    <font>
      <sz val="11"/>
      <color rgb="FF000000"/>
      <name val="Arial Nova"/>
      <family val="2"/>
    </font>
    <font>
      <sz val="11"/>
      <color theme="0" tint="-0.14999847407452621"/>
      <name val="Arial Nova"/>
      <family val="2"/>
    </font>
    <font>
      <b/>
      <sz val="10"/>
      <color rgb="FF000000"/>
      <name val="Arial Nova"/>
      <family val="2"/>
    </font>
    <font>
      <b/>
      <sz val="12"/>
      <color rgb="FF000000"/>
      <name val="Arial Nova"/>
      <family val="2"/>
    </font>
    <font>
      <b/>
      <sz val="11"/>
      <color rgb="FFC00000"/>
      <name val="Arial"/>
      <family val="2"/>
    </font>
    <font>
      <b/>
      <sz val="14"/>
      <color rgb="FFC00000"/>
      <name val="Arial Nova"/>
      <family val="2"/>
    </font>
    <font>
      <sz val="14"/>
      <color rgb="FFC00000"/>
      <name val="Arial"/>
      <family val="2"/>
    </font>
    <font>
      <b/>
      <sz val="9"/>
      <name val="Arial Nova"/>
      <family val="2"/>
    </font>
    <font>
      <b/>
      <sz val="10"/>
      <color rgb="FFFF0000"/>
      <name val="Arial Nova"/>
      <family val="2"/>
    </font>
    <font>
      <b/>
      <sz val="8"/>
      <name val="Arial Nova"/>
      <family val="2"/>
    </font>
    <font>
      <b/>
      <sz val="8"/>
      <color rgb="FF0070C0"/>
      <name val="Arial Nova"/>
      <family val="2"/>
    </font>
    <font>
      <b/>
      <u/>
      <sz val="11"/>
      <name val="Arial Nova"/>
      <family val="2"/>
    </font>
    <font>
      <b/>
      <sz val="9"/>
      <name val="Arial"/>
      <family val="2"/>
    </font>
    <font>
      <b/>
      <u/>
      <sz val="11"/>
      <color rgb="FFFF0000"/>
      <name val="Arial Nova"/>
      <family val="2"/>
    </font>
    <font>
      <sz val="10"/>
      <color theme="0"/>
      <name val="Arial"/>
      <family val="2"/>
    </font>
    <font>
      <b/>
      <sz val="11"/>
      <color theme="0"/>
      <name val="Arial Nova"/>
      <family val="2"/>
    </font>
    <font>
      <b/>
      <sz val="12"/>
      <color theme="0"/>
      <name val="Arial Nova"/>
      <family val="2"/>
    </font>
    <font>
      <sz val="11"/>
      <color theme="0"/>
      <name val="Calibri"/>
      <family val="2"/>
    </font>
    <font>
      <b/>
      <sz val="11"/>
      <color theme="0"/>
      <name val="Calibri"/>
      <family val="2"/>
    </font>
    <font>
      <i/>
      <sz val="11"/>
      <color theme="0"/>
      <name val="Calibri"/>
      <family val="2"/>
      <scheme val="minor"/>
    </font>
    <font>
      <b/>
      <i/>
      <sz val="11"/>
      <color theme="0"/>
      <name val="Arial Nova"/>
      <family val="2"/>
    </font>
    <font>
      <b/>
      <sz val="8"/>
      <color theme="0"/>
      <name val="Calibri"/>
      <family val="2"/>
      <scheme val="minor"/>
    </font>
    <font>
      <sz val="8"/>
      <color theme="0"/>
      <name val="Calibri"/>
      <family val="2"/>
      <scheme val="minor"/>
    </font>
    <font>
      <b/>
      <sz val="10"/>
      <color theme="0"/>
      <name val="Arial"/>
      <family val="2"/>
    </font>
    <font>
      <b/>
      <u/>
      <sz val="12"/>
      <name val="Arial Nova"/>
      <family val="2"/>
    </font>
    <font>
      <b/>
      <u/>
      <sz val="10"/>
      <name val="Arial Nova"/>
      <family val="2"/>
    </font>
  </fonts>
  <fills count="23">
    <fill>
      <patternFill patternType="none"/>
    </fill>
    <fill>
      <patternFill patternType="gray125"/>
    </fill>
    <fill>
      <patternFill patternType="solid">
        <fgColor rgb="FFFFFFFF"/>
        <bgColor indexed="64"/>
      </patternFill>
    </fill>
    <fill>
      <patternFill patternType="solid">
        <fgColor rgb="FFECF3FF"/>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0"/>
        <bgColor indexed="64"/>
      </patternFill>
    </fill>
    <fill>
      <patternFill patternType="solid">
        <fgColor theme="0"/>
        <bgColor indexed="0"/>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34998626667073579"/>
        <bgColor indexed="64"/>
      </patternFill>
    </fill>
  </fills>
  <borders count="157">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medium">
        <color rgb="FFC4DAFF"/>
      </left>
      <right style="medium">
        <color rgb="FFC4DAFF"/>
      </right>
      <top style="medium">
        <color rgb="FFC4DAFF"/>
      </top>
      <bottom style="medium">
        <color rgb="FFC4DAFF"/>
      </bottom>
      <diagonal/>
    </border>
    <border>
      <left style="thin">
        <color auto="1"/>
      </left>
      <right style="thin">
        <color auto="1"/>
      </right>
      <top/>
      <bottom style="double">
        <color auto="1"/>
      </bottom>
      <diagonal/>
    </border>
    <border>
      <left/>
      <right/>
      <top style="medium">
        <color auto="1"/>
      </top>
      <bottom style="medium">
        <color auto="1"/>
      </bottom>
      <diagonal/>
    </border>
    <border>
      <left style="medium">
        <color rgb="FFC4DAFF"/>
      </left>
      <right style="medium">
        <color rgb="FF002767"/>
      </right>
      <top style="medium">
        <color rgb="FFC4DAFF"/>
      </top>
      <bottom style="medium">
        <color rgb="FFC4DAFF"/>
      </bottom>
      <diagonal/>
    </border>
    <border>
      <left/>
      <right style="medium">
        <color rgb="FFC4DAFF"/>
      </right>
      <top style="medium">
        <color rgb="FFC4DAFF"/>
      </top>
      <bottom style="medium">
        <color rgb="FFC4DAFF"/>
      </bottom>
      <diagonal/>
    </border>
    <border>
      <left style="thin">
        <color auto="1"/>
      </left>
      <right style="thin">
        <color auto="1"/>
      </right>
      <top/>
      <bottom/>
      <diagonal/>
    </border>
    <border>
      <left style="medium">
        <color rgb="FFC4DAFF"/>
      </left>
      <right style="medium">
        <color auto="1"/>
      </right>
      <top style="medium">
        <color rgb="FFC4DAFF"/>
      </top>
      <bottom style="medium">
        <color rgb="FFC4DAFF"/>
      </bottom>
      <diagonal/>
    </border>
    <border>
      <left/>
      <right style="medium">
        <color rgb="FFC4DAFF"/>
      </right>
      <top style="medium">
        <color rgb="FFC4DAFF"/>
      </top>
      <bottom style="medium">
        <color auto="1"/>
      </bottom>
      <diagonal/>
    </border>
    <border>
      <left style="medium">
        <color rgb="FFC4DAFF"/>
      </left>
      <right style="medium">
        <color rgb="FFC4DAFF"/>
      </right>
      <top style="medium">
        <color rgb="FFC4DAFF"/>
      </top>
      <bottom style="medium">
        <color auto="1"/>
      </bottom>
      <diagonal/>
    </border>
    <border>
      <left style="medium">
        <color rgb="FFC4DAFF"/>
      </left>
      <right style="medium">
        <color rgb="FF002767"/>
      </right>
      <top style="medium">
        <color rgb="FFC4DAFF"/>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C4DAFF"/>
      </right>
      <top/>
      <bottom style="medium">
        <color rgb="FFC4DAFF"/>
      </bottom>
      <diagonal/>
    </border>
    <border>
      <left style="medium">
        <color rgb="FFC4DAFF"/>
      </left>
      <right style="medium">
        <color auto="1"/>
      </right>
      <top/>
      <bottom style="medium">
        <color rgb="FFC4DAFF"/>
      </bottom>
      <diagonal/>
    </border>
    <border>
      <left/>
      <right style="medium">
        <color auto="1"/>
      </right>
      <top style="medium">
        <color rgb="FFC4DAFF"/>
      </top>
      <bottom style="medium">
        <color rgb="FFC4DAFF"/>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right/>
      <top style="double">
        <color auto="1"/>
      </top>
      <bottom style="medium">
        <color rgb="FF002767"/>
      </bottom>
      <diagonal/>
    </border>
    <border>
      <left/>
      <right style="medium">
        <color rgb="FF002767"/>
      </right>
      <top style="double">
        <color auto="1"/>
      </top>
      <bottom style="medium">
        <color rgb="FF002767"/>
      </bottom>
      <diagonal/>
    </border>
    <border>
      <left style="medium">
        <color rgb="FF002767"/>
      </left>
      <right/>
      <top style="double">
        <color auto="1"/>
      </top>
      <bottom style="medium">
        <color rgb="FF002767"/>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diagonal/>
    </border>
    <border>
      <left style="thin">
        <color auto="1"/>
      </left>
      <right style="medium">
        <color auto="1"/>
      </right>
      <top/>
      <bottom style="double">
        <color auto="1"/>
      </bottom>
      <diagonal/>
    </border>
    <border>
      <left style="medium">
        <color rgb="FFC4DAFF"/>
      </left>
      <right style="dotted">
        <color theme="1"/>
      </right>
      <top style="double">
        <color auto="1"/>
      </top>
      <bottom style="medium">
        <color rgb="FFC4DAFF"/>
      </bottom>
      <diagonal/>
    </border>
    <border>
      <left style="medium">
        <color rgb="FFC4DAFF"/>
      </left>
      <right style="dotted">
        <color theme="1"/>
      </right>
      <top style="medium">
        <color rgb="FFC4DAFF"/>
      </top>
      <bottom style="medium">
        <color rgb="FFC4DAFF"/>
      </bottom>
      <diagonal/>
    </border>
    <border>
      <left style="medium">
        <color rgb="FFC4DAFF"/>
      </left>
      <right style="dotted">
        <color theme="1"/>
      </right>
      <top style="medium">
        <color rgb="FFC4DAFF"/>
      </top>
      <bottom style="medium">
        <color auto="1"/>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style="double">
        <color auto="1"/>
      </left>
      <right style="medium">
        <color rgb="FFC4DAFF"/>
      </right>
      <top style="medium">
        <color auto="1"/>
      </top>
      <bottom style="medium">
        <color rgb="FFC4DAFF"/>
      </bottom>
      <diagonal/>
    </border>
    <border>
      <left style="double">
        <color auto="1"/>
      </left>
      <right style="medium">
        <color rgb="FFC4DAFF"/>
      </right>
      <top style="medium">
        <color rgb="FFC4DAFF"/>
      </top>
      <bottom style="medium">
        <color rgb="FFC4DAFF"/>
      </bottom>
      <diagonal/>
    </border>
    <border>
      <left style="double">
        <color auto="1"/>
      </left>
      <right style="medium">
        <color rgb="FFC4DAFF"/>
      </right>
      <top style="medium">
        <color rgb="FFC4DAFF"/>
      </top>
      <bottom style="medium">
        <color auto="1"/>
      </bottom>
      <diagonal/>
    </border>
    <border>
      <left style="medium">
        <color auto="1"/>
      </left>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double">
        <color auto="1"/>
      </top>
      <bottom style="thin">
        <color auto="1"/>
      </bottom>
      <diagonal/>
    </border>
    <border>
      <left style="medium">
        <color rgb="FFC4DAFF"/>
      </left>
      <right style="medium">
        <color rgb="FFC4DAFF"/>
      </right>
      <top/>
      <bottom style="medium">
        <color rgb="FFC4DAFF"/>
      </bottom>
      <diagonal/>
    </border>
    <border>
      <left style="medium">
        <color rgb="FFC4DAFF"/>
      </left>
      <right style="medium">
        <color rgb="FF002767"/>
      </right>
      <top/>
      <bottom style="medium">
        <color rgb="FFC4DAFF"/>
      </bottom>
      <diagonal/>
    </border>
    <border>
      <left style="medium">
        <color auto="1"/>
      </left>
      <right style="medium">
        <color rgb="FF555555"/>
      </right>
      <top style="medium">
        <color rgb="FF002767"/>
      </top>
      <bottom style="double">
        <color auto="1"/>
      </bottom>
      <diagonal/>
    </border>
    <border>
      <left style="medium">
        <color rgb="FF555555"/>
      </left>
      <right style="medium">
        <color rgb="FF555555"/>
      </right>
      <top style="medium">
        <color rgb="FF002767"/>
      </top>
      <bottom style="double">
        <color auto="1"/>
      </bottom>
      <diagonal/>
    </border>
    <border>
      <left style="medium">
        <color rgb="FF555555"/>
      </left>
      <right style="medium">
        <color rgb="FF002767"/>
      </right>
      <top style="medium">
        <color rgb="FF002767"/>
      </top>
      <bottom style="double">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right style="medium">
        <color auto="1"/>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medium">
        <color auto="1"/>
      </right>
      <top/>
      <bottom style="medium">
        <color rgb="FFC4DAFF"/>
      </bottom>
      <diagonal/>
    </border>
    <border>
      <left style="medium">
        <color auto="1"/>
      </left>
      <right style="medium">
        <color auto="1"/>
      </right>
      <top/>
      <bottom/>
      <diagonal/>
    </border>
    <border>
      <left style="medium">
        <color auto="1"/>
      </left>
      <right style="medium">
        <color auto="1"/>
      </right>
      <top style="medium">
        <color rgb="FFC4DAFF"/>
      </top>
      <bottom style="medium">
        <color rgb="FFC4DAFF"/>
      </bottom>
      <diagonal/>
    </border>
    <border>
      <left style="medium">
        <color auto="1"/>
      </left>
      <right style="medium">
        <color rgb="FFC4DAFF"/>
      </right>
      <top style="medium">
        <color rgb="FFC4DAFF"/>
      </top>
      <bottom style="medium">
        <color rgb="FFC4DAFF"/>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double">
        <color auto="1"/>
      </bottom>
      <diagonal/>
    </border>
    <border>
      <left/>
      <right style="thin">
        <color auto="1"/>
      </right>
      <top style="medium">
        <color auto="1"/>
      </top>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medium">
        <color auto="1"/>
      </right>
      <top style="double">
        <color auto="1"/>
      </top>
      <bottom style="double">
        <color auto="1"/>
      </bottom>
      <diagonal/>
    </border>
    <border>
      <left style="thin">
        <color indexed="8"/>
      </left>
      <right style="thin">
        <color indexed="8"/>
      </right>
      <top style="thin">
        <color indexed="8"/>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dashed">
        <color auto="1"/>
      </right>
      <top style="medium">
        <color auto="1"/>
      </top>
      <bottom/>
      <diagonal/>
    </border>
    <border>
      <left/>
      <right style="dashed">
        <color auto="1"/>
      </right>
      <top/>
      <bottom style="double">
        <color auto="1"/>
      </bottom>
      <diagonal/>
    </border>
    <border>
      <left style="dashed">
        <color auto="1"/>
      </left>
      <right style="dashed">
        <color auto="1"/>
      </right>
      <top style="medium">
        <color auto="1"/>
      </top>
      <bottom/>
      <diagonal/>
    </border>
    <border>
      <left style="dashed">
        <color auto="1"/>
      </left>
      <right style="dashed">
        <color auto="1"/>
      </right>
      <top/>
      <bottom style="double">
        <color auto="1"/>
      </bottom>
      <diagonal/>
    </border>
    <border>
      <left/>
      <right style="medium">
        <color auto="1"/>
      </right>
      <top style="double">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double">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double">
        <color auto="1"/>
      </top>
      <bottom style="thin">
        <color auto="1"/>
      </bottom>
      <diagonal/>
    </border>
    <border>
      <left/>
      <right style="medium">
        <color auto="1"/>
      </right>
      <top style="thin">
        <color auto="1"/>
      </top>
      <bottom style="double">
        <color auto="1"/>
      </bottom>
      <diagonal/>
    </border>
    <border>
      <left style="medium">
        <color auto="1"/>
      </left>
      <right style="thin">
        <color auto="1"/>
      </right>
      <top style="thick">
        <color auto="1"/>
      </top>
      <bottom style="double">
        <color auto="1"/>
      </bottom>
      <diagonal/>
    </border>
    <border>
      <left style="medium">
        <color auto="1"/>
      </left>
      <right style="thin">
        <color auto="1"/>
      </right>
      <top style="double">
        <color auto="1"/>
      </top>
      <bottom style="thick">
        <color auto="1"/>
      </bottom>
      <diagonal/>
    </border>
    <border>
      <left style="thin">
        <color auto="1"/>
      </left>
      <right style="medium">
        <color auto="1"/>
      </right>
      <top/>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medium">
        <color auto="1"/>
      </right>
      <top style="thick">
        <color auto="1"/>
      </top>
      <bottom style="double">
        <color auto="1"/>
      </bottom>
      <diagonal/>
    </border>
    <border>
      <left style="thin">
        <color auto="1"/>
      </left>
      <right style="medium">
        <color auto="1"/>
      </right>
      <top style="double">
        <color auto="1"/>
      </top>
      <bottom style="thick">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ck">
        <color auto="1"/>
      </top>
      <bottom style="thin">
        <color auto="1"/>
      </bottom>
      <diagonal/>
    </border>
    <border>
      <left style="medium">
        <color auto="1"/>
      </left>
      <right style="medium">
        <color auto="1"/>
      </right>
      <top/>
      <bottom style="thick">
        <color auto="1"/>
      </bottom>
      <diagonal/>
    </border>
    <border>
      <left/>
      <right style="medium">
        <color auto="1"/>
      </right>
      <top/>
      <bottom style="thin">
        <color auto="1"/>
      </bottom>
      <diagonal/>
    </border>
    <border>
      <left style="thick">
        <color rgb="FF00B050"/>
      </left>
      <right style="thick">
        <color rgb="FF00B050"/>
      </right>
      <top style="thick">
        <color rgb="FF00B050"/>
      </top>
      <bottom style="thick">
        <color rgb="FF00B050"/>
      </bottom>
      <diagonal/>
    </border>
    <border>
      <left style="medium">
        <color auto="1"/>
      </left>
      <right style="medium">
        <color auto="1"/>
      </right>
      <top style="thick">
        <color auto="1"/>
      </top>
      <bottom style="double">
        <color auto="1"/>
      </bottom>
      <diagonal/>
    </border>
    <border>
      <left style="medium">
        <color auto="1"/>
      </left>
      <right style="medium">
        <color auto="1"/>
      </right>
      <top/>
      <bottom style="double">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style="double">
        <color auto="1"/>
      </bottom>
      <diagonal/>
    </border>
    <border>
      <left/>
      <right style="medium">
        <color auto="1"/>
      </right>
      <top/>
      <bottom style="double">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thin">
        <color auto="1"/>
      </right>
      <top style="thin">
        <color auto="1"/>
      </top>
      <bottom style="double">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style="thin">
        <color auto="1"/>
      </left>
      <right/>
      <top/>
      <bottom style="thin">
        <color indexed="64"/>
      </bottom>
      <diagonal/>
    </border>
  </borders>
  <cellStyleXfs count="18">
    <xf numFmtId="0"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743">
    <xf numFmtId="0" fontId="0" fillId="0" borderId="0" xfId="0"/>
    <xf numFmtId="0" fontId="9" fillId="8" borderId="0" xfId="0" applyFont="1" applyFill="1" applyAlignment="1" applyProtection="1">
      <alignment horizontal="left"/>
    </xf>
    <xf numFmtId="0" fontId="9" fillId="8" borderId="0" xfId="0" applyFont="1" applyFill="1" applyProtection="1"/>
    <xf numFmtId="0" fontId="9" fillId="11" borderId="0" xfId="0" applyFont="1" applyFill="1" applyProtection="1"/>
    <xf numFmtId="0" fontId="9" fillId="8" borderId="0" xfId="0" applyFont="1" applyFill="1" applyAlignment="1" applyProtection="1">
      <alignment horizontal="left" vertical="center"/>
    </xf>
    <xf numFmtId="0" fontId="13" fillId="8" borderId="0" xfId="0" applyFont="1" applyFill="1" applyAlignment="1" applyProtection="1">
      <alignment vertical="center"/>
    </xf>
    <xf numFmtId="0" fontId="13" fillId="8" borderId="0" xfId="0" applyFont="1" applyFill="1" applyProtection="1"/>
    <xf numFmtId="0" fontId="9" fillId="6" borderId="0" xfId="0" applyFont="1" applyFill="1" applyProtection="1"/>
    <xf numFmtId="0" fontId="13" fillId="6" borderId="0" xfId="0" applyFont="1" applyFill="1" applyAlignment="1" applyProtection="1">
      <alignment vertical="center"/>
    </xf>
    <xf numFmtId="0" fontId="9" fillId="6" borderId="0" xfId="0" applyFont="1" applyFill="1" applyAlignment="1" applyProtection="1">
      <alignment horizontal="left" vertical="center"/>
    </xf>
    <xf numFmtId="0" fontId="9" fillId="6" borderId="0" xfId="0" applyFont="1" applyFill="1" applyAlignment="1" applyProtection="1">
      <alignment horizontal="left"/>
    </xf>
    <xf numFmtId="0" fontId="13" fillId="6" borderId="0" xfId="0" applyFont="1" applyFill="1" applyProtection="1"/>
    <xf numFmtId="0" fontId="9" fillId="11" borderId="0" xfId="0" applyFont="1" applyFill="1" applyAlignment="1" applyProtection="1">
      <alignment horizontal="center" vertical="center"/>
    </xf>
    <xf numFmtId="0" fontId="9" fillId="0" borderId="0" xfId="0" applyFont="1" applyAlignment="1" applyProtection="1">
      <alignment horizontal="center" vertical="center"/>
    </xf>
    <xf numFmtId="0" fontId="13" fillId="7" borderId="94" xfId="0" applyFont="1" applyFill="1" applyBorder="1" applyAlignment="1" applyProtection="1">
      <alignment horizontal="center" vertical="center" wrapText="1"/>
    </xf>
    <xf numFmtId="0" fontId="13" fillId="5" borderId="83" xfId="0" applyFont="1" applyFill="1" applyBorder="1" applyAlignment="1" applyProtection="1">
      <alignment horizontal="center" vertical="center" wrapText="1"/>
    </xf>
    <xf numFmtId="0" fontId="9" fillId="0" borderId="0" xfId="0" applyFont="1" applyProtection="1"/>
    <xf numFmtId="167" fontId="13" fillId="4" borderId="84" xfId="2" applyNumberFormat="1" applyFont="1" applyFill="1" applyBorder="1" applyAlignment="1" applyProtection="1">
      <alignment horizontal="right" vertical="center"/>
    </xf>
    <xf numFmtId="167" fontId="13" fillId="4" borderId="93" xfId="2" applyNumberFormat="1" applyFont="1" applyFill="1" applyBorder="1" applyAlignment="1" applyProtection="1">
      <alignment horizontal="right" vertical="center"/>
    </xf>
    <xf numFmtId="0" fontId="13" fillId="7" borderId="95" xfId="0" applyFont="1" applyFill="1" applyBorder="1" applyAlignment="1" applyProtection="1">
      <alignment horizontal="center" vertical="center" wrapText="1"/>
    </xf>
    <xf numFmtId="0" fontId="13" fillId="5" borderId="85" xfId="0" applyFont="1" applyFill="1" applyBorder="1" applyAlignment="1" applyProtection="1">
      <alignment horizontal="center" vertical="center" wrapText="1"/>
    </xf>
    <xf numFmtId="167" fontId="9" fillId="13" borderId="4" xfId="2" applyNumberFormat="1" applyFont="1" applyFill="1" applyBorder="1" applyAlignment="1" applyProtection="1">
      <alignment horizontal="left" vertical="center"/>
      <protection locked="0"/>
    </xf>
    <xf numFmtId="0" fontId="9" fillId="0" borderId="0" xfId="0" applyFont="1" applyAlignment="1" applyProtection="1">
      <alignment horizontal="left" vertical="center"/>
    </xf>
    <xf numFmtId="167" fontId="9" fillId="13" borderId="1" xfId="2" applyNumberFormat="1" applyFont="1" applyFill="1" applyBorder="1" applyProtection="1">
      <protection locked="0"/>
    </xf>
    <xf numFmtId="167" fontId="9" fillId="4" borderId="13" xfId="2" applyNumberFormat="1" applyFont="1" applyFill="1" applyBorder="1" applyProtection="1"/>
    <xf numFmtId="1" fontId="9" fillId="13" borderId="1" xfId="2" applyNumberFormat="1" applyFont="1" applyFill="1" applyBorder="1" applyAlignment="1" applyProtection="1">
      <alignment horizontal="center"/>
      <protection locked="0"/>
    </xf>
    <xf numFmtId="10" fontId="9" fillId="4" borderId="3" xfId="4" applyNumberFormat="1" applyFont="1" applyFill="1" applyBorder="1" applyAlignment="1" applyProtection="1">
      <alignment horizontal="center" vertical="center"/>
    </xf>
    <xf numFmtId="167" fontId="13" fillId="4" borderId="31" xfId="2" applyNumberFormat="1" applyFont="1" applyFill="1" applyBorder="1" applyProtection="1"/>
    <xf numFmtId="167" fontId="13" fillId="4" borderId="19" xfId="2" applyNumberFormat="1" applyFont="1" applyFill="1" applyBorder="1" applyProtection="1"/>
    <xf numFmtId="167" fontId="13" fillId="4" borderId="15" xfId="2" applyNumberFormat="1" applyFont="1" applyFill="1" applyBorder="1" applyProtection="1"/>
    <xf numFmtId="0" fontId="17" fillId="7" borderId="55" xfId="0" applyFont="1" applyFill="1" applyBorder="1" applyAlignment="1" applyProtection="1">
      <alignment horizontal="center" vertical="center" wrapText="1"/>
    </xf>
    <xf numFmtId="0" fontId="17" fillId="7" borderId="56" xfId="0" applyFont="1" applyFill="1" applyBorder="1" applyAlignment="1" applyProtection="1">
      <alignment horizontal="center" vertical="center" wrapText="1"/>
    </xf>
    <xf numFmtId="0" fontId="17" fillId="7" borderId="57" xfId="0" applyFont="1" applyFill="1" applyBorder="1" applyAlignment="1" applyProtection="1">
      <alignment horizontal="center" vertical="center" wrapText="1"/>
    </xf>
    <xf numFmtId="0" fontId="17" fillId="5" borderId="56" xfId="0" applyFont="1" applyFill="1" applyBorder="1" applyAlignment="1" applyProtection="1">
      <alignment horizontal="center" vertical="center" wrapText="1"/>
    </xf>
    <xf numFmtId="0" fontId="17" fillId="5" borderId="57" xfId="0" applyFont="1" applyFill="1" applyBorder="1" applyAlignment="1" applyProtection="1">
      <alignment horizontal="center" vertical="center" wrapText="1"/>
    </xf>
    <xf numFmtId="0" fontId="9" fillId="2" borderId="46"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9" fillId="2" borderId="53" xfId="0" applyFont="1" applyFill="1" applyBorder="1" applyAlignment="1" applyProtection="1">
      <alignment horizontal="center" vertical="center" wrapText="1"/>
    </xf>
    <xf numFmtId="0" fontId="9" fillId="2" borderId="54"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3" borderId="47"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2" borderId="47"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10" fillId="6" borderId="0" xfId="0" applyFont="1" applyFill="1" applyProtection="1"/>
    <xf numFmtId="0" fontId="10" fillId="8" borderId="0" xfId="0" applyFont="1" applyFill="1" applyProtection="1"/>
    <xf numFmtId="0" fontId="11" fillId="6" borderId="0" xfId="0" applyFont="1" applyFill="1" applyProtection="1"/>
    <xf numFmtId="0" fontId="11" fillId="8" borderId="0" xfId="0" applyFont="1" applyFill="1" applyProtection="1"/>
    <xf numFmtId="0" fontId="10" fillId="8" borderId="0" xfId="0" applyFont="1" applyFill="1" applyAlignment="1" applyProtection="1">
      <alignment horizontal="center"/>
    </xf>
    <xf numFmtId="165" fontId="13" fillId="8" borderId="76" xfId="0" applyNumberFormat="1" applyFont="1" applyFill="1" applyBorder="1" applyProtection="1">
      <protection locked="0"/>
    </xf>
    <xf numFmtId="165" fontId="13" fillId="8" borderId="97" xfId="0" applyNumberFormat="1" applyFont="1" applyFill="1" applyBorder="1" applyProtection="1">
      <protection locked="0"/>
    </xf>
    <xf numFmtId="165" fontId="14" fillId="14" borderId="82" xfId="1" applyNumberFormat="1" applyFont="1" applyFill="1" applyBorder="1" applyProtection="1"/>
    <xf numFmtId="165" fontId="14" fillId="14" borderId="86" xfId="1" applyNumberFormat="1" applyFont="1" applyFill="1" applyBorder="1" applyProtection="1"/>
    <xf numFmtId="165" fontId="14" fillId="14" borderId="98" xfId="1" applyNumberFormat="1" applyFont="1" applyFill="1" applyBorder="1" applyProtection="1"/>
    <xf numFmtId="165" fontId="14" fillId="14" borderId="101" xfId="1" applyNumberFormat="1" applyFont="1" applyFill="1" applyBorder="1" applyProtection="1"/>
    <xf numFmtId="165" fontId="9" fillId="4" borderId="76" xfId="0" applyNumberFormat="1" applyFont="1" applyFill="1" applyBorder="1" applyProtection="1"/>
    <xf numFmtId="165" fontId="14" fillId="14" borderId="107" xfId="1" applyNumberFormat="1" applyFont="1" applyFill="1" applyBorder="1" applyProtection="1"/>
    <xf numFmtId="165" fontId="14" fillId="14" borderId="98" xfId="1" applyNumberFormat="1" applyFont="1" applyFill="1" applyBorder="1" applyAlignment="1" applyProtection="1"/>
    <xf numFmtId="165" fontId="14" fillId="14" borderId="107" xfId="1" applyNumberFormat="1" applyFont="1" applyFill="1" applyBorder="1" applyAlignment="1" applyProtection="1"/>
    <xf numFmtId="167" fontId="13" fillId="4" borderId="76" xfId="2" applyNumberFormat="1" applyFont="1" applyFill="1" applyBorder="1" applyProtection="1"/>
    <xf numFmtId="0" fontId="15" fillId="4" borderId="76" xfId="0" applyFont="1" applyFill="1" applyBorder="1" applyAlignment="1" applyProtection="1">
      <alignment horizontal="left" vertical="center"/>
    </xf>
    <xf numFmtId="42" fontId="10" fillId="4" borderId="76" xfId="2" applyNumberFormat="1" applyFont="1" applyFill="1" applyBorder="1" applyAlignment="1" applyProtection="1">
      <alignment horizontal="left"/>
    </xf>
    <xf numFmtId="42" fontId="10" fillId="4" borderId="77" xfId="2" applyNumberFormat="1" applyFont="1" applyFill="1" applyBorder="1" applyAlignment="1" applyProtection="1">
      <alignment horizontal="left"/>
    </xf>
    <xf numFmtId="167" fontId="13" fillId="4" borderId="98" xfId="2" applyNumberFormat="1" applyFont="1" applyFill="1" applyBorder="1" applyProtection="1"/>
    <xf numFmtId="167" fontId="13" fillId="4" borderId="107" xfId="2" applyNumberFormat="1" applyFont="1" applyFill="1" applyBorder="1" applyProtection="1"/>
    <xf numFmtId="167" fontId="13" fillId="4" borderId="99" xfId="2" applyNumberFormat="1" applyFont="1" applyFill="1" applyBorder="1" applyProtection="1"/>
    <xf numFmtId="167" fontId="10" fillId="4" borderId="76" xfId="2" applyNumberFormat="1" applyFont="1" applyFill="1" applyBorder="1" applyProtection="1"/>
    <xf numFmtId="167" fontId="10" fillId="4" borderId="97" xfId="2" applyNumberFormat="1" applyFont="1" applyFill="1" applyBorder="1" applyProtection="1"/>
    <xf numFmtId="167" fontId="13" fillId="4" borderId="97" xfId="2" applyNumberFormat="1" applyFont="1" applyFill="1" applyBorder="1" applyProtection="1"/>
    <xf numFmtId="0" fontId="15" fillId="4" borderId="78" xfId="0" applyFont="1" applyFill="1" applyBorder="1" applyAlignment="1" applyProtection="1">
      <alignment horizontal="left" vertical="center"/>
    </xf>
    <xf numFmtId="167" fontId="16" fillId="4" borderId="76" xfId="2" applyNumberFormat="1" applyFont="1" applyFill="1" applyBorder="1" applyProtection="1"/>
    <xf numFmtId="167" fontId="17" fillId="4" borderId="98" xfId="2" applyNumberFormat="1" applyFont="1" applyFill="1" applyBorder="1" applyProtection="1"/>
    <xf numFmtId="167" fontId="17" fillId="4" borderId="99" xfId="2" applyNumberFormat="1" applyFont="1" applyFill="1" applyBorder="1" applyProtection="1"/>
    <xf numFmtId="167" fontId="18" fillId="4" borderId="108" xfId="2" applyNumberFormat="1" applyFont="1" applyFill="1" applyBorder="1" applyAlignment="1" applyProtection="1">
      <alignment horizontal="left" vertical="center"/>
    </xf>
    <xf numFmtId="167" fontId="16" fillId="4" borderId="101" xfId="2" applyNumberFormat="1" applyFont="1" applyFill="1" applyBorder="1" applyProtection="1"/>
    <xf numFmtId="167" fontId="16" fillId="4" borderId="109" xfId="2" applyNumberFormat="1" applyFont="1" applyFill="1" applyBorder="1" applyProtection="1"/>
    <xf numFmtId="164" fontId="9" fillId="4" borderId="76" xfId="0" applyNumberFormat="1" applyFont="1" applyFill="1" applyBorder="1" applyProtection="1"/>
    <xf numFmtId="164" fontId="16" fillId="4" borderId="76" xfId="2" applyNumberFormat="1" applyFont="1" applyFill="1" applyBorder="1" applyProtection="1"/>
    <xf numFmtId="164" fontId="17" fillId="4" borderId="98" xfId="2" applyNumberFormat="1" applyFont="1" applyFill="1" applyBorder="1" applyProtection="1"/>
    <xf numFmtId="164" fontId="16" fillId="4" borderId="101" xfId="2" applyNumberFormat="1" applyFont="1" applyFill="1" applyBorder="1" applyProtection="1"/>
    <xf numFmtId="164" fontId="16" fillId="4" borderId="109" xfId="2" applyNumberFormat="1" applyFont="1" applyFill="1" applyBorder="1" applyProtection="1"/>
    <xf numFmtId="165" fontId="9" fillId="4" borderId="78" xfId="0" applyNumberFormat="1" applyFont="1" applyFill="1" applyBorder="1" applyProtection="1"/>
    <xf numFmtId="167" fontId="13" fillId="4" borderId="105" xfId="2" applyNumberFormat="1" applyFont="1" applyFill="1" applyBorder="1" applyProtection="1"/>
    <xf numFmtId="167" fontId="10" fillId="4" borderId="78" xfId="2" applyNumberFormat="1" applyFont="1" applyFill="1" applyBorder="1" applyProtection="1"/>
    <xf numFmtId="167" fontId="13" fillId="4" borderId="82" xfId="2" applyNumberFormat="1" applyFont="1" applyFill="1" applyBorder="1" applyProtection="1"/>
    <xf numFmtId="167" fontId="13" fillId="4" borderId="78" xfId="2" applyNumberFormat="1" applyFont="1" applyFill="1" applyBorder="1" applyProtection="1"/>
    <xf numFmtId="167" fontId="10" fillId="4" borderId="81" xfId="2" applyNumberFormat="1" applyFont="1" applyFill="1" applyBorder="1" applyProtection="1"/>
    <xf numFmtId="167" fontId="13" fillId="4" borderId="81" xfId="2" applyNumberFormat="1" applyFont="1" applyFill="1" applyBorder="1" applyProtection="1"/>
    <xf numFmtId="167" fontId="16" fillId="4" borderId="78" xfId="2" applyNumberFormat="1" applyFont="1" applyFill="1" applyBorder="1" applyProtection="1"/>
    <xf numFmtId="167" fontId="17" fillId="4" borderId="82" xfId="2" applyNumberFormat="1" applyFont="1" applyFill="1" applyBorder="1" applyProtection="1"/>
    <xf numFmtId="164" fontId="16" fillId="4" borderId="86" xfId="2" applyNumberFormat="1" applyFont="1" applyFill="1" applyBorder="1" applyProtection="1"/>
    <xf numFmtId="164" fontId="16" fillId="4" borderId="114" xfId="2" applyNumberFormat="1" applyFont="1" applyFill="1" applyBorder="1" applyProtection="1"/>
    <xf numFmtId="167" fontId="13" fillId="4" borderId="106" xfId="2" applyNumberFormat="1" applyFont="1" applyFill="1" applyBorder="1" applyProtection="1"/>
    <xf numFmtId="42" fontId="9" fillId="4" borderId="76" xfId="0" applyNumberFormat="1" applyFont="1" applyFill="1" applyBorder="1" applyProtection="1"/>
    <xf numFmtId="167" fontId="17" fillId="4" borderId="98" xfId="2" applyNumberFormat="1" applyFont="1" applyFill="1" applyBorder="1" applyAlignment="1" applyProtection="1">
      <alignment horizontal="right"/>
    </xf>
    <xf numFmtId="167" fontId="17" fillId="4" borderId="82" xfId="2" applyNumberFormat="1" applyFont="1" applyFill="1" applyBorder="1" applyAlignment="1" applyProtection="1">
      <alignment horizontal="right"/>
    </xf>
    <xf numFmtId="167" fontId="16" fillId="4" borderId="97" xfId="2" applyNumberFormat="1" applyFont="1" applyFill="1" applyBorder="1" applyProtection="1"/>
    <xf numFmtId="167" fontId="16" fillId="4" borderId="81" xfId="2" applyNumberFormat="1" applyFont="1" applyFill="1" applyBorder="1" applyProtection="1"/>
    <xf numFmtId="167" fontId="17" fillId="4" borderId="105" xfId="2" applyNumberFormat="1" applyFont="1" applyFill="1" applyBorder="1" applyProtection="1"/>
    <xf numFmtId="167" fontId="18" fillId="4" borderId="113" xfId="2" applyNumberFormat="1" applyFont="1" applyFill="1" applyBorder="1" applyAlignment="1" applyProtection="1">
      <alignment horizontal="left" vertical="center"/>
    </xf>
    <xf numFmtId="167" fontId="16" fillId="4" borderId="86" xfId="2" applyNumberFormat="1" applyFont="1" applyFill="1" applyBorder="1" applyProtection="1"/>
    <xf numFmtId="167" fontId="16" fillId="4" borderId="114" xfId="2" applyNumberFormat="1" applyFont="1" applyFill="1" applyBorder="1" applyProtection="1"/>
    <xf numFmtId="167" fontId="13" fillId="4" borderId="111" xfId="2" applyNumberFormat="1" applyFont="1" applyFill="1" applyBorder="1" applyProtection="1"/>
    <xf numFmtId="165" fontId="13" fillId="4" borderId="76" xfId="0" applyNumberFormat="1" applyFont="1" applyFill="1" applyBorder="1" applyProtection="1"/>
    <xf numFmtId="165" fontId="13" fillId="4" borderId="78" xfId="0" applyNumberFormat="1" applyFont="1" applyFill="1" applyBorder="1" applyProtection="1"/>
    <xf numFmtId="165" fontId="13" fillId="4" borderId="77" xfId="0" applyNumberFormat="1" applyFont="1" applyFill="1" applyBorder="1" applyProtection="1"/>
    <xf numFmtId="165" fontId="13" fillId="4" borderId="106" xfId="0" applyNumberFormat="1" applyFont="1" applyFill="1" applyBorder="1" applyProtection="1"/>
    <xf numFmtId="173" fontId="13" fillId="4" borderId="76" xfId="0" applyNumberFormat="1" applyFont="1" applyFill="1" applyBorder="1" applyProtection="1"/>
    <xf numFmtId="44" fontId="13" fillId="4" borderId="76" xfId="2" applyNumberFormat="1" applyFont="1" applyFill="1" applyBorder="1" applyProtection="1"/>
    <xf numFmtId="165" fontId="13" fillId="4" borderId="97" xfId="0" applyNumberFormat="1" applyFont="1" applyFill="1" applyBorder="1" applyAlignment="1" applyProtection="1">
      <alignment horizontal="right" vertical="center"/>
    </xf>
    <xf numFmtId="165" fontId="13" fillId="4" borderId="81" xfId="0" applyNumberFormat="1" applyFont="1" applyFill="1" applyBorder="1" applyAlignment="1" applyProtection="1">
      <alignment horizontal="right" vertical="center"/>
    </xf>
    <xf numFmtId="169" fontId="9" fillId="11" borderId="100" xfId="0" applyNumberFormat="1" applyFont="1" applyFill="1" applyBorder="1" applyAlignment="1" applyProtection="1">
      <alignment horizontal="center"/>
    </xf>
    <xf numFmtId="0" fontId="9" fillId="11" borderId="103" xfId="0" applyFont="1" applyFill="1" applyBorder="1" applyAlignment="1" applyProtection="1">
      <alignment horizontal="left" indent="1"/>
    </xf>
    <xf numFmtId="0" fontId="9" fillId="11" borderId="103" xfId="0" applyFont="1" applyFill="1" applyBorder="1" applyAlignment="1" applyProtection="1">
      <alignment horizontal="center"/>
    </xf>
    <xf numFmtId="5" fontId="9" fillId="11" borderId="100" xfId="2" applyNumberFormat="1" applyFont="1" applyFill="1" applyBorder="1" applyAlignment="1" applyProtection="1">
      <alignment horizontal="center"/>
    </xf>
    <xf numFmtId="0" fontId="9" fillId="11" borderId="100" xfId="0" applyFont="1" applyFill="1" applyBorder="1" applyAlignment="1" applyProtection="1">
      <alignment horizontal="center"/>
    </xf>
    <xf numFmtId="2" fontId="9" fillId="11" borderId="100" xfId="0" applyNumberFormat="1" applyFont="1" applyFill="1" applyBorder="1" applyAlignment="1" applyProtection="1">
      <alignment horizontal="center"/>
    </xf>
    <xf numFmtId="0" fontId="9" fillId="8" borderId="0" xfId="0" applyFont="1" applyFill="1" applyAlignment="1" applyProtection="1">
      <alignment wrapText="1"/>
    </xf>
    <xf numFmtId="0" fontId="13" fillId="11" borderId="100" xfId="0" applyFont="1" applyFill="1" applyBorder="1" applyAlignment="1" applyProtection="1">
      <alignment horizontal="left" indent="1"/>
    </xf>
    <xf numFmtId="0" fontId="13" fillId="4" borderId="118" xfId="0" applyNumberFormat="1" applyFont="1" applyFill="1" applyBorder="1" applyAlignment="1" applyProtection="1">
      <alignment horizontal="center" vertical="center"/>
    </xf>
    <xf numFmtId="0" fontId="9" fillId="6" borderId="0" xfId="0" applyFont="1" applyFill="1" applyAlignment="1" applyProtection="1">
      <alignment horizontal="right"/>
    </xf>
    <xf numFmtId="0" fontId="9" fillId="8" borderId="0" xfId="0" applyFont="1" applyFill="1" applyAlignment="1" applyProtection="1">
      <alignment horizontal="right"/>
    </xf>
    <xf numFmtId="167" fontId="13" fillId="4" borderId="38" xfId="2" applyNumberFormat="1" applyFont="1" applyFill="1" applyBorder="1" applyProtection="1"/>
    <xf numFmtId="0" fontId="33" fillId="11" borderId="1" xfId="0" applyFont="1" applyFill="1" applyBorder="1" applyAlignment="1" applyProtection="1">
      <alignment horizontal="left" indent="1"/>
    </xf>
    <xf numFmtId="0" fontId="11" fillId="17" borderId="1" xfId="0" applyFont="1" applyFill="1" applyBorder="1" applyAlignment="1" applyProtection="1">
      <alignment horizontal="center" vertical="center"/>
    </xf>
    <xf numFmtId="0" fontId="11" fillId="7" borderId="1" xfId="0" applyFont="1" applyFill="1" applyBorder="1" applyAlignment="1" applyProtection="1">
      <alignment horizontal="left" vertical="center"/>
    </xf>
    <xf numFmtId="0" fontId="11" fillId="7" borderId="1" xfId="0" applyFont="1" applyFill="1" applyBorder="1" applyAlignment="1" applyProtection="1">
      <alignment horizontal="center" vertical="center"/>
    </xf>
    <xf numFmtId="10" fontId="11" fillId="7" borderId="1" xfId="0" applyNumberFormat="1" applyFont="1" applyFill="1" applyBorder="1" applyAlignment="1" applyProtection="1">
      <alignment horizontal="center" vertical="center" wrapText="1"/>
    </xf>
    <xf numFmtId="49" fontId="33" fillId="11" borderId="1" xfId="0" quotePrefix="1" applyNumberFormat="1" applyFont="1" applyFill="1" applyBorder="1" applyAlignment="1" applyProtection="1">
      <alignment horizontal="center" vertical="center"/>
    </xf>
    <xf numFmtId="49" fontId="33" fillId="11" borderId="1" xfId="0" applyNumberFormat="1" applyFont="1" applyFill="1" applyBorder="1" applyAlignment="1" applyProtection="1">
      <alignment horizontal="center" vertical="center"/>
    </xf>
    <xf numFmtId="0" fontId="33" fillId="11" borderId="1" xfId="0" quotePrefix="1" applyFont="1" applyFill="1" applyBorder="1" applyAlignment="1" applyProtection="1">
      <alignment horizontal="center" vertical="center"/>
    </xf>
    <xf numFmtId="0" fontId="33" fillId="11" borderId="1" xfId="0" applyFont="1" applyFill="1" applyBorder="1" applyAlignment="1" applyProtection="1">
      <alignment horizontal="center" vertical="center"/>
    </xf>
    <xf numFmtId="0" fontId="33" fillId="11" borderId="1" xfId="0" applyFont="1" applyFill="1" applyBorder="1" applyAlignment="1" applyProtection="1">
      <alignment horizontal="center"/>
    </xf>
    <xf numFmtId="43" fontId="37" fillId="8" borderId="1" xfId="1" applyFont="1" applyFill="1" applyBorder="1" applyAlignment="1" applyProtection="1">
      <alignment horizontal="right" vertical="center"/>
      <protection locked="0"/>
    </xf>
    <xf numFmtId="0" fontId="37" fillId="8" borderId="1" xfId="0" applyFont="1" applyFill="1" applyBorder="1" applyProtection="1">
      <protection locked="0"/>
    </xf>
    <xf numFmtId="0" fontId="37" fillId="8" borderId="1" xfId="0" applyFont="1" applyFill="1" applyBorder="1" applyAlignment="1" applyProtection="1">
      <protection locked="0"/>
    </xf>
    <xf numFmtId="174" fontId="37" fillId="8" borderId="1" xfId="1" applyNumberFormat="1" applyFont="1" applyFill="1" applyBorder="1" applyAlignment="1" applyProtection="1">
      <alignment horizontal="right" vertical="center"/>
      <protection locked="0"/>
    </xf>
    <xf numFmtId="0" fontId="37" fillId="8" borderId="1" xfId="0" applyFont="1" applyFill="1" applyBorder="1" applyAlignment="1" applyProtection="1">
      <alignment horizontal="center" vertical="center"/>
      <protection locked="0"/>
    </xf>
    <xf numFmtId="164" fontId="37" fillId="8" borderId="1" xfId="1" applyNumberFormat="1" applyFont="1" applyFill="1" applyBorder="1" applyAlignment="1" applyProtection="1">
      <alignment horizontal="right" vertical="center"/>
      <protection locked="0"/>
    </xf>
    <xf numFmtId="0" fontId="37" fillId="8" borderId="37" xfId="0" applyFont="1" applyFill="1" applyBorder="1" applyProtection="1">
      <protection locked="0"/>
    </xf>
    <xf numFmtId="0" fontId="33" fillId="12" borderId="1" xfId="0" applyFont="1" applyFill="1" applyBorder="1" applyAlignment="1" applyProtection="1">
      <alignment horizontal="left" indent="1"/>
    </xf>
    <xf numFmtId="49" fontId="11" fillId="12" borderId="1" xfId="0" quotePrefix="1" applyNumberFormat="1" applyFont="1" applyFill="1" applyBorder="1" applyAlignment="1" applyProtection="1">
      <alignment horizontal="center" vertical="center"/>
    </xf>
    <xf numFmtId="0" fontId="11" fillId="17" borderId="32" xfId="0" applyFont="1" applyFill="1" applyBorder="1" applyAlignment="1" applyProtection="1">
      <alignment horizontal="center" vertical="center" wrapText="1"/>
    </xf>
    <xf numFmtId="0" fontId="37" fillId="8" borderId="29" xfId="0" applyFont="1" applyFill="1" applyBorder="1" applyProtection="1">
      <protection locked="0"/>
    </xf>
    <xf numFmtId="0" fontId="11" fillId="12" borderId="125" xfId="0" applyFont="1" applyFill="1" applyBorder="1" applyAlignment="1" applyProtection="1">
      <alignment horizontal="center" vertical="center" wrapText="1"/>
    </xf>
    <xf numFmtId="0" fontId="37" fillId="8" borderId="88" xfId="0" applyFont="1" applyFill="1" applyBorder="1" applyProtection="1">
      <protection locked="0"/>
    </xf>
    <xf numFmtId="165" fontId="13" fillId="4" borderId="76" xfId="0" applyNumberFormat="1" applyFont="1" applyFill="1" applyBorder="1" applyAlignment="1" applyProtection="1">
      <alignment horizontal="center" vertical="center"/>
    </xf>
    <xf numFmtId="165" fontId="13" fillId="4" borderId="78" xfId="0" applyNumberFormat="1" applyFont="1" applyFill="1" applyBorder="1" applyAlignment="1" applyProtection="1">
      <alignment horizontal="center" vertical="center"/>
    </xf>
    <xf numFmtId="0" fontId="9" fillId="12" borderId="1" xfId="0" applyFont="1" applyFill="1" applyBorder="1" applyAlignment="1" applyProtection="1">
      <alignment wrapText="1"/>
    </xf>
    <xf numFmtId="37" fontId="37" fillId="8" borderId="1" xfId="1" applyNumberFormat="1" applyFont="1" applyFill="1" applyBorder="1" applyAlignment="1" applyProtection="1">
      <alignment horizontal="right" vertical="center"/>
      <protection locked="0"/>
    </xf>
    <xf numFmtId="0" fontId="35" fillId="12" borderId="1" xfId="0" applyNumberFormat="1" applyFont="1" applyFill="1" applyBorder="1" applyAlignment="1" applyProtection="1">
      <alignment vertical="center" wrapText="1"/>
    </xf>
    <xf numFmtId="0" fontId="40" fillId="12" borderId="1" xfId="0" applyNumberFormat="1" applyFont="1" applyFill="1" applyBorder="1" applyAlignment="1" applyProtection="1">
      <alignment horizontal="center" vertical="center" wrapText="1"/>
    </xf>
    <xf numFmtId="0" fontId="13" fillId="4" borderId="127" xfId="0" applyNumberFormat="1" applyFont="1" applyFill="1" applyBorder="1" applyAlignment="1" applyProtection="1">
      <alignment horizontal="center" vertical="center"/>
    </xf>
    <xf numFmtId="165" fontId="13" fillId="4" borderId="81" xfId="0" applyNumberFormat="1" applyFont="1" applyFill="1" applyBorder="1" applyProtection="1"/>
    <xf numFmtId="167" fontId="17" fillId="4" borderId="76" xfId="2" applyNumberFormat="1" applyFont="1" applyFill="1" applyBorder="1" applyProtection="1"/>
    <xf numFmtId="167" fontId="17" fillId="4" borderId="78" xfId="2" applyNumberFormat="1" applyFont="1" applyFill="1" applyBorder="1" applyProtection="1"/>
    <xf numFmtId="2" fontId="15" fillId="4" borderId="76" xfId="0" applyNumberFormat="1" applyFont="1" applyFill="1" applyBorder="1" applyAlignment="1" applyProtection="1">
      <alignment horizontal="center"/>
    </xf>
    <xf numFmtId="2" fontId="15" fillId="4" borderId="78" xfId="0" applyNumberFormat="1" applyFont="1" applyFill="1" applyBorder="1" applyAlignment="1" applyProtection="1">
      <alignment horizontal="center"/>
    </xf>
    <xf numFmtId="172" fontId="13" fillId="4" borderId="76" xfId="0" applyNumberFormat="1" applyFont="1" applyFill="1" applyBorder="1" applyProtection="1"/>
    <xf numFmtId="42" fontId="13" fillId="4" borderId="76" xfId="0" applyNumberFormat="1" applyFont="1" applyFill="1" applyBorder="1" applyProtection="1"/>
    <xf numFmtId="0" fontId="9" fillId="11" borderId="100" xfId="0" applyFont="1" applyFill="1" applyBorder="1" applyAlignment="1" applyProtection="1">
      <alignment horizontal="left" indent="1"/>
    </xf>
    <xf numFmtId="165" fontId="9" fillId="4" borderId="97" xfId="0" applyNumberFormat="1" applyFont="1" applyFill="1" applyBorder="1" applyProtection="1"/>
    <xf numFmtId="165" fontId="9" fillId="4" borderId="29" xfId="0" applyNumberFormat="1" applyFont="1" applyFill="1" applyBorder="1" applyProtection="1"/>
    <xf numFmtId="165" fontId="14" fillId="14" borderId="36" xfId="1" applyNumberFormat="1" applyFont="1" applyFill="1" applyBorder="1" applyProtection="1"/>
    <xf numFmtId="165" fontId="14" fillId="14" borderId="96" xfId="1" applyNumberFormat="1" applyFont="1" applyFill="1" applyBorder="1" applyProtection="1"/>
    <xf numFmtId="167" fontId="10" fillId="4" borderId="37" xfId="2" applyNumberFormat="1" applyFont="1" applyFill="1" applyBorder="1" applyProtection="1"/>
    <xf numFmtId="165" fontId="9" fillId="4" borderId="81" xfId="0" applyNumberFormat="1" applyFont="1" applyFill="1" applyBorder="1" applyProtection="1"/>
    <xf numFmtId="164" fontId="17" fillId="4" borderId="98" xfId="2" applyNumberFormat="1" applyFont="1" applyFill="1" applyBorder="1" applyAlignment="1" applyProtection="1">
      <alignment horizontal="right"/>
    </xf>
    <xf numFmtId="164" fontId="17" fillId="4" borderId="82" xfId="2" applyNumberFormat="1" applyFont="1" applyFill="1" applyBorder="1" applyAlignment="1" applyProtection="1">
      <alignment horizontal="right"/>
    </xf>
    <xf numFmtId="0" fontId="39" fillId="4" borderId="0" xfId="0" applyFont="1" applyFill="1" applyProtection="1"/>
    <xf numFmtId="0" fontId="9" fillId="4" borderId="0" xfId="0" applyFont="1" applyFill="1" applyProtection="1"/>
    <xf numFmtId="0" fontId="21" fillId="4" borderId="0" xfId="0" applyFont="1" applyFill="1" applyBorder="1" applyAlignment="1" applyProtection="1">
      <alignment horizontal="center" vertical="center" wrapText="1"/>
    </xf>
    <xf numFmtId="0" fontId="39" fillId="4" borderId="0" xfId="0" applyFont="1" applyFill="1" applyAlignment="1" applyProtection="1">
      <alignment vertical="center"/>
    </xf>
    <xf numFmtId="0" fontId="9" fillId="4" borderId="0" xfId="0" applyFont="1" applyFill="1" applyAlignment="1" applyProtection="1">
      <alignment vertical="center"/>
    </xf>
    <xf numFmtId="0" fontId="9" fillId="8" borderId="0" xfId="0" applyFont="1" applyFill="1" applyAlignment="1" applyProtection="1">
      <alignment vertical="center"/>
    </xf>
    <xf numFmtId="0" fontId="13" fillId="4" borderId="0" xfId="0" applyFont="1" applyFill="1" applyProtection="1"/>
    <xf numFmtId="168" fontId="38" fillId="8"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xf>
    <xf numFmtId="14" fontId="9" fillId="15" borderId="81" xfId="0" applyNumberFormat="1" applyFont="1" applyFill="1" applyBorder="1" applyAlignment="1" applyProtection="1">
      <alignment horizontal="center" vertical="center" wrapText="1"/>
    </xf>
    <xf numFmtId="167" fontId="10" fillId="8" borderId="76" xfId="2" applyNumberFormat="1" applyFont="1" applyFill="1" applyBorder="1" applyProtection="1">
      <protection locked="0"/>
    </xf>
    <xf numFmtId="167" fontId="10" fillId="8" borderId="99" xfId="2" applyNumberFormat="1" applyFont="1" applyFill="1" applyBorder="1" applyProtection="1">
      <protection locked="0"/>
    </xf>
    <xf numFmtId="167" fontId="13" fillId="8" borderId="50" xfId="2" applyNumberFormat="1" applyFont="1" applyFill="1" applyBorder="1" applyProtection="1">
      <protection locked="0"/>
    </xf>
    <xf numFmtId="14" fontId="26" fillId="15" borderId="30" xfId="0" applyNumberFormat="1" applyFont="1" applyFill="1" applyBorder="1" applyAlignment="1" applyProtection="1">
      <alignment horizontal="center" vertical="center" wrapText="1"/>
    </xf>
    <xf numFmtId="14" fontId="26" fillId="15" borderId="110" xfId="0" applyNumberFormat="1" applyFont="1" applyFill="1" applyBorder="1" applyAlignment="1" applyProtection="1">
      <alignment horizontal="center" vertical="center" wrapText="1"/>
    </xf>
    <xf numFmtId="14" fontId="9" fillId="15" borderId="29" xfId="0" applyNumberFormat="1" applyFont="1" applyFill="1" applyBorder="1" applyAlignment="1" applyProtection="1">
      <alignment horizontal="center" vertical="center" wrapText="1"/>
    </xf>
    <xf numFmtId="165" fontId="13" fillId="4" borderId="97" xfId="0" applyNumberFormat="1" applyFont="1" applyFill="1" applyBorder="1" applyAlignment="1" applyProtection="1">
      <alignment horizontal="center" vertical="center"/>
    </xf>
    <xf numFmtId="0" fontId="9" fillId="8" borderId="0" xfId="0" applyFont="1" applyFill="1" applyProtection="1">
      <protection locked="0"/>
    </xf>
    <xf numFmtId="14" fontId="13" fillId="15" borderId="124" xfId="0" applyNumberFormat="1" applyFont="1" applyFill="1" applyBorder="1" applyAlignment="1" applyProtection="1">
      <alignment horizontal="center" vertical="center" wrapText="1"/>
    </xf>
    <xf numFmtId="14" fontId="13" fillId="15" borderId="2" xfId="0" applyNumberFormat="1" applyFont="1" applyFill="1" applyBorder="1" applyAlignment="1" applyProtection="1">
      <alignment horizontal="center" vertical="center" wrapText="1"/>
    </xf>
    <xf numFmtId="14" fontId="9" fillId="15" borderId="2" xfId="0" applyNumberFormat="1" applyFont="1" applyFill="1" applyBorder="1" applyAlignment="1" applyProtection="1">
      <alignment horizontal="center" vertical="center" wrapText="1"/>
    </xf>
    <xf numFmtId="14" fontId="13" fillId="15" borderId="2" xfId="0" applyNumberFormat="1" applyFont="1" applyFill="1" applyBorder="1" applyAlignment="1" applyProtection="1">
      <alignment horizontal="center" wrapText="1"/>
    </xf>
    <xf numFmtId="14" fontId="9" fillId="15" borderId="73" xfId="0" applyNumberFormat="1" applyFont="1" applyFill="1" applyBorder="1" applyAlignment="1" applyProtection="1">
      <alignment horizontal="center" vertical="center" wrapText="1"/>
    </xf>
    <xf numFmtId="14" fontId="21" fillId="15" borderId="83" xfId="0" applyNumberFormat="1" applyFont="1" applyFill="1" applyBorder="1" applyAlignment="1" applyProtection="1">
      <alignment horizontal="center" wrapText="1"/>
    </xf>
    <xf numFmtId="14" fontId="21" fillId="8" borderId="102" xfId="0" applyNumberFormat="1" applyFont="1" applyFill="1" applyBorder="1" applyAlignment="1" applyProtection="1">
      <alignment horizontal="center" wrapText="1"/>
    </xf>
    <xf numFmtId="0" fontId="9" fillId="11" borderId="100" xfId="0" applyFont="1" applyFill="1" applyBorder="1" applyAlignment="1" applyProtection="1">
      <alignment horizontal="left" indent="1"/>
    </xf>
    <xf numFmtId="0" fontId="48" fillId="12" borderId="1" xfId="0" applyNumberFormat="1" applyFont="1" applyFill="1" applyBorder="1" applyAlignment="1" applyProtection="1">
      <alignment horizontal="center" vertical="center" wrapText="1"/>
    </xf>
    <xf numFmtId="0" fontId="15" fillId="14" borderId="1" xfId="0" applyFont="1" applyFill="1" applyBorder="1" applyAlignment="1" applyProtection="1">
      <alignment horizontal="left" vertical="center"/>
    </xf>
    <xf numFmtId="164" fontId="37" fillId="14" borderId="1" xfId="2" applyNumberFormat="1" applyFont="1" applyFill="1" applyBorder="1" applyProtection="1"/>
    <xf numFmtId="0" fontId="51" fillId="4" borderId="0" xfId="0" applyFont="1" applyFill="1" applyProtection="1"/>
    <xf numFmtId="166" fontId="14" fillId="14" borderId="98" xfId="0" applyNumberFormat="1" applyFont="1" applyFill="1" applyBorder="1" applyProtection="1"/>
    <xf numFmtId="166" fontId="14" fillId="14" borderId="82" xfId="0" applyNumberFormat="1" applyFont="1" applyFill="1" applyBorder="1" applyProtection="1"/>
    <xf numFmtId="0" fontId="9" fillId="6" borderId="0" xfId="0" applyFont="1" applyFill="1" applyProtection="1">
      <protection locked="0"/>
    </xf>
    <xf numFmtId="0" fontId="13" fillId="6" borderId="0" xfId="0" applyFont="1" applyFill="1" applyAlignment="1" applyProtection="1">
      <alignment vertical="center"/>
      <protection locked="0"/>
    </xf>
    <xf numFmtId="0" fontId="9" fillId="6" borderId="0" xfId="0" applyFont="1" applyFill="1" applyAlignment="1" applyProtection="1">
      <alignment horizontal="left" vertical="center"/>
      <protection locked="0"/>
    </xf>
    <xf numFmtId="0" fontId="10" fillId="6" borderId="0" xfId="0" applyFont="1" applyFill="1" applyProtection="1">
      <protection locked="0"/>
    </xf>
    <xf numFmtId="0" fontId="13" fillId="6" borderId="0" xfId="0" applyFont="1" applyFill="1" applyProtection="1">
      <protection locked="0"/>
    </xf>
    <xf numFmtId="0" fontId="11" fillId="6" borderId="0" xfId="0" applyFont="1" applyFill="1" applyProtection="1">
      <protection locked="0"/>
    </xf>
    <xf numFmtId="164" fontId="16" fillId="4" borderId="112" xfId="2" applyNumberFormat="1" applyFont="1" applyFill="1" applyBorder="1" applyProtection="1"/>
    <xf numFmtId="167" fontId="13" fillId="8" borderId="37" xfId="2" applyNumberFormat="1" applyFont="1" applyFill="1" applyBorder="1" applyProtection="1">
      <protection locked="0"/>
    </xf>
    <xf numFmtId="167" fontId="13" fillId="4" borderId="37" xfId="2" applyNumberFormat="1" applyFont="1" applyFill="1" applyBorder="1" applyProtection="1"/>
    <xf numFmtId="164" fontId="13" fillId="4" borderId="76" xfId="2" applyNumberFormat="1" applyFont="1" applyFill="1" applyBorder="1" applyProtection="1"/>
    <xf numFmtId="165" fontId="13" fillId="4" borderId="97" xfId="0" applyNumberFormat="1" applyFont="1" applyFill="1" applyBorder="1" applyProtection="1"/>
    <xf numFmtId="165" fontId="13" fillId="4" borderId="124" xfId="0" applyNumberFormat="1" applyFont="1" applyFill="1" applyBorder="1" applyProtection="1"/>
    <xf numFmtId="165" fontId="13" fillId="4" borderId="99" xfId="0" applyNumberFormat="1" applyFont="1" applyFill="1" applyBorder="1" applyProtection="1"/>
    <xf numFmtId="1" fontId="13" fillId="4" borderId="99" xfId="0" applyNumberFormat="1" applyFont="1" applyFill="1" applyBorder="1" applyProtection="1"/>
    <xf numFmtId="1" fontId="13" fillId="4" borderId="77" xfId="0" applyNumberFormat="1" applyFont="1" applyFill="1" applyBorder="1" applyProtection="1"/>
    <xf numFmtId="167" fontId="13" fillId="4" borderId="77" xfId="2" applyNumberFormat="1" applyFont="1" applyFill="1" applyBorder="1" applyProtection="1"/>
    <xf numFmtId="0" fontId="13" fillId="11" borderId="127" xfId="0" applyNumberFormat="1" applyFont="1" applyFill="1" applyBorder="1" applyAlignment="1" applyProtection="1">
      <alignment horizontal="center" vertical="center"/>
    </xf>
    <xf numFmtId="0" fontId="13" fillId="11" borderId="118" xfId="0" applyNumberFormat="1" applyFont="1" applyFill="1" applyBorder="1" applyAlignment="1" applyProtection="1">
      <alignment horizontal="center" vertical="center"/>
    </xf>
    <xf numFmtId="165" fontId="13" fillId="8" borderId="97" xfId="0" applyNumberFormat="1" applyFont="1" applyFill="1" applyBorder="1" applyAlignment="1" applyProtection="1">
      <alignment horizontal="right" vertical="center"/>
      <protection locked="0"/>
    </xf>
    <xf numFmtId="165" fontId="9" fillId="4" borderId="99" xfId="0" applyNumberFormat="1" applyFont="1" applyFill="1" applyBorder="1" applyProtection="1"/>
    <xf numFmtId="165" fontId="9" fillId="4" borderId="105" xfId="0" applyNumberFormat="1" applyFont="1" applyFill="1" applyBorder="1" applyProtection="1"/>
    <xf numFmtId="165" fontId="9" fillId="4" borderId="133" xfId="0" applyNumberFormat="1" applyFont="1" applyFill="1" applyBorder="1" applyProtection="1"/>
    <xf numFmtId="165" fontId="13" fillId="4" borderId="102" xfId="0" applyNumberFormat="1" applyFont="1" applyFill="1" applyBorder="1" applyAlignment="1" applyProtection="1">
      <alignment horizontal="center" vertical="center"/>
    </xf>
    <xf numFmtId="165" fontId="13" fillId="4" borderId="134" xfId="0" applyNumberFormat="1" applyFont="1" applyFill="1" applyBorder="1" applyAlignment="1" applyProtection="1">
      <alignment horizontal="center" vertical="center"/>
    </xf>
    <xf numFmtId="165" fontId="13" fillId="4" borderId="128" xfId="0" applyNumberFormat="1" applyFont="1" applyFill="1" applyBorder="1" applyAlignment="1" applyProtection="1">
      <alignment horizontal="center" vertical="center"/>
    </xf>
    <xf numFmtId="164" fontId="16" fillId="4" borderId="129" xfId="2" applyNumberFormat="1" applyFont="1" applyFill="1" applyBorder="1" applyProtection="1"/>
    <xf numFmtId="164" fontId="16" fillId="4" borderId="135" xfId="2" applyNumberFormat="1" applyFont="1" applyFill="1" applyBorder="1" applyProtection="1"/>
    <xf numFmtId="164" fontId="16" fillId="4" borderId="130" xfId="2" applyNumberFormat="1" applyFont="1" applyFill="1" applyBorder="1" applyProtection="1"/>
    <xf numFmtId="43" fontId="37" fillId="11" borderId="1" xfId="1" applyFont="1" applyFill="1" applyBorder="1" applyAlignment="1" applyProtection="1">
      <alignment horizontal="left"/>
    </xf>
    <xf numFmtId="14" fontId="13" fillId="20" borderId="2" xfId="0" applyNumberFormat="1" applyFont="1" applyFill="1" applyBorder="1" applyAlignment="1" applyProtection="1">
      <alignment horizontal="center" vertical="center" wrapText="1"/>
    </xf>
    <xf numFmtId="14" fontId="9" fillId="20" borderId="73" xfId="0" applyNumberFormat="1" applyFont="1" applyFill="1" applyBorder="1" applyAlignment="1" applyProtection="1">
      <alignment horizontal="center" vertical="center" wrapText="1"/>
    </xf>
    <xf numFmtId="14" fontId="9" fillId="20" borderId="2" xfId="0" applyNumberFormat="1" applyFont="1" applyFill="1" applyBorder="1" applyAlignment="1" applyProtection="1">
      <alignment horizontal="center" vertical="center" wrapText="1"/>
    </xf>
    <xf numFmtId="14" fontId="13" fillId="20" borderId="83" xfId="0" applyNumberFormat="1" applyFont="1" applyFill="1" applyBorder="1" applyAlignment="1" applyProtection="1">
      <alignment horizontal="center" wrapText="1"/>
    </xf>
    <xf numFmtId="14" fontId="21" fillId="20" borderId="83" xfId="0" applyNumberFormat="1" applyFont="1" applyFill="1" applyBorder="1" applyAlignment="1" applyProtection="1">
      <alignment horizontal="center" wrapText="1"/>
    </xf>
    <xf numFmtId="14" fontId="13" fillId="20" borderId="2" xfId="0" applyNumberFormat="1" applyFont="1" applyFill="1" applyBorder="1" applyAlignment="1" applyProtection="1">
      <alignment horizontal="center" wrapText="1"/>
    </xf>
    <xf numFmtId="14" fontId="21" fillId="20" borderId="30" xfId="0" applyNumberFormat="1" applyFont="1" applyFill="1" applyBorder="1" applyAlignment="1" applyProtection="1">
      <alignment horizontal="center" vertical="center" wrapText="1"/>
    </xf>
    <xf numFmtId="14" fontId="26" fillId="20" borderId="110" xfId="0" applyNumberFormat="1" applyFont="1" applyFill="1" applyBorder="1" applyAlignment="1" applyProtection="1">
      <alignment horizontal="center" vertical="center" wrapText="1"/>
    </xf>
    <xf numFmtId="14" fontId="13" fillId="20" borderId="124" xfId="0" applyNumberFormat="1" applyFont="1" applyFill="1" applyBorder="1" applyAlignment="1" applyProtection="1">
      <alignment horizontal="center" vertical="center" wrapText="1"/>
    </xf>
    <xf numFmtId="14" fontId="9" fillId="20" borderId="29" xfId="0" applyNumberFormat="1" applyFont="1" applyFill="1" applyBorder="1" applyAlignment="1" applyProtection="1">
      <alignment horizontal="center" vertical="center" wrapText="1"/>
    </xf>
    <xf numFmtId="14" fontId="9" fillId="20" borderId="81" xfId="0" applyNumberFormat="1" applyFont="1" applyFill="1" applyBorder="1" applyAlignment="1" applyProtection="1">
      <alignment horizontal="center" vertical="center" wrapText="1"/>
    </xf>
    <xf numFmtId="0" fontId="11" fillId="12" borderId="1" xfId="0" applyFont="1" applyFill="1" applyBorder="1" applyAlignment="1" applyProtection="1">
      <alignment horizontal="left" indent="1"/>
    </xf>
    <xf numFmtId="0" fontId="11" fillId="12" borderId="1" xfId="0" applyFont="1" applyFill="1" applyBorder="1" applyAlignment="1" applyProtection="1">
      <alignment horizontal="left" wrapText="1" indent="1"/>
    </xf>
    <xf numFmtId="14" fontId="13" fillId="20" borderId="120" xfId="0" applyNumberFormat="1" applyFont="1" applyFill="1" applyBorder="1" applyAlignment="1" applyProtection="1">
      <alignment horizontal="center" vertical="center" wrapText="1"/>
    </xf>
    <xf numFmtId="0" fontId="9" fillId="11" borderId="100" xfId="0" applyFont="1" applyFill="1" applyBorder="1" applyAlignment="1" applyProtection="1">
      <alignment horizontal="left" indent="1"/>
    </xf>
    <xf numFmtId="0" fontId="9" fillId="13" borderId="2" xfId="0" applyFont="1" applyFill="1" applyBorder="1" applyProtection="1"/>
    <xf numFmtId="0" fontId="9" fillId="13" borderId="8" xfId="0" applyFont="1" applyFill="1" applyBorder="1" applyProtection="1"/>
    <xf numFmtId="10" fontId="37" fillId="8" borderId="1" xfId="0" applyNumberFormat="1" applyFont="1" applyFill="1" applyBorder="1" applyProtection="1">
      <protection locked="0"/>
    </xf>
    <xf numFmtId="14" fontId="13" fillId="20" borderId="73" xfId="0" applyNumberFormat="1" applyFont="1" applyFill="1" applyBorder="1" applyAlignment="1" applyProtection="1">
      <alignment horizontal="center" vertical="center" wrapText="1"/>
    </xf>
    <xf numFmtId="14" fontId="13" fillId="20" borderId="73" xfId="0" applyNumberFormat="1" applyFont="1" applyFill="1" applyBorder="1" applyAlignment="1" applyProtection="1">
      <alignment horizontal="center" wrapText="1"/>
    </xf>
    <xf numFmtId="14" fontId="12" fillId="20" borderId="103" xfId="0" applyNumberFormat="1" applyFont="1" applyFill="1" applyBorder="1" applyAlignment="1" applyProtection="1">
      <alignment horizontal="center" vertical="center" wrapText="1"/>
    </xf>
    <xf numFmtId="14" fontId="58" fillId="20" borderId="128" xfId="0" applyNumberFormat="1" applyFont="1" applyFill="1" applyBorder="1" applyAlignment="1" applyProtection="1">
      <alignment horizontal="center" vertical="center" wrapText="1"/>
    </xf>
    <xf numFmtId="165" fontId="14" fillId="14" borderId="98" xfId="0" applyNumberFormat="1" applyFont="1" applyFill="1" applyBorder="1" applyAlignment="1" applyProtection="1">
      <alignment wrapText="1"/>
    </xf>
    <xf numFmtId="165" fontId="14" fillId="14" borderId="82" xfId="0" applyNumberFormat="1" applyFont="1" applyFill="1" applyBorder="1" applyAlignment="1" applyProtection="1">
      <alignment wrapText="1"/>
    </xf>
    <xf numFmtId="164" fontId="17" fillId="4" borderId="99" xfId="2" applyNumberFormat="1" applyFont="1" applyFill="1" applyBorder="1"/>
    <xf numFmtId="164" fontId="18" fillId="4" borderId="108" xfId="2" applyNumberFormat="1" applyFont="1" applyFill="1" applyBorder="1" applyAlignment="1">
      <alignment horizontal="left" vertical="center"/>
    </xf>
    <xf numFmtId="164" fontId="18" fillId="4" borderId="113" xfId="2" applyNumberFormat="1" applyFont="1" applyFill="1" applyBorder="1" applyAlignment="1">
      <alignment horizontal="left" vertical="center"/>
    </xf>
    <xf numFmtId="44" fontId="13" fillId="16" borderId="76" xfId="2" applyNumberFormat="1" applyFont="1" applyFill="1" applyBorder="1" applyProtection="1"/>
    <xf numFmtId="172" fontId="13" fillId="16" borderId="76" xfId="2" applyNumberFormat="1" applyFont="1" applyFill="1" applyBorder="1" applyProtection="1">
      <protection locked="0"/>
    </xf>
    <xf numFmtId="177" fontId="13" fillId="16" borderId="76" xfId="2" applyNumberFormat="1" applyFont="1" applyFill="1" applyBorder="1" applyProtection="1">
      <protection locked="0"/>
    </xf>
    <xf numFmtId="165" fontId="14" fillId="14" borderId="142" xfId="0" applyNumberFormat="1" applyFont="1" applyFill="1" applyBorder="1" applyProtection="1">
      <protection locked="0"/>
    </xf>
    <xf numFmtId="167" fontId="18" fillId="22" borderId="108" xfId="2" applyNumberFormat="1" applyFont="1" applyFill="1" applyBorder="1" applyAlignment="1" applyProtection="1">
      <alignment horizontal="left" vertical="center"/>
    </xf>
    <xf numFmtId="0" fontId="64" fillId="21" borderId="0" xfId="0" applyFont="1" applyFill="1"/>
    <xf numFmtId="0" fontId="64" fillId="21" borderId="0" xfId="0" applyFont="1" applyFill="1" applyAlignment="1">
      <alignment horizontal="center" vertical="center"/>
    </xf>
    <xf numFmtId="0" fontId="65" fillId="21" borderId="115" xfId="0" applyNumberFormat="1" applyFont="1" applyFill="1" applyBorder="1" applyAlignment="1" applyProtection="1">
      <alignment horizontal="center" vertical="center"/>
    </xf>
    <xf numFmtId="0" fontId="64" fillId="8" borderId="0" xfId="0" applyFont="1" applyFill="1" applyAlignment="1">
      <alignment vertical="center"/>
    </xf>
    <xf numFmtId="0" fontId="64" fillId="0" borderId="0" xfId="0" applyFont="1"/>
    <xf numFmtId="0" fontId="65" fillId="21" borderId="138" xfId="0" applyNumberFormat="1" applyFont="1" applyFill="1" applyBorder="1" applyAlignment="1" applyProtection="1">
      <alignment horizontal="center" vertical="center" wrapText="1"/>
    </xf>
    <xf numFmtId="14" fontId="65" fillId="20" borderId="59" xfId="0" applyNumberFormat="1" applyFont="1" applyFill="1" applyBorder="1" applyAlignment="1" applyProtection="1">
      <alignment horizontal="center" vertical="center" wrapText="1"/>
    </xf>
    <xf numFmtId="14" fontId="65" fillId="15" borderId="59" xfId="0" applyNumberFormat="1" applyFont="1" applyFill="1" applyBorder="1" applyAlignment="1" applyProtection="1">
      <alignment horizontal="center" vertical="center" wrapText="1"/>
    </xf>
    <xf numFmtId="14" fontId="65" fillId="20" borderId="136" xfId="0" applyNumberFormat="1" applyFont="1" applyFill="1" applyBorder="1" applyAlignment="1" applyProtection="1">
      <alignment horizontal="center" vertical="center" wrapText="1"/>
    </xf>
    <xf numFmtId="14" fontId="65" fillId="15" borderId="136" xfId="0" applyNumberFormat="1" applyFont="1" applyFill="1" applyBorder="1" applyAlignment="1" applyProtection="1">
      <alignment horizontal="center" vertical="center" wrapText="1"/>
    </xf>
    <xf numFmtId="0" fontId="65" fillId="11" borderId="116" xfId="0" applyNumberFormat="1" applyFont="1" applyFill="1" applyBorder="1" applyAlignment="1" applyProtection="1">
      <alignment horizontal="left"/>
    </xf>
    <xf numFmtId="0" fontId="65" fillId="11" borderId="116" xfId="0" applyNumberFormat="1" applyFont="1" applyFill="1" applyBorder="1" applyAlignment="1" applyProtection="1">
      <alignment horizontal="center"/>
    </xf>
    <xf numFmtId="176" fontId="66" fillId="20" borderId="59" xfId="0" applyNumberFormat="1" applyFont="1" applyFill="1" applyBorder="1"/>
    <xf numFmtId="176" fontId="66" fillId="15" borderId="59" xfId="0" applyNumberFormat="1" applyFont="1" applyFill="1" applyBorder="1"/>
    <xf numFmtId="176" fontId="66" fillId="4" borderId="59" xfId="0" applyNumberFormat="1" applyFont="1" applyFill="1" applyBorder="1"/>
    <xf numFmtId="165" fontId="65" fillId="11" borderId="116" xfId="0" applyNumberFormat="1" applyFont="1" applyFill="1" applyBorder="1" applyAlignment="1" applyProtection="1">
      <alignment horizontal="center"/>
    </xf>
    <xf numFmtId="0" fontId="65" fillId="11" borderId="127" xfId="0" applyNumberFormat="1" applyFont="1" applyFill="1" applyBorder="1" applyAlignment="1" applyProtection="1">
      <alignment horizontal="left"/>
    </xf>
    <xf numFmtId="0" fontId="65" fillId="11" borderId="137" xfId="0" applyNumberFormat="1" applyFont="1" applyFill="1" applyBorder="1" applyAlignment="1" applyProtection="1">
      <alignment horizontal="left"/>
    </xf>
    <xf numFmtId="0" fontId="64" fillId="0" borderId="0" xfId="0" applyFont="1" applyAlignment="1">
      <alignment horizontal="center" vertical="center"/>
    </xf>
    <xf numFmtId="165" fontId="13" fillId="16" borderId="97" xfId="0" applyNumberFormat="1" applyFont="1" applyFill="1" applyBorder="1" applyProtection="1">
      <protection locked="0"/>
    </xf>
    <xf numFmtId="2" fontId="15" fillId="16" borderId="76" xfId="0" applyNumberFormat="1" applyFont="1" applyFill="1" applyBorder="1" applyAlignment="1" applyProtection="1">
      <alignment horizontal="center"/>
      <protection locked="0"/>
    </xf>
    <xf numFmtId="42" fontId="15" fillId="16" borderId="76" xfId="2" applyNumberFormat="1" applyFont="1" applyFill="1" applyBorder="1" applyProtection="1">
      <protection locked="0"/>
    </xf>
    <xf numFmtId="42" fontId="10" fillId="4" borderId="76" xfId="2" applyNumberFormat="1" applyFont="1" applyFill="1" applyBorder="1" applyProtection="1"/>
    <xf numFmtId="0" fontId="9" fillId="11" borderId="115" xfId="0" applyFont="1" applyFill="1" applyBorder="1" applyAlignment="1" applyProtection="1">
      <alignment horizontal="left" wrapText="1" indent="1"/>
    </xf>
    <xf numFmtId="2" fontId="13" fillId="11" borderId="100" xfId="0" applyNumberFormat="1" applyFont="1" applyFill="1" applyBorder="1" applyAlignment="1" applyProtection="1">
      <alignment horizontal="center"/>
    </xf>
    <xf numFmtId="5" fontId="13" fillId="11" borderId="115" xfId="0" applyNumberFormat="1" applyFont="1" applyFill="1" applyBorder="1" applyAlignment="1" applyProtection="1">
      <alignment horizontal="center"/>
    </xf>
    <xf numFmtId="165" fontId="9" fillId="11" borderId="76" xfId="0" applyNumberFormat="1" applyFont="1" applyFill="1" applyBorder="1" applyProtection="1"/>
    <xf numFmtId="166" fontId="13" fillId="11" borderId="100" xfId="0" applyNumberFormat="1" applyFont="1" applyFill="1" applyBorder="1" applyAlignment="1" applyProtection="1">
      <alignment horizontal="center"/>
    </xf>
    <xf numFmtId="165" fontId="9" fillId="11" borderId="100" xfId="0" applyNumberFormat="1" applyFont="1" applyFill="1" applyBorder="1" applyProtection="1"/>
    <xf numFmtId="2" fontId="13" fillId="11" borderId="103" xfId="0" applyNumberFormat="1" applyFont="1" applyFill="1" applyBorder="1" applyAlignment="1" applyProtection="1">
      <alignment horizontal="center"/>
    </xf>
    <xf numFmtId="0" fontId="9" fillId="11" borderId="100" xfId="0" applyFont="1" applyFill="1" applyBorder="1" applyAlignment="1" applyProtection="1">
      <alignment horizontal="left" wrapText="1" indent="1"/>
    </xf>
    <xf numFmtId="44" fontId="13" fillId="16" borderId="76" xfId="2" applyNumberFormat="1" applyFont="1" applyFill="1" applyBorder="1" applyProtection="1">
      <protection locked="0"/>
    </xf>
    <xf numFmtId="165" fontId="14" fillId="14" borderId="142" xfId="0" applyNumberFormat="1" applyFont="1" applyFill="1" applyBorder="1" applyProtection="1"/>
    <xf numFmtId="0" fontId="9" fillId="13" borderId="11" xfId="0" applyFont="1" applyFill="1" applyBorder="1" applyProtection="1"/>
    <xf numFmtId="164" fontId="16" fillId="4" borderId="99" xfId="2" applyNumberFormat="1" applyFont="1" applyFill="1" applyBorder="1"/>
    <xf numFmtId="164" fontId="16" fillId="4" borderId="140" xfId="2" applyNumberFormat="1" applyFont="1" applyFill="1" applyBorder="1"/>
    <xf numFmtId="0" fontId="59" fillId="11" borderId="139" xfId="0" applyFont="1" applyFill="1" applyBorder="1" applyAlignment="1">
      <alignment vertical="center" wrapText="1"/>
    </xf>
    <xf numFmtId="0" fontId="13" fillId="11" borderId="77" xfId="0" applyFont="1" applyFill="1" applyBorder="1" applyAlignment="1">
      <alignment vertical="center"/>
    </xf>
    <xf numFmtId="175" fontId="64" fillId="0" borderId="0" xfId="0" applyNumberFormat="1" applyFont="1"/>
    <xf numFmtId="0" fontId="64" fillId="0" borderId="0" xfId="0" applyNumberFormat="1" applyFont="1"/>
    <xf numFmtId="0" fontId="39" fillId="8" borderId="76" xfId="0" applyFont="1" applyFill="1" applyBorder="1" applyAlignment="1" applyProtection="1">
      <alignment horizontal="center" vertical="top"/>
    </xf>
    <xf numFmtId="0" fontId="39" fillId="8" borderId="32" xfId="0" applyFont="1" applyFill="1" applyBorder="1" applyAlignment="1" applyProtection="1">
      <alignment horizontal="center" vertical="center"/>
    </xf>
    <xf numFmtId="1" fontId="39" fillId="8" borderId="77" xfId="0" applyNumberFormat="1" applyFont="1" applyFill="1" applyBorder="1" applyAlignment="1" applyProtection="1">
      <alignment horizontal="center" vertical="top"/>
    </xf>
    <xf numFmtId="0" fontId="65" fillId="8" borderId="0" xfId="0" applyFont="1" applyFill="1" applyBorder="1" applyAlignment="1" applyProtection="1">
      <alignment horizontal="center" vertical="center"/>
    </xf>
    <xf numFmtId="0" fontId="39" fillId="8" borderId="0" xfId="0" applyFont="1" applyFill="1" applyAlignment="1" applyProtection="1">
      <alignment horizontal="center" vertical="center"/>
    </xf>
    <xf numFmtId="0" fontId="39" fillId="8" borderId="0" xfId="0" applyFont="1" applyFill="1" applyBorder="1" applyAlignment="1" applyProtection="1">
      <alignment horizontal="center" vertical="center" wrapText="1"/>
    </xf>
    <xf numFmtId="0" fontId="65" fillId="8" borderId="8" xfId="0" applyFont="1" applyFill="1" applyBorder="1" applyAlignment="1">
      <alignment horizontal="left" vertical="top"/>
    </xf>
    <xf numFmtId="0" fontId="65" fillId="8" borderId="0" xfId="0" applyFont="1" applyFill="1" applyBorder="1" applyAlignment="1" applyProtection="1"/>
    <xf numFmtId="0" fontId="39" fillId="8" borderId="0" xfId="0" applyFont="1" applyFill="1"/>
    <xf numFmtId="0" fontId="65" fillId="8" borderId="0" xfId="0" applyFont="1" applyFill="1" applyBorder="1" applyAlignment="1" applyProtection="1">
      <alignment horizontal="left" vertical="top" wrapText="1"/>
    </xf>
    <xf numFmtId="0" fontId="39" fillId="8" borderId="0" xfId="0" applyFont="1" applyFill="1" applyBorder="1" applyAlignment="1" applyProtection="1">
      <alignment horizontal="left" vertical="top"/>
    </xf>
    <xf numFmtId="2" fontId="39" fillId="8" borderId="59" xfId="0" applyNumberFormat="1" applyFont="1" applyFill="1" applyBorder="1" applyAlignment="1" applyProtection="1">
      <alignment horizontal="center" vertical="center" wrapText="1"/>
    </xf>
    <xf numFmtId="2" fontId="65" fillId="8" borderId="59" xfId="0" applyNumberFormat="1" applyFont="1" applyFill="1" applyBorder="1" applyAlignment="1" applyProtection="1">
      <alignment horizontal="center" vertical="center"/>
      <protection locked="0"/>
    </xf>
    <xf numFmtId="0" fontId="39" fillId="8" borderId="0" xfId="0" applyFont="1" applyFill="1" applyBorder="1" applyAlignment="1" applyProtection="1">
      <alignment vertical="center"/>
    </xf>
    <xf numFmtId="0" fontId="39" fillId="8" borderId="0" xfId="0" applyFont="1" applyFill="1" applyBorder="1" applyAlignment="1" applyProtection="1">
      <alignment horizontal="left"/>
    </xf>
    <xf numFmtId="0" fontId="39" fillId="8" borderId="0" xfId="0" applyFont="1" applyFill="1" applyProtection="1"/>
    <xf numFmtId="1" fontId="39" fillId="8" borderId="0" xfId="0" applyNumberFormat="1" applyFont="1" applyFill="1" applyBorder="1" applyAlignment="1" applyProtection="1">
      <alignment horizontal="center" vertical="center" wrapText="1"/>
    </xf>
    <xf numFmtId="0" fontId="39" fillId="8" borderId="0" xfId="0" applyFont="1" applyFill="1" applyAlignment="1" applyProtection="1">
      <alignment wrapText="1"/>
    </xf>
    <xf numFmtId="1" fontId="65" fillId="8" borderId="59" xfId="0" applyNumberFormat="1" applyFont="1" applyFill="1" applyBorder="1" applyAlignment="1" applyProtection="1">
      <alignment horizontal="center" vertical="center"/>
      <protection locked="0"/>
    </xf>
    <xf numFmtId="1" fontId="39" fillId="8" borderId="0" xfId="0" applyNumberFormat="1" applyFont="1" applyFill="1" applyBorder="1" applyAlignment="1" applyProtection="1">
      <alignment horizontal="center" vertical="top"/>
    </xf>
    <xf numFmtId="0" fontId="39" fillId="8" borderId="0" xfId="0" applyFont="1" applyFill="1" applyBorder="1" applyAlignment="1" applyProtection="1"/>
    <xf numFmtId="0" fontId="65" fillId="8" borderId="0" xfId="0" applyFont="1" applyFill="1" applyBorder="1" applyAlignment="1" applyProtection="1">
      <alignment horizontal="center" vertical="center" wrapText="1"/>
    </xf>
    <xf numFmtId="2" fontId="39" fillId="8" borderId="1" xfId="0" applyNumberFormat="1" applyFont="1" applyFill="1" applyBorder="1" applyAlignment="1" applyProtection="1">
      <alignment horizontal="center" vertical="center" wrapText="1"/>
    </xf>
    <xf numFmtId="1" fontId="39" fillId="8" borderId="78" xfId="0" applyNumberFormat="1" applyFont="1" applyFill="1" applyBorder="1" applyAlignment="1" applyProtection="1">
      <alignment horizontal="center" wrapText="1"/>
    </xf>
    <xf numFmtId="1" fontId="39" fillId="8" borderId="0" xfId="0" applyNumberFormat="1" applyFont="1" applyFill="1" applyBorder="1" applyAlignment="1" applyProtection="1">
      <alignment horizontal="center" wrapText="1"/>
    </xf>
    <xf numFmtId="1" fontId="65" fillId="8" borderId="59" xfId="0" applyNumberFormat="1" applyFont="1" applyFill="1" applyBorder="1" applyAlignment="1" applyProtection="1">
      <alignment horizontal="center" vertical="center" wrapText="1"/>
    </xf>
    <xf numFmtId="1" fontId="65" fillId="8" borderId="59" xfId="0" applyNumberFormat="1" applyFont="1" applyFill="1" applyBorder="1" applyAlignment="1" applyProtection="1">
      <alignment horizontal="center" vertical="center"/>
    </xf>
    <xf numFmtId="1" fontId="65" fillId="8" borderId="0" xfId="0" applyNumberFormat="1" applyFont="1" applyFill="1" applyBorder="1" applyAlignment="1" applyProtection="1">
      <alignment horizontal="center" vertical="center"/>
    </xf>
    <xf numFmtId="0" fontId="39" fillId="8" borderId="0" xfId="0" applyFont="1" applyFill="1" applyAlignment="1" applyProtection="1">
      <alignment horizontal="right" vertical="center"/>
    </xf>
    <xf numFmtId="0" fontId="65" fillId="8" borderId="0" xfId="0" applyFont="1" applyFill="1" applyProtection="1"/>
    <xf numFmtId="0" fontId="65" fillId="8" borderId="0" xfId="0" applyFont="1" applyFill="1" applyAlignment="1">
      <alignment horizontal="left" wrapText="1"/>
    </xf>
    <xf numFmtId="0" fontId="65" fillId="8" borderId="0" xfId="0" applyFont="1" applyFill="1" applyAlignment="1" applyProtection="1">
      <alignment horizontal="left" wrapText="1"/>
    </xf>
    <xf numFmtId="0" fontId="39" fillId="8" borderId="0" xfId="0" applyFont="1" applyFill="1" applyAlignment="1" applyProtection="1"/>
    <xf numFmtId="171" fontId="39" fillId="8" borderId="0" xfId="0" applyNumberFormat="1" applyFont="1" applyFill="1" applyAlignment="1" applyProtection="1"/>
    <xf numFmtId="0" fontId="67" fillId="9" borderId="87" xfId="5" applyFont="1" applyFill="1" applyBorder="1" applyAlignment="1">
      <alignment horizontal="center"/>
    </xf>
    <xf numFmtId="170" fontId="67" fillId="9" borderId="87" xfId="1" applyNumberFormat="1" applyFont="1" applyFill="1" applyBorder="1" applyAlignment="1">
      <alignment horizontal="center" wrapText="1"/>
    </xf>
    <xf numFmtId="0" fontId="64" fillId="8" borderId="0" xfId="0" applyFont="1" applyFill="1"/>
    <xf numFmtId="0" fontId="67" fillId="8" borderId="60" xfId="5" applyFont="1" applyFill="1" applyBorder="1" applyAlignment="1">
      <alignment wrapText="1"/>
    </xf>
    <xf numFmtId="0" fontId="67" fillId="8" borderId="61" xfId="5" applyFont="1" applyFill="1" applyBorder="1" applyAlignment="1">
      <alignment wrapText="1"/>
    </xf>
    <xf numFmtId="170" fontId="68" fillId="8" borderId="61" xfId="1" applyNumberFormat="1" applyFont="1" applyFill="1" applyBorder="1" applyAlignment="1">
      <alignment horizontal="right" wrapText="1"/>
    </xf>
    <xf numFmtId="170" fontId="64" fillId="8" borderId="61" xfId="1" applyNumberFormat="1" applyFont="1" applyFill="1" applyBorder="1"/>
    <xf numFmtId="170" fontId="69" fillId="8" borderId="62" xfId="1" applyNumberFormat="1" applyFont="1" applyFill="1" applyBorder="1"/>
    <xf numFmtId="0" fontId="67" fillId="8" borderId="60" xfId="5" applyNumberFormat="1" applyFont="1" applyFill="1" applyBorder="1" applyAlignment="1">
      <alignment wrapText="1"/>
    </xf>
    <xf numFmtId="170" fontId="67" fillId="8" borderId="61" xfId="1" applyNumberFormat="1" applyFont="1" applyFill="1" applyBorder="1" applyAlignment="1">
      <alignment horizontal="right" wrapText="1"/>
    </xf>
    <xf numFmtId="0" fontId="67" fillId="8" borderId="63" xfId="5" applyNumberFormat="1" applyFont="1" applyFill="1" applyBorder="1" applyAlignment="1">
      <alignment wrapText="1"/>
    </xf>
    <xf numFmtId="0" fontId="67" fillId="8" borderId="64" xfId="5" applyFont="1" applyFill="1" applyBorder="1" applyAlignment="1">
      <alignment wrapText="1"/>
    </xf>
    <xf numFmtId="170" fontId="67" fillId="8" borderId="64" xfId="1" applyNumberFormat="1" applyFont="1" applyFill="1" applyBorder="1" applyAlignment="1">
      <alignment horizontal="right" wrapText="1"/>
    </xf>
    <xf numFmtId="170" fontId="64" fillId="8" borderId="64" xfId="1" applyNumberFormat="1" applyFont="1" applyFill="1" applyBorder="1"/>
    <xf numFmtId="170" fontId="69" fillId="8" borderId="65" xfId="1" applyNumberFormat="1" applyFont="1" applyFill="1" applyBorder="1"/>
    <xf numFmtId="0" fontId="67" fillId="8" borderId="66" xfId="5" applyNumberFormat="1" applyFont="1" applyFill="1" applyBorder="1" applyAlignment="1">
      <alignment wrapText="1"/>
    </xf>
    <xf numFmtId="0" fontId="67" fillId="8" borderId="67" xfId="5" applyFont="1" applyFill="1" applyBorder="1" applyAlignment="1">
      <alignment wrapText="1"/>
    </xf>
    <xf numFmtId="170" fontId="67" fillId="8" borderId="67" xfId="1" applyNumberFormat="1" applyFont="1" applyFill="1" applyBorder="1" applyAlignment="1">
      <alignment horizontal="right" wrapText="1"/>
    </xf>
    <xf numFmtId="170" fontId="64" fillId="8" borderId="67" xfId="1" applyNumberFormat="1" applyFont="1" applyFill="1" applyBorder="1"/>
    <xf numFmtId="170" fontId="69" fillId="8" borderId="68" xfId="1" applyNumberFormat="1" applyFont="1" applyFill="1" applyBorder="1"/>
    <xf numFmtId="170" fontId="64" fillId="8" borderId="0" xfId="1" applyNumberFormat="1" applyFont="1" applyFill="1"/>
    <xf numFmtId="0" fontId="65" fillId="8" borderId="80" xfId="0" applyFont="1" applyFill="1" applyBorder="1" applyAlignment="1">
      <alignment horizontal="center" vertical="center" wrapText="1"/>
    </xf>
    <xf numFmtId="0" fontId="39" fillId="8" borderId="0" xfId="0" applyFont="1" applyFill="1" applyBorder="1"/>
    <xf numFmtId="0" fontId="65" fillId="8" borderId="24" xfId="0" applyFont="1" applyFill="1" applyBorder="1" applyAlignment="1">
      <alignment horizontal="center" vertical="center" wrapText="1"/>
    </xf>
    <xf numFmtId="0" fontId="65" fillId="8" borderId="25" xfId="0" applyFont="1" applyFill="1" applyBorder="1" applyAlignment="1">
      <alignment horizontal="center" vertical="center" wrapText="1"/>
    </xf>
    <xf numFmtId="0" fontId="65" fillId="8" borderId="69" xfId="0" applyFont="1" applyFill="1" applyBorder="1" applyAlignment="1">
      <alignment horizontal="center" vertical="center" wrapText="1"/>
    </xf>
    <xf numFmtId="0" fontId="65" fillId="8" borderId="59" xfId="0" applyFont="1" applyFill="1" applyBorder="1" applyAlignment="1">
      <alignment horizontal="center" vertical="center" wrapText="1"/>
    </xf>
    <xf numFmtId="0" fontId="65" fillId="8" borderId="5" xfId="0" applyFont="1" applyFill="1" applyBorder="1" applyAlignment="1">
      <alignment horizontal="center" vertical="center" wrapText="1"/>
    </xf>
    <xf numFmtId="0" fontId="39" fillId="8" borderId="0" xfId="0" applyFont="1" applyFill="1" applyAlignment="1">
      <alignment horizontal="center"/>
    </xf>
    <xf numFmtId="0" fontId="39" fillId="8" borderId="75" xfId="0" applyFont="1" applyFill="1" applyBorder="1" applyAlignment="1">
      <alignment horizontal="left" vertical="center" wrapText="1"/>
    </xf>
    <xf numFmtId="169" fontId="39" fillId="8" borderId="20" xfId="0" applyNumberFormat="1" applyFont="1" applyFill="1" applyBorder="1" applyAlignment="1" applyProtection="1">
      <alignment horizontal="right" vertical="center" wrapText="1"/>
      <protection locked="0"/>
    </xf>
    <xf numFmtId="169" fontId="39" fillId="8" borderId="18" xfId="0" applyNumberFormat="1" applyFont="1" applyFill="1" applyBorder="1" applyAlignment="1" applyProtection="1">
      <alignment horizontal="right" vertical="center" wrapText="1"/>
      <protection locked="0"/>
    </xf>
    <xf numFmtId="169" fontId="39" fillId="8" borderId="14" xfId="0" applyNumberFormat="1" applyFont="1" applyFill="1" applyBorder="1" applyAlignment="1" applyProtection="1">
      <alignment horizontal="right" vertical="center" wrapText="1"/>
      <protection locked="0"/>
    </xf>
    <xf numFmtId="169" fontId="70" fillId="8" borderId="74" xfId="0" applyNumberFormat="1" applyFont="1" applyFill="1" applyBorder="1" applyAlignment="1" applyProtection="1">
      <alignment horizontal="center" vertical="center" wrapText="1"/>
    </xf>
    <xf numFmtId="0" fontId="39" fillId="8" borderId="8" xfId="0" applyFont="1" applyFill="1" applyBorder="1"/>
    <xf numFmtId="0" fontId="39" fillId="8" borderId="2" xfId="0" applyFont="1" applyFill="1" applyBorder="1" applyProtection="1">
      <protection locked="0"/>
    </xf>
    <xf numFmtId="14" fontId="39" fillId="8" borderId="0" xfId="0" applyNumberFormat="1" applyFont="1" applyFill="1" applyBorder="1" applyProtection="1">
      <protection locked="0"/>
    </xf>
    <xf numFmtId="0" fontId="39" fillId="8" borderId="0" xfId="0" applyFont="1" applyFill="1" applyBorder="1" applyProtection="1">
      <protection locked="0"/>
    </xf>
    <xf numFmtId="0" fontId="39" fillId="8" borderId="73" xfId="0" applyFont="1" applyFill="1" applyBorder="1"/>
    <xf numFmtId="169" fontId="39" fillId="8" borderId="74" xfId="0" applyNumberFormat="1" applyFont="1" applyFill="1" applyBorder="1" applyAlignment="1" applyProtection="1">
      <alignment horizontal="right" vertical="center" wrapText="1"/>
    </xf>
    <xf numFmtId="0" fontId="39" fillId="8" borderId="72" xfId="0" applyFont="1" applyFill="1" applyBorder="1" applyProtection="1">
      <protection locked="0"/>
    </xf>
    <xf numFmtId="0" fontId="65" fillId="8" borderId="75" xfId="0" applyFont="1" applyFill="1" applyBorder="1" applyAlignment="1">
      <alignment horizontal="left" vertical="center" wrapText="1"/>
    </xf>
    <xf numFmtId="0" fontId="65" fillId="8" borderId="20" xfId="0" applyFont="1" applyFill="1" applyBorder="1" applyAlignment="1">
      <alignment horizontal="right" vertical="center" wrapText="1"/>
    </xf>
    <xf numFmtId="0" fontId="65" fillId="8" borderId="18" xfId="0" applyFont="1" applyFill="1" applyBorder="1" applyAlignment="1">
      <alignment horizontal="right" vertical="center" wrapText="1"/>
    </xf>
    <xf numFmtId="0" fontId="65" fillId="8" borderId="14" xfId="0" applyFont="1" applyFill="1" applyBorder="1" applyAlignment="1">
      <alignment horizontal="right" vertical="center" wrapText="1"/>
    </xf>
    <xf numFmtId="0" fontId="65" fillId="8" borderId="74" xfId="0" applyFont="1" applyFill="1" applyBorder="1" applyAlignment="1">
      <alignment horizontal="right" vertical="center" wrapText="1"/>
    </xf>
    <xf numFmtId="0" fontId="65" fillId="8" borderId="8" xfId="0" applyFont="1" applyFill="1" applyBorder="1" applyAlignment="1">
      <alignment horizontal="right" vertical="center" wrapText="1"/>
    </xf>
    <xf numFmtId="169" fontId="39" fillId="8" borderId="8" xfId="0" applyNumberFormat="1" applyFont="1" applyFill="1" applyBorder="1" applyAlignment="1" applyProtection="1">
      <alignment horizontal="right" vertical="center" wrapText="1"/>
    </xf>
    <xf numFmtId="0" fontId="39" fillId="8" borderId="75" xfId="0" applyFont="1" applyFill="1" applyBorder="1" applyAlignment="1" applyProtection="1">
      <alignment horizontal="left" vertical="center" wrapText="1"/>
    </xf>
    <xf numFmtId="169" fontId="39" fillId="8" borderId="20" xfId="0" applyNumberFormat="1" applyFont="1" applyFill="1" applyBorder="1" applyAlignment="1" applyProtection="1">
      <alignment horizontal="right" vertical="center" wrapText="1"/>
    </xf>
    <xf numFmtId="169" fontId="39" fillId="8" borderId="18" xfId="0" applyNumberFormat="1" applyFont="1" applyFill="1" applyBorder="1" applyAlignment="1" applyProtection="1">
      <alignment horizontal="right" vertical="center" wrapText="1"/>
    </xf>
    <xf numFmtId="0" fontId="65" fillId="8" borderId="75" xfId="0" applyFont="1" applyFill="1" applyBorder="1" applyAlignment="1" applyProtection="1">
      <alignment horizontal="left" vertical="center" wrapText="1"/>
    </xf>
    <xf numFmtId="165" fontId="65" fillId="8" borderId="20" xfId="0" applyNumberFormat="1" applyFont="1" applyFill="1" applyBorder="1" applyAlignment="1" applyProtection="1">
      <alignment horizontal="right" vertical="center" wrapText="1"/>
      <protection locked="0"/>
    </xf>
    <xf numFmtId="165" fontId="65" fillId="8" borderId="18" xfId="0" applyNumberFormat="1" applyFont="1" applyFill="1" applyBorder="1" applyAlignment="1" applyProtection="1">
      <alignment horizontal="right" vertical="center" wrapText="1"/>
      <protection locked="0"/>
    </xf>
    <xf numFmtId="169" fontId="65" fillId="8" borderId="74" xfId="0" applyNumberFormat="1" applyFont="1" applyFill="1" applyBorder="1" applyAlignment="1" applyProtection="1">
      <alignment horizontal="right" vertical="center" wrapText="1"/>
    </xf>
    <xf numFmtId="169" fontId="65" fillId="8" borderId="8" xfId="0" applyNumberFormat="1" applyFont="1" applyFill="1" applyBorder="1" applyAlignment="1" applyProtection="1">
      <alignment horizontal="right" vertical="center" wrapText="1"/>
    </xf>
    <xf numFmtId="0" fontId="39" fillId="8" borderId="20" xfId="0" applyFont="1" applyFill="1" applyBorder="1" applyAlignment="1" applyProtection="1">
      <alignment horizontal="right" vertical="center" wrapText="1"/>
      <protection locked="0"/>
    </xf>
    <xf numFmtId="165" fontId="65" fillId="8" borderId="74" xfId="0" applyNumberFormat="1" applyFont="1" applyFill="1" applyBorder="1" applyAlignment="1" applyProtection="1">
      <alignment horizontal="right" vertical="center" wrapText="1"/>
    </xf>
    <xf numFmtId="165" fontId="65" fillId="8" borderId="8" xfId="0" applyNumberFormat="1" applyFont="1" applyFill="1" applyBorder="1" applyAlignment="1" applyProtection="1">
      <alignment horizontal="right" vertical="center" wrapText="1"/>
    </xf>
    <xf numFmtId="0" fontId="39" fillId="8" borderId="74" xfId="0" applyFont="1" applyFill="1" applyBorder="1" applyAlignment="1" applyProtection="1">
      <alignment horizontal="right" vertical="center" wrapText="1"/>
    </xf>
    <xf numFmtId="0" fontId="39" fillId="8" borderId="8" xfId="0" applyFont="1" applyFill="1" applyBorder="1" applyAlignment="1" applyProtection="1">
      <alignment horizontal="right" vertical="center" wrapText="1"/>
    </xf>
    <xf numFmtId="0" fontId="65" fillId="8" borderId="20" xfId="0" applyFont="1" applyFill="1" applyBorder="1" applyAlignment="1" applyProtection="1">
      <alignment horizontal="right" vertical="center" wrapText="1"/>
    </xf>
    <xf numFmtId="0" fontId="65" fillId="8" borderId="18" xfId="0" applyFont="1" applyFill="1" applyBorder="1" applyAlignment="1" applyProtection="1">
      <alignment horizontal="right" vertical="center" wrapText="1"/>
    </xf>
    <xf numFmtId="0" fontId="65" fillId="8" borderId="28" xfId="0" applyFont="1" applyFill="1" applyBorder="1" applyAlignment="1" applyProtection="1">
      <alignment horizontal="right" vertical="center" wrapText="1"/>
    </xf>
    <xf numFmtId="0" fontId="65" fillId="8" borderId="74" xfId="0" applyFont="1" applyFill="1" applyBorder="1" applyAlignment="1" applyProtection="1">
      <alignment horizontal="right" vertical="center" wrapText="1"/>
    </xf>
    <xf numFmtId="0" fontId="65" fillId="8" borderId="8" xfId="0" applyFont="1" applyFill="1" applyBorder="1" applyAlignment="1" applyProtection="1">
      <alignment horizontal="right" vertical="center" wrapText="1"/>
    </xf>
    <xf numFmtId="165" fontId="39" fillId="8" borderId="20" xfId="0" applyNumberFormat="1" applyFont="1" applyFill="1" applyBorder="1" applyAlignment="1" applyProtection="1">
      <alignment horizontal="right" vertical="center" wrapText="1"/>
      <protection locked="0"/>
    </xf>
    <xf numFmtId="165" fontId="39" fillId="8" borderId="18" xfId="0" applyNumberFormat="1" applyFont="1" applyFill="1" applyBorder="1" applyAlignment="1" applyProtection="1">
      <alignment horizontal="right" vertical="center" wrapText="1"/>
      <protection locked="0"/>
    </xf>
    <xf numFmtId="165" fontId="39" fillId="8" borderId="28" xfId="0" applyNumberFormat="1" applyFont="1" applyFill="1" applyBorder="1" applyAlignment="1" applyProtection="1">
      <alignment horizontal="right" vertical="center" wrapText="1"/>
      <protection locked="0"/>
    </xf>
    <xf numFmtId="165" fontId="39" fillId="8" borderId="74" xfId="0" applyNumberFormat="1" applyFont="1" applyFill="1" applyBorder="1" applyAlignment="1" applyProtection="1">
      <alignment horizontal="right" vertical="center" wrapText="1"/>
    </xf>
    <xf numFmtId="165" fontId="39" fillId="8" borderId="8" xfId="0" applyNumberFormat="1" applyFont="1" applyFill="1" applyBorder="1" applyAlignment="1" applyProtection="1">
      <alignment horizontal="right" vertical="center" wrapText="1"/>
    </xf>
    <xf numFmtId="0" fontId="65" fillId="8" borderId="75" xfId="0" applyFont="1" applyFill="1" applyBorder="1" applyAlignment="1" applyProtection="1">
      <alignment horizontal="left" vertical="top" wrapText="1"/>
    </xf>
    <xf numFmtId="165" fontId="65" fillId="8" borderId="20" xfId="0" applyNumberFormat="1" applyFont="1" applyFill="1" applyBorder="1" applyAlignment="1" applyProtection="1">
      <alignment horizontal="right" vertical="center" wrapText="1"/>
    </xf>
    <xf numFmtId="165" fontId="65" fillId="8" borderId="18" xfId="0" applyNumberFormat="1" applyFont="1" applyFill="1" applyBorder="1" applyAlignment="1" applyProtection="1">
      <alignment horizontal="right" vertical="center" wrapText="1"/>
    </xf>
    <xf numFmtId="0" fontId="65" fillId="8" borderId="0" xfId="0" applyFont="1" applyFill="1" applyBorder="1"/>
    <xf numFmtId="0" fontId="65" fillId="8" borderId="0" xfId="0" applyFont="1" applyFill="1"/>
    <xf numFmtId="165" fontId="65" fillId="8" borderId="9" xfId="0" applyNumberFormat="1" applyFont="1" applyFill="1" applyBorder="1" applyAlignment="1" applyProtection="1">
      <alignment horizontal="right" vertical="center" wrapText="1"/>
    </xf>
    <xf numFmtId="0" fontId="39" fillId="8" borderId="0" xfId="0" applyFont="1" applyFill="1" applyBorder="1" applyAlignment="1">
      <alignment horizontal="right"/>
    </xf>
    <xf numFmtId="0" fontId="71" fillId="8" borderId="1" xfId="0" applyFont="1" applyFill="1" applyBorder="1"/>
    <xf numFmtId="4" fontId="71" fillId="8" borderId="1" xfId="0" applyNumberFormat="1" applyFont="1" applyFill="1" applyBorder="1"/>
    <xf numFmtId="176" fontId="71" fillId="8" borderId="1" xfId="0" applyNumberFormat="1" applyFont="1" applyFill="1" applyBorder="1"/>
    <xf numFmtId="0" fontId="72" fillId="8" borderId="1" xfId="0" applyFont="1" applyFill="1" applyBorder="1"/>
    <xf numFmtId="4" fontId="72" fillId="8" borderId="1" xfId="0" applyNumberFormat="1" applyFont="1" applyFill="1" applyBorder="1"/>
    <xf numFmtId="176" fontId="72" fillId="8" borderId="1" xfId="0" applyNumberFormat="1" applyFont="1" applyFill="1" applyBorder="1"/>
    <xf numFmtId="0" fontId="72" fillId="8" borderId="0" xfId="0" applyFont="1" applyFill="1"/>
    <xf numFmtId="4" fontId="72" fillId="8" borderId="0" xfId="0" applyNumberFormat="1" applyFont="1" applyFill="1"/>
    <xf numFmtId="176" fontId="72" fillId="8" borderId="0" xfId="0" applyNumberFormat="1" applyFont="1" applyFill="1"/>
    <xf numFmtId="0" fontId="73" fillId="0" borderId="0" xfId="0" applyFont="1" applyFill="1"/>
    <xf numFmtId="0" fontId="64" fillId="16" borderId="0" xfId="0" applyFont="1" applyFill="1"/>
    <xf numFmtId="0" fontId="64" fillId="0" borderId="0" xfId="0" applyFont="1" applyFill="1"/>
    <xf numFmtId="0" fontId="10" fillId="13" borderId="9" xfId="0" applyFont="1" applyFill="1" applyBorder="1" applyProtection="1"/>
    <xf numFmtId="14" fontId="13" fillId="15" borderId="120" xfId="0" applyNumberFormat="1" applyFont="1" applyFill="1" applyBorder="1" applyAlignment="1" applyProtection="1">
      <alignment horizontal="center" vertical="center" wrapText="1"/>
    </xf>
    <xf numFmtId="0" fontId="73" fillId="16" borderId="0" xfId="0" applyFont="1" applyFill="1"/>
    <xf numFmtId="0" fontId="64" fillId="0" borderId="0" xfId="0" applyNumberFormat="1" applyFont="1" applyFill="1"/>
    <xf numFmtId="0" fontId="9" fillId="13" borderId="0" xfId="0" applyFont="1" applyFill="1" applyBorder="1" applyProtection="1"/>
    <xf numFmtId="0" fontId="9" fillId="13" borderId="10" xfId="0" applyFont="1" applyFill="1" applyBorder="1" applyProtection="1"/>
    <xf numFmtId="14" fontId="13" fillId="15" borderId="73" xfId="0" applyNumberFormat="1" applyFont="1" applyFill="1" applyBorder="1" applyAlignment="1" applyProtection="1">
      <alignment horizontal="center" vertical="center" wrapText="1"/>
    </xf>
    <xf numFmtId="14" fontId="13" fillId="15" borderId="73" xfId="0" applyNumberFormat="1" applyFont="1" applyFill="1" applyBorder="1" applyAlignment="1" applyProtection="1">
      <alignment horizontal="center" wrapText="1"/>
    </xf>
    <xf numFmtId="14" fontId="12" fillId="15" borderId="103" xfId="0" applyNumberFormat="1" applyFont="1" applyFill="1" applyBorder="1" applyAlignment="1" applyProtection="1">
      <alignment horizontal="center" vertical="center" wrapText="1"/>
    </xf>
    <xf numFmtId="0" fontId="11" fillId="5" borderId="1" xfId="0" applyFont="1" applyFill="1" applyBorder="1" applyAlignment="1" applyProtection="1">
      <alignment vertical="center" wrapText="1"/>
    </xf>
    <xf numFmtId="0" fontId="11" fillId="5" borderId="1" xfId="0" applyFont="1" applyFill="1" applyBorder="1" applyAlignment="1" applyProtection="1">
      <alignment vertical="center"/>
    </xf>
    <xf numFmtId="0" fontId="34" fillId="5" borderId="1" xfId="0" applyFont="1" applyFill="1" applyBorder="1" applyAlignment="1" applyProtection="1">
      <alignment vertical="center"/>
    </xf>
    <xf numFmtId="0" fontId="13" fillId="16" borderId="5" xfId="0" applyFont="1" applyFill="1" applyBorder="1" applyAlignment="1" applyProtection="1">
      <alignment horizontal="left" vertical="center" wrapText="1"/>
    </xf>
    <xf numFmtId="0" fontId="13" fillId="16" borderId="6" xfId="0" applyFont="1" applyFill="1" applyBorder="1" applyAlignment="1" applyProtection="1">
      <alignment horizontal="left" vertical="center" wrapText="1"/>
    </xf>
    <xf numFmtId="0" fontId="0" fillId="0" borderId="7" xfId="0" applyBorder="1" applyAlignment="1"/>
    <xf numFmtId="0" fontId="13" fillId="16" borderId="8" xfId="0" applyFont="1" applyFill="1" applyBorder="1" applyAlignment="1" applyProtection="1">
      <alignment horizontal="left" vertical="center" wrapText="1"/>
    </xf>
    <xf numFmtId="0" fontId="13" fillId="16" borderId="0" xfId="0" applyFont="1" applyFill="1" applyBorder="1" applyAlignment="1" applyProtection="1">
      <alignment horizontal="left" vertical="center" wrapText="1"/>
    </xf>
    <xf numFmtId="0" fontId="0" fillId="0" borderId="2" xfId="0" applyBorder="1" applyAlignment="1"/>
    <xf numFmtId="0" fontId="13" fillId="13" borderId="146" xfId="0" applyFont="1" applyFill="1" applyBorder="1" applyAlignment="1" applyProtection="1">
      <alignment horizontal="center"/>
    </xf>
    <xf numFmtId="0" fontId="0" fillId="0" borderId="147" xfId="0" applyBorder="1" applyAlignment="1"/>
    <xf numFmtId="0" fontId="0" fillId="0" borderId="148" xfId="0" applyBorder="1" applyAlignment="1"/>
    <xf numFmtId="0" fontId="9" fillId="13" borderId="8" xfId="0" applyFont="1" applyFill="1" applyBorder="1" applyAlignment="1" applyProtection="1">
      <alignment horizontal="left" vertical="center" wrapText="1"/>
    </xf>
    <xf numFmtId="0" fontId="32" fillId="0" borderId="0" xfId="0" applyFont="1" applyBorder="1" applyAlignment="1">
      <alignment horizontal="left" vertical="center"/>
    </xf>
    <xf numFmtId="0" fontId="32" fillId="0" borderId="2" xfId="0" applyFont="1" applyBorder="1" applyAlignment="1">
      <alignment horizontal="left" vertical="center"/>
    </xf>
    <xf numFmtId="0" fontId="32" fillId="0" borderId="8" xfId="0" applyFont="1" applyBorder="1" applyAlignment="1">
      <alignment horizontal="left" vertical="center"/>
    </xf>
    <xf numFmtId="0" fontId="13" fillId="15" borderId="146" xfId="0" applyFont="1" applyFill="1" applyBorder="1" applyAlignment="1" applyProtection="1">
      <alignment horizontal="center"/>
    </xf>
    <xf numFmtId="168" fontId="12" fillId="14" borderId="1" xfId="0" applyNumberFormat="1" applyFont="1" applyFill="1" applyBorder="1" applyAlignment="1" applyProtection="1">
      <alignment horizontal="right" vertical="center"/>
    </xf>
    <xf numFmtId="0" fontId="11" fillId="11" borderId="32" xfId="0" applyFont="1" applyFill="1" applyBorder="1" applyAlignment="1" applyProtection="1">
      <alignment horizontal="left"/>
    </xf>
    <xf numFmtId="0" fontId="0" fillId="0" borderId="37" xfId="0" applyBorder="1" applyAlignment="1"/>
    <xf numFmtId="168" fontId="55" fillId="14" borderId="1" xfId="0" applyNumberFormat="1" applyFont="1" applyFill="1" applyBorder="1" applyAlignment="1" applyProtection="1">
      <alignment horizontal="right" vertical="center"/>
    </xf>
    <xf numFmtId="0" fontId="56" fillId="14" borderId="1" xfId="0" applyFont="1" applyFill="1" applyBorder="1" applyAlignment="1" applyProtection="1">
      <alignment horizontal="right" vertical="center"/>
    </xf>
    <xf numFmtId="0" fontId="11" fillId="11" borderId="1" xfId="0" applyFont="1" applyFill="1" applyBorder="1" applyAlignment="1" applyProtection="1">
      <alignment horizontal="left" vertical="center" wrapText="1"/>
    </xf>
    <xf numFmtId="0" fontId="11" fillId="11" borderId="1" xfId="0" applyFont="1" applyFill="1" applyBorder="1" applyAlignment="1" applyProtection="1">
      <alignment horizontal="right" vertical="center" wrapText="1"/>
    </xf>
    <xf numFmtId="0" fontId="26" fillId="4" borderId="1" xfId="0" applyFont="1" applyFill="1" applyBorder="1" applyAlignment="1" applyProtection="1">
      <alignment horizontal="right"/>
    </xf>
    <xf numFmtId="0" fontId="54" fillId="4" borderId="1" xfId="0" applyFont="1" applyFill="1" applyBorder="1" applyAlignment="1" applyProtection="1">
      <alignment horizontal="right"/>
    </xf>
    <xf numFmtId="0" fontId="33" fillId="11" borderId="1" xfId="0" applyFont="1" applyFill="1" applyBorder="1" applyAlignment="1" applyProtection="1"/>
    <xf numFmtId="0" fontId="13" fillId="20" borderId="152" xfId="0" applyFont="1" applyFill="1" applyBorder="1" applyAlignment="1" applyProtection="1">
      <alignment horizontal="center"/>
    </xf>
    <xf numFmtId="0" fontId="0" fillId="0" borderId="153" xfId="0" applyBorder="1" applyAlignment="1"/>
    <xf numFmtId="0" fontId="9" fillId="20" borderId="8" xfId="0" applyFont="1" applyFill="1" applyBorder="1" applyAlignment="1" applyProtection="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3" fillId="13" borderId="5" xfId="0" applyFont="1" applyFill="1" applyBorder="1" applyAlignment="1" applyProtection="1">
      <alignment horizontal="center"/>
    </xf>
    <xf numFmtId="0" fontId="0" fillId="0" borderId="6" xfId="0" applyBorder="1" applyAlignment="1"/>
    <xf numFmtId="0" fontId="9" fillId="13" borderId="5" xfId="0"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9" fillId="15" borderId="149" xfId="0" applyFont="1" applyFill="1" applyBorder="1" applyAlignment="1" applyProtection="1">
      <alignment horizontal="left" vertical="center" wrapText="1"/>
    </xf>
    <xf numFmtId="0" fontId="32" fillId="0" borderId="150" xfId="0" applyFont="1" applyBorder="1" applyAlignment="1">
      <alignment horizontal="left" vertical="center"/>
    </xf>
    <xf numFmtId="0" fontId="32" fillId="0" borderId="151" xfId="0" applyFont="1" applyBorder="1" applyAlignment="1">
      <alignment horizontal="left" vertical="center"/>
    </xf>
    <xf numFmtId="0" fontId="33" fillId="11" borderId="1" xfId="0" applyFont="1" applyFill="1" applyBorder="1" applyAlignment="1" applyProtection="1">
      <alignment vertical="top" wrapText="1"/>
    </xf>
    <xf numFmtId="0" fontId="11" fillId="18" borderId="154" xfId="0" applyFont="1" applyFill="1" applyBorder="1" applyAlignment="1" applyProtection="1">
      <alignment vertical="center" wrapText="1"/>
    </xf>
    <xf numFmtId="0" fontId="11" fillId="18" borderId="155" xfId="0" applyFont="1" applyFill="1" applyBorder="1" applyAlignment="1" applyProtection="1">
      <alignment vertical="center"/>
    </xf>
    <xf numFmtId="0" fontId="19" fillId="18" borderId="88" xfId="0" applyFont="1" applyFill="1" applyBorder="1" applyAlignment="1" applyProtection="1">
      <alignment vertical="center"/>
    </xf>
    <xf numFmtId="0" fontId="25" fillId="0" borderId="156" xfId="0" applyFont="1" applyBorder="1" applyAlignment="1">
      <alignment vertical="center"/>
    </xf>
    <xf numFmtId="0" fontId="25" fillId="0" borderId="12" xfId="0" applyFont="1" applyBorder="1" applyAlignment="1">
      <alignment vertical="center"/>
    </xf>
    <xf numFmtId="0" fontId="25" fillId="0" borderId="29" xfId="0" applyFont="1" applyBorder="1" applyAlignment="1">
      <alignment vertical="center"/>
    </xf>
    <xf numFmtId="49" fontId="11" fillId="12" borderId="3" xfId="0" quotePrefix="1" applyNumberFormat="1" applyFont="1" applyFill="1" applyBorder="1" applyAlignment="1" applyProtection="1">
      <alignment horizontal="center" vertical="center"/>
    </xf>
    <xf numFmtId="0" fontId="25" fillId="12" borderId="19" xfId="0" applyFont="1" applyFill="1" applyBorder="1" applyAlignment="1" applyProtection="1">
      <alignment horizontal="center" vertical="center"/>
    </xf>
    <xf numFmtId="0" fontId="25" fillId="12" borderId="4" xfId="0" applyFont="1" applyFill="1" applyBorder="1" applyAlignment="1" applyProtection="1">
      <alignment horizontal="center" vertical="center"/>
    </xf>
    <xf numFmtId="0" fontId="11" fillId="19" borderId="1" xfId="0" applyFont="1" applyFill="1" applyBorder="1" applyAlignment="1" applyProtection="1">
      <alignment horizontal="left" vertical="center"/>
    </xf>
    <xf numFmtId="0" fontId="0" fillId="19" borderId="1" xfId="0" applyFill="1" applyBorder="1" applyAlignment="1" applyProtection="1">
      <alignment vertical="center"/>
    </xf>
    <xf numFmtId="0" fontId="11" fillId="10" borderId="1" xfId="0" applyFont="1" applyFill="1" applyBorder="1" applyAlignment="1" applyProtection="1">
      <alignment horizontal="left" vertical="center"/>
    </xf>
    <xf numFmtId="0" fontId="0" fillId="10" borderId="1" xfId="0" applyFill="1" applyBorder="1" applyAlignment="1" applyProtection="1">
      <alignment vertical="center"/>
    </xf>
    <xf numFmtId="0" fontId="11" fillId="14" borderId="1" xfId="0" applyFont="1" applyFill="1" applyBorder="1" applyAlignment="1" applyProtection="1">
      <alignment horizontal="right"/>
    </xf>
    <xf numFmtId="0" fontId="49" fillId="14" borderId="1" xfId="0" applyNumberFormat="1" applyFont="1" applyFill="1" applyBorder="1" applyAlignment="1" applyProtection="1">
      <alignment horizontal="left" vertical="center" wrapText="1"/>
    </xf>
    <xf numFmtId="0" fontId="35" fillId="11" borderId="1" xfId="0" applyNumberFormat="1" applyFont="1" applyFill="1" applyBorder="1" applyAlignment="1" applyProtection="1">
      <alignment vertical="center" wrapText="1"/>
    </xf>
    <xf numFmtId="0" fontId="35" fillId="11" borderId="1" xfId="0" applyNumberFormat="1" applyFont="1" applyFill="1" applyBorder="1" applyAlignment="1" applyProtection="1">
      <alignment horizontal="right" vertical="center" wrapText="1"/>
    </xf>
    <xf numFmtId="0" fontId="33" fillId="11" borderId="1" xfId="0" applyFont="1" applyFill="1" applyBorder="1" applyAlignment="1" applyProtection="1">
      <alignment vertical="center"/>
    </xf>
    <xf numFmtId="0" fontId="34" fillId="11" borderId="1" xfId="0" applyFont="1" applyFill="1" applyBorder="1" applyAlignment="1" applyProtection="1">
      <alignment vertical="center"/>
    </xf>
    <xf numFmtId="0" fontId="11" fillId="17" borderId="32" xfId="0" applyFont="1" applyFill="1" applyBorder="1" applyAlignment="1" applyProtection="1">
      <alignment horizontal="center" vertical="center"/>
    </xf>
    <xf numFmtId="0" fontId="0" fillId="0" borderId="37" xfId="0" applyBorder="1" applyAlignment="1">
      <alignment horizontal="center" vertical="center"/>
    </xf>
    <xf numFmtId="0" fontId="33" fillId="11" borderId="32" xfId="0" applyFont="1" applyFill="1" applyBorder="1" applyAlignment="1" applyProtection="1">
      <alignment horizontal="left"/>
    </xf>
    <xf numFmtId="165" fontId="13" fillId="4" borderId="51" xfId="0" applyNumberFormat="1" applyFont="1" applyFill="1" applyBorder="1" applyAlignment="1" applyProtection="1">
      <alignment vertical="center" wrapText="1"/>
    </xf>
    <xf numFmtId="0" fontId="0" fillId="0" borderId="77" xfId="0" applyBorder="1" applyAlignment="1" applyProtection="1"/>
    <xf numFmtId="0" fontId="14" fillId="14" borderId="127" xfId="0" applyFont="1" applyFill="1" applyBorder="1" applyAlignment="1" applyProtection="1">
      <alignment horizontal="right"/>
    </xf>
    <xf numFmtId="0" fontId="0" fillId="0" borderId="119" xfId="0" applyBorder="1" applyAlignment="1" applyProtection="1"/>
    <xf numFmtId="165" fontId="13" fillId="4" borderId="52" xfId="0" applyNumberFormat="1" applyFont="1" applyFill="1" applyBorder="1" applyAlignment="1" applyProtection="1">
      <alignment horizontal="center" vertical="center" wrapText="1"/>
    </xf>
    <xf numFmtId="165" fontId="13" fillId="4" borderId="143" xfId="0" applyNumberFormat="1" applyFont="1" applyFill="1" applyBorder="1" applyAlignment="1" applyProtection="1">
      <alignment horizontal="center" vertical="center" wrapText="1"/>
    </xf>
    <xf numFmtId="165" fontId="13" fillId="4" borderId="38" xfId="0" applyNumberFormat="1" applyFont="1" applyFill="1" applyBorder="1" applyAlignment="1" applyProtection="1">
      <alignment horizontal="center" vertical="center" wrapText="1"/>
    </xf>
    <xf numFmtId="0" fontId="13" fillId="11" borderId="50" xfId="0" applyFont="1" applyFill="1" applyBorder="1" applyAlignment="1" applyProtection="1">
      <alignment horizontal="left" vertical="center"/>
    </xf>
    <xf numFmtId="0" fontId="0" fillId="0" borderId="124" xfId="0" applyBorder="1" applyAlignment="1" applyProtection="1">
      <alignment vertical="center"/>
    </xf>
    <xf numFmtId="165" fontId="13" fillId="4" borderId="51" xfId="0" applyNumberFormat="1" applyFont="1" applyFill="1" applyBorder="1" applyAlignment="1" applyProtection="1">
      <alignment vertical="center"/>
    </xf>
    <xf numFmtId="165" fontId="13" fillId="4" borderId="50" xfId="0" applyNumberFormat="1" applyFont="1" applyFill="1" applyBorder="1" applyAlignment="1" applyProtection="1">
      <alignment vertical="center"/>
    </xf>
    <xf numFmtId="0" fontId="0" fillId="0" borderId="124" xfId="0" applyBorder="1" applyAlignment="1" applyProtection="1"/>
    <xf numFmtId="165" fontId="13" fillId="11" borderId="51" xfId="0" applyNumberFormat="1" applyFont="1" applyFill="1" applyBorder="1" applyAlignment="1" applyProtection="1">
      <alignment vertical="center"/>
    </xf>
    <xf numFmtId="0" fontId="0" fillId="11" borderId="77" xfId="0" applyFill="1" applyBorder="1" applyAlignment="1" applyProtection="1"/>
    <xf numFmtId="0" fontId="14" fillId="14" borderId="119" xfId="0" applyFont="1" applyFill="1" applyBorder="1" applyAlignment="1" applyProtection="1">
      <alignment horizontal="right"/>
    </xf>
    <xf numFmtId="0" fontId="9" fillId="16" borderId="100" xfId="0" applyFont="1" applyFill="1" applyBorder="1" applyAlignment="1" applyProtection="1">
      <alignment horizontal="left" indent="1"/>
    </xf>
    <xf numFmtId="0" fontId="0" fillId="16" borderId="100" xfId="0" applyFill="1" applyBorder="1" applyAlignment="1" applyProtection="1">
      <alignment horizontal="left"/>
    </xf>
    <xf numFmtId="0" fontId="13" fillId="11" borderId="100" xfId="0" applyNumberFormat="1" applyFont="1" applyFill="1" applyBorder="1" applyAlignment="1" applyProtection="1">
      <alignment horizontal="left" indent="1"/>
    </xf>
    <xf numFmtId="0" fontId="0" fillId="11" borderId="100" xfId="0" applyFill="1" applyBorder="1" applyAlignment="1" applyProtection="1">
      <alignment horizontal="left"/>
    </xf>
    <xf numFmtId="0" fontId="0" fillId="4" borderId="77" xfId="0" applyFill="1" applyBorder="1" applyAlignment="1" applyProtection="1"/>
    <xf numFmtId="168" fontId="11" fillId="15" borderId="7" xfId="0" applyNumberFormat="1" applyFont="1" applyFill="1" applyBorder="1" applyAlignment="1" applyProtection="1">
      <alignment horizontal="center" vertical="center"/>
    </xf>
    <xf numFmtId="168" fontId="11" fillId="15" borderId="120" xfId="0" applyNumberFormat="1" applyFont="1" applyFill="1" applyBorder="1" applyAlignment="1" applyProtection="1">
      <alignment horizontal="center" vertical="center"/>
    </xf>
    <xf numFmtId="168" fontId="12" fillId="15" borderId="9" xfId="0" applyNumberFormat="1" applyFont="1" applyFill="1" applyBorder="1" applyAlignment="1" applyProtection="1">
      <alignment horizontal="center" vertical="center"/>
    </xf>
    <xf numFmtId="168" fontId="12" fillId="15" borderId="11" xfId="0" applyNumberFormat="1" applyFont="1" applyFill="1" applyBorder="1" applyAlignment="1" applyProtection="1">
      <alignment horizontal="center" vertical="center"/>
    </xf>
    <xf numFmtId="0" fontId="12" fillId="15" borderId="5" xfId="0" applyFont="1" applyFill="1" applyBorder="1" applyAlignment="1" applyProtection="1">
      <alignment horizontal="center" vertical="center"/>
    </xf>
    <xf numFmtId="0" fontId="12" fillId="15" borderId="7" xfId="0" applyFont="1" applyFill="1" applyBorder="1" applyAlignment="1" applyProtection="1">
      <alignment horizontal="center" vertical="center"/>
    </xf>
    <xf numFmtId="14" fontId="13" fillId="8" borderId="99" xfId="0" applyNumberFormat="1" applyFont="1" applyFill="1" applyBorder="1" applyAlignment="1" applyProtection="1">
      <alignment horizontal="center" vertical="center" wrapText="1"/>
      <protection locked="0"/>
    </xf>
    <xf numFmtId="14" fontId="13" fillId="8" borderId="97" xfId="0" applyNumberFormat="1" applyFont="1" applyFill="1" applyBorder="1" applyAlignment="1" applyProtection="1">
      <alignment horizontal="center" vertical="center" wrapText="1"/>
      <protection locked="0"/>
    </xf>
    <xf numFmtId="168" fontId="45" fillId="15" borderId="11" xfId="0" applyNumberFormat="1" applyFont="1" applyFill="1" applyBorder="1" applyAlignment="1" applyProtection="1">
      <alignment horizontal="center" vertical="center" wrapText="1"/>
    </xf>
    <xf numFmtId="0" fontId="46" fillId="15" borderId="121" xfId="0" applyFont="1" applyFill="1" applyBorder="1" applyAlignment="1" applyProtection="1">
      <alignment horizontal="center" vertical="center" wrapText="1"/>
    </xf>
    <xf numFmtId="0" fontId="46" fillId="15" borderId="121" xfId="0" applyFont="1" applyFill="1" applyBorder="1" applyAlignment="1" applyProtection="1">
      <alignment horizontal="center" vertical="center"/>
    </xf>
    <xf numFmtId="168" fontId="21" fillId="15" borderId="6" xfId="0" applyNumberFormat="1" applyFont="1" applyFill="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47" fillId="0" borderId="10" xfId="0" applyFont="1" applyBorder="1" applyAlignment="1" applyProtection="1">
      <alignment horizontal="center" vertical="center" wrapText="1"/>
    </xf>
    <xf numFmtId="0" fontId="47" fillId="0" borderId="11" xfId="0" applyFont="1" applyBorder="1" applyAlignment="1" applyProtection="1">
      <alignment horizontal="center" vertical="center" wrapText="1"/>
    </xf>
    <xf numFmtId="14" fontId="13" fillId="15" borderId="120" xfId="0" applyNumberFormat="1" applyFont="1" applyFill="1" applyBorder="1" applyAlignment="1" applyProtection="1">
      <alignment horizontal="center" vertical="center" wrapText="1"/>
    </xf>
    <xf numFmtId="0" fontId="32" fillId="15" borderId="121" xfId="0" applyFont="1" applyFill="1" applyBorder="1" applyAlignment="1" applyProtection="1">
      <alignment horizontal="center" vertical="center" wrapText="1"/>
    </xf>
    <xf numFmtId="0" fontId="11" fillId="4" borderId="126" xfId="0" applyFont="1" applyFill="1" applyBorder="1" applyAlignment="1">
      <alignment horizontal="center" vertical="center"/>
    </xf>
    <xf numFmtId="0" fontId="19" fillId="0" borderId="126" xfId="0" applyFont="1" applyBorder="1" applyAlignment="1">
      <alignment horizontal="center" vertical="center"/>
    </xf>
    <xf numFmtId="0" fontId="10" fillId="11" borderId="73" xfId="0" applyNumberFormat="1" applyFont="1" applyFill="1" applyBorder="1" applyAlignment="1" applyProtection="1">
      <alignment horizontal="left" vertical="center" wrapText="1"/>
    </xf>
    <xf numFmtId="0" fontId="5" fillId="11" borderId="123" xfId="0" applyFont="1" applyFill="1" applyBorder="1" applyAlignment="1" applyProtection="1">
      <alignment horizontal="left" vertical="center" wrapText="1"/>
    </xf>
    <xf numFmtId="0" fontId="14" fillId="14" borderId="116" xfId="0" applyFont="1" applyFill="1" applyBorder="1" applyAlignment="1" applyProtection="1">
      <alignment horizontal="right"/>
    </xf>
    <xf numFmtId="0" fontId="0" fillId="0" borderId="116" xfId="0" applyBorder="1" applyAlignment="1" applyProtection="1">
      <alignment horizontal="right"/>
    </xf>
    <xf numFmtId="0" fontId="0" fillId="0" borderId="119" xfId="0" applyBorder="1" applyAlignment="1" applyProtection="1">
      <alignment horizontal="right"/>
    </xf>
    <xf numFmtId="0" fontId="14" fillId="14" borderId="116" xfId="0" applyFont="1" applyFill="1" applyBorder="1" applyAlignment="1" applyProtection="1">
      <alignment horizontal="right" wrapText="1"/>
    </xf>
    <xf numFmtId="0" fontId="15" fillId="4" borderId="100" xfId="0" applyFont="1" applyFill="1" applyBorder="1" applyAlignment="1" applyProtection="1">
      <alignment horizontal="left"/>
    </xf>
    <xf numFmtId="0" fontId="0" fillId="4" borderId="100" xfId="0" applyFill="1" applyBorder="1" applyAlignment="1" applyProtection="1">
      <alignment horizontal="left"/>
    </xf>
    <xf numFmtId="0" fontId="10" fillId="11" borderId="100" xfId="0" applyNumberFormat="1" applyFont="1" applyFill="1" applyBorder="1" applyAlignment="1" applyProtection="1">
      <alignment horizontal="left"/>
    </xf>
    <xf numFmtId="0" fontId="13" fillId="11" borderId="116" xfId="0" applyFont="1" applyFill="1" applyBorder="1" applyAlignment="1" applyProtection="1">
      <alignment horizontal="left"/>
    </xf>
    <xf numFmtId="0" fontId="0" fillId="11" borderId="116" xfId="0" applyFill="1" applyBorder="1" applyAlignment="1" applyProtection="1">
      <alignment horizontal="left"/>
    </xf>
    <xf numFmtId="0" fontId="15" fillId="4" borderId="103" xfId="0" applyFont="1" applyFill="1" applyBorder="1" applyAlignment="1" applyProtection="1">
      <alignment horizontal="left"/>
    </xf>
    <xf numFmtId="0" fontId="0" fillId="4" borderId="103" xfId="0" applyFill="1" applyBorder="1" applyAlignment="1" applyProtection="1">
      <alignment horizontal="left"/>
    </xf>
    <xf numFmtId="0" fontId="10" fillId="11" borderId="51" xfId="0" applyNumberFormat="1" applyFont="1" applyFill="1" applyBorder="1" applyAlignment="1" applyProtection="1">
      <alignment horizontal="left"/>
    </xf>
    <xf numFmtId="0" fontId="10" fillId="11" borderId="77" xfId="0" applyNumberFormat="1" applyFont="1" applyFill="1" applyBorder="1" applyAlignment="1" applyProtection="1">
      <alignment horizontal="left"/>
    </xf>
    <xf numFmtId="0" fontId="15" fillId="11" borderId="116" xfId="0" applyFont="1" applyFill="1" applyBorder="1" applyAlignment="1" applyProtection="1">
      <alignment horizontal="left" wrapText="1"/>
    </xf>
    <xf numFmtId="0" fontId="5" fillId="11" borderId="116" xfId="0" applyFont="1" applyFill="1" applyBorder="1" applyAlignment="1" applyProtection="1">
      <alignment horizontal="left"/>
    </xf>
    <xf numFmtId="0" fontId="13" fillId="4" borderId="117" xfId="0" applyNumberFormat="1" applyFont="1" applyFill="1" applyBorder="1" applyAlignment="1" applyProtection="1">
      <alignment horizontal="left" indent="1"/>
    </xf>
    <xf numFmtId="0" fontId="0" fillId="4" borderId="117" xfId="0" applyFill="1" applyBorder="1" applyAlignment="1" applyProtection="1">
      <alignment horizontal="left"/>
    </xf>
    <xf numFmtId="0" fontId="11" fillId="4" borderId="141" xfId="0" applyFont="1" applyFill="1" applyBorder="1" applyAlignment="1">
      <alignment horizontal="right" vertical="center"/>
    </xf>
    <xf numFmtId="0" fontId="0" fillId="0" borderId="141" xfId="0" applyBorder="1" applyAlignment="1">
      <alignment vertical="center"/>
    </xf>
    <xf numFmtId="0" fontId="9" fillId="11" borderId="100" xfId="0" applyNumberFormat="1" applyFont="1" applyFill="1" applyBorder="1" applyAlignment="1" applyProtection="1">
      <alignment horizontal="left"/>
    </xf>
    <xf numFmtId="0" fontId="0" fillId="11" borderId="100" xfId="0" applyFill="1" applyBorder="1" applyAlignment="1" applyProtection="1"/>
    <xf numFmtId="0" fontId="11" fillId="4" borderId="116" xfId="0" applyFont="1" applyFill="1" applyBorder="1" applyAlignment="1" applyProtection="1">
      <alignment horizontal="right" vertical="center"/>
    </xf>
    <xf numFmtId="0" fontId="0" fillId="4" borderId="116" xfId="0" applyFill="1" applyBorder="1" applyAlignment="1" applyProtection="1"/>
    <xf numFmtId="0" fontId="57" fillId="11" borderId="128" xfId="0" applyNumberFormat="1" applyFont="1" applyFill="1" applyBorder="1" applyAlignment="1" applyProtection="1">
      <alignment horizontal="left" vertical="center"/>
    </xf>
    <xf numFmtId="0" fontId="62" fillId="11" borderId="128" xfId="0" applyFont="1" applyFill="1" applyBorder="1" applyAlignment="1" applyProtection="1">
      <alignment vertical="center"/>
    </xf>
    <xf numFmtId="0" fontId="15" fillId="11" borderId="130" xfId="0" applyNumberFormat="1" applyFont="1" applyFill="1" applyBorder="1" applyAlignment="1" applyProtection="1">
      <alignment horizontal="left" vertical="center"/>
    </xf>
    <xf numFmtId="0" fontId="25" fillId="11" borderId="130" xfId="0" applyFont="1" applyFill="1" applyBorder="1" applyAlignment="1" applyProtection="1">
      <alignment vertical="center"/>
    </xf>
    <xf numFmtId="165" fontId="13" fillId="4" borderId="131" xfId="0" applyNumberFormat="1" applyFont="1" applyFill="1" applyBorder="1" applyAlignment="1" applyProtection="1">
      <alignment vertical="center"/>
    </xf>
    <xf numFmtId="0" fontId="0" fillId="4" borderId="132" xfId="0" applyFill="1" applyBorder="1" applyAlignment="1" applyProtection="1"/>
    <xf numFmtId="0" fontId="11" fillId="4" borderId="116" xfId="0" applyFont="1" applyFill="1" applyBorder="1" applyAlignment="1" applyProtection="1">
      <alignment horizontal="right"/>
    </xf>
    <xf numFmtId="0" fontId="9" fillId="11" borderId="103" xfId="0" applyNumberFormat="1" applyFont="1" applyFill="1" applyBorder="1" applyAlignment="1" applyProtection="1">
      <alignment horizontal="left"/>
    </xf>
    <xf numFmtId="0" fontId="0" fillId="11" borderId="103" xfId="0" applyFill="1" applyBorder="1" applyAlignment="1" applyProtection="1"/>
    <xf numFmtId="0" fontId="13" fillId="11" borderId="116" xfId="0" applyNumberFormat="1" applyFont="1" applyFill="1" applyBorder="1" applyAlignment="1" applyProtection="1">
      <alignment horizontal="left"/>
    </xf>
    <xf numFmtId="165" fontId="13" fillId="4" borderId="52" xfId="0" applyNumberFormat="1" applyFont="1" applyFill="1" applyBorder="1" applyAlignment="1" applyProtection="1">
      <alignment vertical="center"/>
    </xf>
    <xf numFmtId="0" fontId="0" fillId="4" borderId="104" xfId="0" applyFill="1" applyBorder="1" applyAlignment="1" applyProtection="1"/>
    <xf numFmtId="0" fontId="0" fillId="0" borderId="100" xfId="0" applyBorder="1" applyAlignment="1" applyProtection="1">
      <alignment horizontal="left"/>
    </xf>
    <xf numFmtId="0" fontId="0" fillId="0" borderId="116" xfId="0" applyBorder="1" applyAlignment="1" applyProtection="1">
      <alignment horizontal="left"/>
    </xf>
    <xf numFmtId="0" fontId="15" fillId="4" borderId="100" xfId="0" applyNumberFormat="1" applyFont="1" applyFill="1" applyBorder="1" applyAlignment="1" applyProtection="1">
      <alignment horizontal="left"/>
    </xf>
    <xf numFmtId="0" fontId="0" fillId="0" borderId="100" xfId="0" applyBorder="1" applyAlignment="1" applyProtection="1"/>
    <xf numFmtId="0" fontId="13" fillId="11" borderId="117" xfId="0" applyNumberFormat="1" applyFont="1" applyFill="1" applyBorder="1" applyAlignment="1" applyProtection="1">
      <alignment horizontal="left" indent="1"/>
    </xf>
    <xf numFmtId="0" fontId="0" fillId="0" borderId="117" xfId="0" applyBorder="1" applyAlignment="1" applyProtection="1">
      <alignment horizontal="left"/>
    </xf>
    <xf numFmtId="0" fontId="15" fillId="4" borderId="117" xfId="0" applyFont="1" applyFill="1" applyBorder="1" applyAlignment="1" applyProtection="1">
      <alignment horizontal="left"/>
    </xf>
    <xf numFmtId="0" fontId="9" fillId="11" borderId="117" xfId="0" applyFont="1" applyFill="1" applyBorder="1" applyAlignment="1" applyProtection="1">
      <alignment horizontal="left" vertical="top" wrapText="1"/>
    </xf>
    <xf numFmtId="0" fontId="0" fillId="0" borderId="117" xfId="0" applyBorder="1" applyAlignment="1" applyProtection="1"/>
    <xf numFmtId="0" fontId="9" fillId="11" borderId="100" xfId="0" applyFont="1" applyFill="1" applyBorder="1" applyAlignment="1" applyProtection="1">
      <alignment horizontal="left" vertical="top"/>
    </xf>
    <xf numFmtId="0" fontId="10" fillId="11" borderId="100" xfId="0" applyFont="1" applyFill="1" applyBorder="1" applyAlignment="1" applyProtection="1">
      <alignment horizontal="right" vertical="top"/>
    </xf>
    <xf numFmtId="0" fontId="0" fillId="0" borderId="100" xfId="0" applyBorder="1" applyAlignment="1" applyProtection="1">
      <alignment horizontal="right"/>
    </xf>
    <xf numFmtId="0" fontId="9" fillId="11" borderId="100" xfId="0" applyFont="1" applyFill="1" applyBorder="1" applyAlignment="1" applyProtection="1">
      <alignment horizontal="left" indent="1"/>
    </xf>
    <xf numFmtId="0" fontId="10" fillId="11" borderId="103" xfId="0" applyNumberFormat="1" applyFont="1" applyFill="1" applyBorder="1" applyAlignment="1" applyProtection="1">
      <alignment horizontal="left"/>
    </xf>
    <xf numFmtId="0" fontId="0" fillId="0" borderId="103" xfId="0" applyBorder="1" applyAlignment="1" applyProtection="1">
      <alignment horizontal="left"/>
    </xf>
    <xf numFmtId="0" fontId="11" fillId="22" borderId="122" xfId="0" applyFont="1" applyFill="1" applyBorder="1" applyAlignment="1" applyProtection="1">
      <alignment horizontal="center" vertical="center"/>
    </xf>
    <xf numFmtId="0" fontId="9" fillId="11" borderId="100" xfId="0" applyNumberFormat="1" applyFont="1" applyFill="1" applyBorder="1" applyAlignment="1" applyProtection="1">
      <alignment horizontal="left" vertical="center"/>
    </xf>
    <xf numFmtId="0" fontId="0" fillId="0" borderId="100" xfId="0" applyBorder="1" applyAlignment="1" applyProtection="1">
      <alignment vertical="center"/>
    </xf>
    <xf numFmtId="0" fontId="11" fillId="4" borderId="118" xfId="0" applyFont="1" applyFill="1" applyBorder="1" applyAlignment="1" applyProtection="1">
      <alignment horizontal="right" vertical="center"/>
    </xf>
    <xf numFmtId="0" fontId="0" fillId="0" borderId="118" xfId="0" applyBorder="1" applyAlignment="1" applyProtection="1">
      <alignment vertical="center"/>
    </xf>
    <xf numFmtId="0" fontId="5" fillId="0" borderId="123" xfId="0" applyFont="1" applyBorder="1" applyAlignment="1" applyProtection="1">
      <alignment horizontal="left" vertical="center" wrapText="1"/>
    </xf>
    <xf numFmtId="0" fontId="11" fillId="4" borderId="126" xfId="0" applyFont="1" applyFill="1" applyBorder="1" applyAlignment="1" applyProtection="1">
      <alignment horizontal="center" vertical="center"/>
    </xf>
    <xf numFmtId="0" fontId="0" fillId="0" borderId="116" xfId="0" applyBorder="1" applyAlignment="1" applyProtection="1"/>
    <xf numFmtId="0" fontId="13" fillId="4" borderId="103" xfId="0" applyNumberFormat="1" applyFont="1" applyFill="1" applyBorder="1" applyAlignment="1" applyProtection="1">
      <alignment horizontal="left"/>
    </xf>
    <xf numFmtId="0" fontId="0" fillId="0" borderId="103" xfId="0" applyBorder="1" applyAlignment="1" applyProtection="1"/>
    <xf numFmtId="0" fontId="13" fillId="4" borderId="117" xfId="0" applyFont="1" applyFill="1" applyBorder="1" applyAlignment="1" applyProtection="1">
      <alignment horizontal="left" vertical="center"/>
    </xf>
    <xf numFmtId="0" fontId="13" fillId="11" borderId="49" xfId="0" applyFont="1" applyFill="1" applyBorder="1" applyAlignment="1" applyProtection="1">
      <alignment horizontal="left"/>
    </xf>
    <xf numFmtId="0" fontId="13" fillId="11" borderId="107" xfId="0" applyFont="1" applyFill="1" applyBorder="1" applyAlignment="1" applyProtection="1">
      <alignment horizontal="left"/>
    </xf>
    <xf numFmtId="0" fontId="12" fillId="20" borderId="120" xfId="0" applyFont="1" applyFill="1" applyBorder="1" applyAlignment="1" applyProtection="1">
      <alignment horizontal="center" vertical="center"/>
    </xf>
    <xf numFmtId="0" fontId="13" fillId="4" borderId="100" xfId="0" applyFont="1" applyFill="1" applyBorder="1" applyAlignment="1" applyProtection="1">
      <alignment horizontal="left" vertical="center"/>
    </xf>
    <xf numFmtId="0" fontId="14" fillId="14" borderId="119" xfId="0" applyFont="1" applyFill="1" applyBorder="1" applyAlignment="1" applyProtection="1">
      <alignment horizontal="right" wrapText="1"/>
    </xf>
    <xf numFmtId="0" fontId="0" fillId="0" borderId="119" xfId="0" applyBorder="1" applyAlignment="1" applyProtection="1">
      <alignment horizontal="right" wrapText="1"/>
    </xf>
    <xf numFmtId="0" fontId="13" fillId="4" borderId="144" xfId="0" applyFont="1" applyFill="1" applyBorder="1" applyAlignment="1" applyProtection="1">
      <alignment horizontal="center" vertical="center" wrapText="1"/>
    </xf>
    <xf numFmtId="0" fontId="13" fillId="4" borderId="145"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168" fontId="11" fillId="20" borderId="120" xfId="0" applyNumberFormat="1" applyFont="1" applyFill="1" applyBorder="1" applyAlignment="1" applyProtection="1">
      <alignment horizontal="center" vertical="center"/>
    </xf>
    <xf numFmtId="168" fontId="12" fillId="20" borderId="121" xfId="0" applyNumberFormat="1" applyFont="1" applyFill="1" applyBorder="1" applyAlignment="1" applyProtection="1">
      <alignment horizontal="center" vertical="center"/>
    </xf>
    <xf numFmtId="168" fontId="42" fillId="20" borderId="121" xfId="0" applyNumberFormat="1" applyFont="1" applyFill="1" applyBorder="1" applyAlignment="1" applyProtection="1">
      <alignment horizontal="center" vertical="center" wrapText="1"/>
    </xf>
    <xf numFmtId="0" fontId="43" fillId="20" borderId="121" xfId="0" applyFont="1" applyFill="1" applyBorder="1" applyAlignment="1" applyProtection="1">
      <alignment horizontal="center" vertical="center" wrapText="1"/>
    </xf>
    <xf numFmtId="0" fontId="43" fillId="20" borderId="121" xfId="0" applyFont="1" applyFill="1" applyBorder="1" applyAlignment="1" applyProtection="1">
      <alignment horizontal="center" vertical="center"/>
    </xf>
    <xf numFmtId="0" fontId="13" fillId="11" borderId="51" xfId="0" applyFont="1" applyFill="1" applyBorder="1" applyAlignment="1" applyProtection="1">
      <alignment horizontal="left"/>
    </xf>
    <xf numFmtId="0" fontId="13" fillId="4" borderId="51" xfId="0" applyFont="1" applyFill="1" applyBorder="1" applyAlignment="1" applyProtection="1">
      <alignment horizontal="left" vertical="center"/>
    </xf>
    <xf numFmtId="0" fontId="13" fillId="4" borderId="52" xfId="0" applyFont="1" applyFill="1" applyBorder="1" applyAlignment="1" applyProtection="1">
      <alignment horizontal="left" vertical="center"/>
    </xf>
    <xf numFmtId="0" fontId="0" fillId="0" borderId="104" xfId="0" applyBorder="1" applyAlignment="1" applyProtection="1"/>
    <xf numFmtId="14" fontId="13" fillId="20" borderId="115" xfId="0" applyNumberFormat="1" applyFont="1" applyFill="1" applyBorder="1" applyAlignment="1" applyProtection="1">
      <alignment horizontal="center" vertical="center" wrapText="1"/>
    </xf>
    <xf numFmtId="14" fontId="13" fillId="20" borderId="103" xfId="0" applyNumberFormat="1" applyFont="1" applyFill="1" applyBorder="1" applyAlignment="1" applyProtection="1">
      <alignment horizontal="center" vertical="center" wrapText="1"/>
    </xf>
    <xf numFmtId="168" fontId="21" fillId="16" borderId="5" xfId="0" applyNumberFormat="1" applyFont="1" applyFill="1" applyBorder="1" applyAlignment="1" applyProtection="1">
      <alignment horizontal="center" vertical="center" wrapText="1"/>
    </xf>
    <xf numFmtId="0" fontId="47" fillId="16" borderId="6" xfId="0" applyFont="1" applyFill="1" applyBorder="1" applyAlignment="1" applyProtection="1">
      <alignment horizontal="center" vertical="center" wrapText="1"/>
    </xf>
    <xf numFmtId="0" fontId="0" fillId="16" borderId="7" xfId="0" applyFill="1" applyBorder="1" applyAlignment="1">
      <alignment horizontal="center" vertical="center" wrapText="1"/>
    </xf>
    <xf numFmtId="0" fontId="47" fillId="16" borderId="9" xfId="0" applyFont="1" applyFill="1" applyBorder="1" applyAlignment="1" applyProtection="1">
      <alignment horizontal="center" vertical="center" wrapText="1"/>
    </xf>
    <xf numFmtId="0" fontId="47" fillId="16" borderId="10" xfId="0" applyFont="1" applyFill="1" applyBorder="1" applyAlignment="1" applyProtection="1">
      <alignment horizontal="center" vertical="center" wrapText="1"/>
    </xf>
    <xf numFmtId="0" fontId="0" fillId="16" borderId="11" xfId="0" applyFill="1" applyBorder="1" applyAlignment="1">
      <alignment horizontal="center" vertical="center" wrapText="1"/>
    </xf>
    <xf numFmtId="0" fontId="13" fillId="0" borderId="80" xfId="0" applyFont="1" applyBorder="1" applyAlignment="1" applyProtection="1">
      <alignment horizontal="center" vertical="center" wrapText="1"/>
    </xf>
    <xf numFmtId="0" fontId="13" fillId="0" borderId="16" xfId="0" applyFont="1" applyBorder="1" applyAlignment="1">
      <alignment horizontal="center" vertical="center"/>
    </xf>
    <xf numFmtId="0" fontId="13" fillId="0" borderId="69" xfId="0" applyFont="1" applyBorder="1" applyAlignment="1">
      <alignment horizontal="center" vertical="center"/>
    </xf>
    <xf numFmtId="0" fontId="9" fillId="0" borderId="0" xfId="0" applyFont="1" applyBorder="1" applyAlignment="1" applyProtection="1">
      <alignment wrapText="1"/>
    </xf>
    <xf numFmtId="0" fontId="9" fillId="0" borderId="0" xfId="0" applyFont="1" applyBorder="1" applyAlignment="1">
      <alignment wrapText="1"/>
    </xf>
    <xf numFmtId="0" fontId="9" fillId="0" borderId="30" xfId="0" applyFont="1" applyBorder="1" applyAlignment="1">
      <alignment wrapText="1"/>
    </xf>
    <xf numFmtId="0" fontId="9" fillId="0" borderId="12" xfId="0" applyFont="1" applyBorder="1" applyAlignment="1">
      <alignment wrapText="1"/>
    </xf>
    <xf numFmtId="0" fontId="9" fillId="0" borderId="29" xfId="0" applyFont="1" applyBorder="1" applyAlignment="1">
      <alignment wrapText="1"/>
    </xf>
    <xf numFmtId="0" fontId="13" fillId="11" borderId="89" xfId="0" applyFont="1" applyFill="1" applyBorder="1" applyAlignment="1">
      <alignment horizontal="center" vertical="center" wrapText="1"/>
    </xf>
    <xf numFmtId="0" fontId="9" fillId="11" borderId="90" xfId="0" applyFont="1" applyFill="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167" fontId="13" fillId="4" borderId="8" xfId="2" applyNumberFormat="1" applyFont="1" applyFill="1" applyBorder="1" applyAlignment="1" applyProtection="1">
      <alignment horizontal="right"/>
    </xf>
    <xf numFmtId="0" fontId="9" fillId="0" borderId="30" xfId="0" applyFont="1" applyBorder="1" applyAlignment="1"/>
    <xf numFmtId="167" fontId="13" fillId="4" borderId="84" xfId="2" applyNumberFormat="1" applyFont="1" applyFill="1" applyBorder="1" applyAlignment="1" applyProtection="1">
      <alignment horizontal="right"/>
    </xf>
    <xf numFmtId="0" fontId="9" fillId="0" borderId="85" xfId="0" applyFont="1" applyBorder="1" applyAlignment="1"/>
    <xf numFmtId="10" fontId="13" fillId="4" borderId="58" xfId="4" applyNumberFormat="1" applyFont="1" applyFill="1" applyBorder="1" applyAlignment="1" applyProtection="1">
      <alignment horizontal="right" vertical="center"/>
    </xf>
    <xf numFmtId="0" fontId="13" fillId="0" borderId="88" xfId="0" applyFont="1" applyBorder="1" applyAlignment="1">
      <alignment horizontal="right" vertical="center"/>
    </xf>
    <xf numFmtId="167" fontId="13" fillId="4" borderId="5" xfId="2" applyNumberFormat="1" applyFont="1" applyFill="1" applyBorder="1" applyAlignment="1" applyProtection="1">
      <alignment horizontal="right"/>
    </xf>
    <xf numFmtId="0" fontId="9" fillId="0" borderId="83" xfId="0" applyFont="1" applyBorder="1" applyAlignment="1"/>
    <xf numFmtId="167" fontId="13" fillId="4" borderId="5" xfId="2" applyNumberFormat="1" applyFont="1" applyFill="1" applyBorder="1" applyAlignment="1" applyProtection="1">
      <alignment horizontal="right" vertical="center"/>
    </xf>
    <xf numFmtId="0" fontId="13" fillId="0" borderId="92" xfId="0" applyFont="1" applyBorder="1" applyAlignment="1">
      <alignment vertical="center"/>
    </xf>
    <xf numFmtId="0" fontId="13" fillId="0" borderId="50" xfId="0" applyFont="1" applyBorder="1" applyAlignment="1" applyProtection="1">
      <alignment horizontal="left" vertical="center" wrapText="1"/>
    </xf>
    <xf numFmtId="0" fontId="9" fillId="0" borderId="29" xfId="0" applyFont="1" applyBorder="1" applyAlignment="1">
      <alignment horizontal="left" vertical="center" wrapText="1"/>
    </xf>
    <xf numFmtId="0" fontId="13" fillId="0" borderId="51" xfId="0" applyFont="1" applyBorder="1" applyAlignment="1" applyProtection="1">
      <alignment horizontal="left" vertical="center" wrapText="1"/>
    </xf>
    <xf numFmtId="0" fontId="9" fillId="0" borderId="37" xfId="0" applyFont="1" applyBorder="1" applyAlignment="1">
      <alignment horizontal="left" vertical="center" wrapText="1"/>
    </xf>
    <xf numFmtId="0" fontId="9" fillId="0" borderId="51" xfId="0" applyFont="1" applyBorder="1" applyAlignment="1" applyProtection="1">
      <alignment horizontal="left" vertical="center" wrapText="1"/>
    </xf>
    <xf numFmtId="167" fontId="13" fillId="4" borderId="49" xfId="2" applyNumberFormat="1" applyFont="1" applyFill="1" applyBorder="1" applyAlignment="1" applyProtection="1">
      <alignment horizontal="right" vertical="center"/>
    </xf>
    <xf numFmtId="0" fontId="13" fillId="0" borderId="36" xfId="0" applyFont="1" applyBorder="1" applyAlignment="1">
      <alignment vertical="center"/>
    </xf>
    <xf numFmtId="0" fontId="13" fillId="0" borderId="52" xfId="0" applyFont="1" applyBorder="1" applyAlignment="1" applyProtection="1">
      <alignment horizontal="left" vertical="center"/>
    </xf>
    <xf numFmtId="0" fontId="13" fillId="0" borderId="38" xfId="0" applyFont="1" applyBorder="1" applyAlignment="1">
      <alignment horizontal="left" vertical="center"/>
    </xf>
    <xf numFmtId="0" fontId="9" fillId="0" borderId="6" xfId="0" applyFont="1" applyBorder="1" applyAlignment="1" applyProtection="1">
      <alignment horizontal="left" vertical="top" wrapText="1"/>
    </xf>
    <xf numFmtId="0" fontId="9" fillId="0" borderId="6" xfId="0" applyFont="1" applyBorder="1" applyAlignment="1">
      <alignment horizontal="left" vertical="top"/>
    </xf>
    <xf numFmtId="0" fontId="9" fillId="0" borderId="6" xfId="0" applyFont="1" applyBorder="1" applyAlignment="1"/>
    <xf numFmtId="0" fontId="9" fillId="0" borderId="0" xfId="0" applyFont="1" applyAlignment="1">
      <alignment horizontal="left" vertical="top"/>
    </xf>
    <xf numFmtId="0" fontId="9" fillId="0" borderId="0" xfId="0" applyFont="1" applyAlignment="1"/>
    <xf numFmtId="167" fontId="13" fillId="4" borderId="70" xfId="2" applyNumberFormat="1" applyFont="1" applyFill="1" applyBorder="1" applyAlignment="1" applyProtection="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167" fontId="13" fillId="4" borderId="44" xfId="2" applyNumberFormat="1" applyFont="1" applyFill="1" applyBorder="1" applyAlignment="1" applyProtection="1">
      <alignment horizontal="center" vertical="center"/>
    </xf>
    <xf numFmtId="0" fontId="9" fillId="0" borderId="45" xfId="0" applyFont="1" applyBorder="1" applyAlignment="1">
      <alignment horizontal="center" vertical="center"/>
    </xf>
    <xf numFmtId="10" fontId="13" fillId="4" borderId="39" xfId="4" applyNumberFormat="1" applyFont="1" applyFill="1" applyBorder="1" applyAlignment="1" applyProtection="1">
      <alignment horizontal="center" vertical="center" wrapText="1"/>
    </xf>
    <xf numFmtId="0" fontId="9" fillId="0" borderId="40" xfId="0" applyFont="1" applyBorder="1" applyAlignment="1">
      <alignment horizontal="center" vertical="center" wrapText="1"/>
    </xf>
    <xf numFmtId="0" fontId="17" fillId="7" borderId="33" xfId="0" applyFont="1" applyFill="1" applyBorder="1" applyAlignment="1" applyProtection="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7" fillId="5" borderId="35" xfId="0" applyFont="1" applyFill="1" applyBorder="1" applyAlignment="1" applyProtection="1">
      <alignment horizontal="center" vertical="center" wrapText="1"/>
    </xf>
    <xf numFmtId="0" fontId="65" fillId="8" borderId="0" xfId="0" applyFont="1" applyFill="1" applyAlignment="1" applyProtection="1">
      <alignment horizontal="center" vertical="center" wrapText="1"/>
    </xf>
    <xf numFmtId="0" fontId="39" fillId="8" borderId="0" xfId="0" applyFont="1" applyFill="1" applyAlignment="1">
      <alignment horizontal="center" vertical="center" wrapText="1"/>
    </xf>
    <xf numFmtId="0" fontId="39" fillId="8" borderId="0" xfId="0" applyFont="1" applyFill="1" applyAlignment="1" applyProtection="1">
      <alignment vertical="top" wrapText="1"/>
    </xf>
    <xf numFmtId="0" fontId="39" fillId="8" borderId="0" xfId="0" applyFont="1" applyFill="1" applyAlignment="1">
      <alignment vertical="top" wrapText="1"/>
    </xf>
    <xf numFmtId="2" fontId="65" fillId="8" borderId="1" xfId="0" applyNumberFormat="1" applyFont="1" applyFill="1" applyBorder="1" applyAlignment="1" applyProtection="1">
      <alignment horizontal="center" vertical="center" wrapText="1"/>
    </xf>
    <xf numFmtId="0" fontId="65" fillId="8" borderId="78" xfId="0" applyFont="1" applyFill="1" applyBorder="1" applyAlignment="1">
      <alignment horizontal="center" vertical="center" wrapText="1"/>
    </xf>
    <xf numFmtId="2" fontId="39" fillId="8" borderId="32" xfId="0" applyNumberFormat="1" applyFont="1" applyFill="1" applyBorder="1" applyAlignment="1" applyProtection="1">
      <alignment horizontal="center" vertical="center" wrapText="1"/>
    </xf>
    <xf numFmtId="0" fontId="39" fillId="8" borderId="32" xfId="0" applyFont="1" applyFill="1" applyBorder="1" applyAlignment="1">
      <alignment horizontal="center" vertical="center" wrapText="1"/>
    </xf>
    <xf numFmtId="2" fontId="39" fillId="8" borderId="8" xfId="0" applyNumberFormat="1" applyFont="1" applyFill="1" applyBorder="1" applyAlignment="1" applyProtection="1"/>
    <xf numFmtId="0" fontId="39" fillId="8" borderId="0" xfId="0" applyFont="1" applyFill="1" applyBorder="1" applyAlignment="1"/>
    <xf numFmtId="0" fontId="39" fillId="8" borderId="30" xfId="0" applyFont="1" applyFill="1" applyBorder="1" applyAlignment="1"/>
    <xf numFmtId="0" fontId="39" fillId="8" borderId="8" xfId="0" applyFont="1" applyFill="1" applyBorder="1" applyAlignment="1"/>
    <xf numFmtId="0" fontId="39" fillId="8" borderId="9" xfId="0" applyFont="1" applyFill="1" applyBorder="1" applyAlignment="1"/>
    <xf numFmtId="0" fontId="39" fillId="8" borderId="10" xfId="0" applyFont="1" applyFill="1" applyBorder="1" applyAlignment="1"/>
    <xf numFmtId="0" fontId="39" fillId="8" borderId="79" xfId="0" applyFont="1" applyFill="1" applyBorder="1" applyAlignment="1"/>
    <xf numFmtId="0" fontId="65" fillId="8" borderId="0" xfId="0" applyFont="1" applyFill="1" applyBorder="1" applyAlignment="1">
      <alignment horizontal="left" vertical="top" wrapText="1"/>
    </xf>
    <xf numFmtId="0" fontId="65" fillId="8" borderId="0" xfId="0" applyFont="1" applyFill="1" applyBorder="1" applyAlignment="1"/>
    <xf numFmtId="0" fontId="65" fillId="8" borderId="2" xfId="0" applyFont="1" applyFill="1" applyBorder="1" applyAlignment="1"/>
    <xf numFmtId="0" fontId="65" fillId="8" borderId="2" xfId="0" applyFont="1" applyFill="1" applyBorder="1" applyAlignment="1">
      <alignment horizontal="left" vertical="top" wrapText="1"/>
    </xf>
    <xf numFmtId="0" fontId="39" fillId="8" borderId="0" xfId="0" applyFont="1" applyFill="1" applyBorder="1" applyAlignment="1">
      <alignment horizontal="center" vertical="center" wrapText="1"/>
    </xf>
    <xf numFmtId="0" fontId="39" fillId="8" borderId="2" xfId="0" applyFont="1" applyFill="1" applyBorder="1" applyAlignment="1">
      <alignment vertical="center"/>
    </xf>
    <xf numFmtId="2" fontId="65" fillId="8" borderId="59" xfId="0" applyNumberFormat="1" applyFont="1" applyFill="1" applyBorder="1" applyAlignment="1" applyProtection="1">
      <alignment horizontal="center" vertical="center" wrapText="1"/>
    </xf>
    <xf numFmtId="0" fontId="65" fillId="8" borderId="59" xfId="0" applyFont="1" applyFill="1" applyBorder="1" applyAlignment="1">
      <alignment horizontal="center" vertical="center" wrapText="1"/>
    </xf>
    <xf numFmtId="1" fontId="39" fillId="8" borderId="77" xfId="0" applyNumberFormat="1" applyFont="1" applyFill="1" applyBorder="1" applyAlignment="1" applyProtection="1">
      <alignment horizontal="center" vertical="center" wrapText="1"/>
    </xf>
    <xf numFmtId="0" fontId="39" fillId="8" borderId="77" xfId="0" applyFont="1" applyFill="1" applyBorder="1" applyAlignment="1">
      <alignment horizontal="center" vertical="center" wrapText="1"/>
    </xf>
    <xf numFmtId="0" fontId="65" fillId="8" borderId="5" xfId="0" applyFont="1" applyFill="1" applyBorder="1" applyAlignment="1" applyProtection="1">
      <alignment horizontal="center" vertical="center" wrapText="1"/>
    </xf>
    <xf numFmtId="0" fontId="65" fillId="8" borderId="6" xfId="0" applyFont="1" applyFill="1" applyBorder="1" applyAlignment="1">
      <alignment horizontal="center" vertical="center"/>
    </xf>
    <xf numFmtId="0" fontId="65" fillId="8" borderId="7" xfId="0" applyFont="1" applyFill="1" applyBorder="1" applyAlignment="1">
      <alignment horizontal="center" vertical="center"/>
    </xf>
    <xf numFmtId="0" fontId="39" fillId="8" borderId="8" xfId="0" applyFont="1" applyFill="1" applyBorder="1" applyAlignment="1" applyProtection="1">
      <alignment horizontal="center" vertical="center" wrapText="1"/>
    </xf>
    <xf numFmtId="0" fontId="39" fillId="8" borderId="0" xfId="0" applyFont="1" applyFill="1" applyBorder="1" applyAlignment="1" applyProtection="1">
      <alignment horizontal="center" vertical="center" wrapText="1"/>
    </xf>
    <xf numFmtId="0" fontId="39" fillId="8" borderId="2" xfId="0" applyFont="1" applyFill="1" applyBorder="1" applyAlignment="1" applyProtection="1">
      <alignment horizontal="center" vertical="center" wrapText="1"/>
    </xf>
    <xf numFmtId="0" fontId="39" fillId="8" borderId="8" xfId="0" applyFont="1" applyFill="1" applyBorder="1" applyAlignment="1">
      <alignment horizontal="left" vertical="top"/>
    </xf>
    <xf numFmtId="0" fontId="39" fillId="8" borderId="0" xfId="0" applyFont="1" applyFill="1" applyBorder="1" applyAlignment="1">
      <alignment horizontal="left" vertical="top"/>
    </xf>
    <xf numFmtId="0" fontId="39" fillId="8" borderId="2" xfId="0" applyFont="1" applyFill="1" applyBorder="1" applyAlignment="1">
      <alignment horizontal="left" vertical="top"/>
    </xf>
    <xf numFmtId="2" fontId="39" fillId="8" borderId="8" xfId="0" applyNumberFormat="1" applyFont="1" applyFill="1" applyBorder="1" applyAlignment="1" applyProtection="1">
      <alignment horizontal="left"/>
    </xf>
    <xf numFmtId="0" fontId="39" fillId="8" borderId="0" xfId="0" applyFont="1" applyFill="1" applyBorder="1" applyAlignment="1">
      <alignment horizontal="left"/>
    </xf>
    <xf numFmtId="0" fontId="39" fillId="8" borderId="2" xfId="0" applyFont="1" applyFill="1" applyBorder="1" applyAlignment="1">
      <alignment horizontal="left"/>
    </xf>
    <xf numFmtId="0" fontId="39" fillId="8" borderId="8" xfId="0" applyFont="1" applyFill="1" applyBorder="1" applyAlignment="1" applyProtection="1"/>
    <xf numFmtId="0" fontId="39" fillId="8" borderId="2" xfId="0" applyFont="1" applyFill="1" applyBorder="1" applyAlignment="1"/>
    <xf numFmtId="2" fontId="39" fillId="8" borderId="76" xfId="0" applyNumberFormat="1" applyFont="1" applyFill="1" applyBorder="1" applyAlignment="1" applyProtection="1">
      <alignment horizontal="center" vertical="center" wrapText="1"/>
    </xf>
    <xf numFmtId="0" fontId="39" fillId="8" borderId="76" xfId="0" applyFont="1" applyFill="1" applyBorder="1" applyAlignment="1">
      <alignment horizontal="center" vertical="center" wrapText="1"/>
    </xf>
    <xf numFmtId="0" fontId="65" fillId="8" borderId="80" xfId="0" applyFont="1" applyFill="1" applyBorder="1" applyAlignment="1">
      <alignment horizontal="center" vertical="center" wrapText="1"/>
    </xf>
    <xf numFmtId="0" fontId="65" fillId="8" borderId="16" xfId="0" applyFont="1" applyFill="1" applyBorder="1" applyAlignment="1">
      <alignment horizontal="center" vertical="center" wrapText="1"/>
    </xf>
    <xf numFmtId="0" fontId="65" fillId="8" borderId="69" xfId="0" applyFont="1" applyFill="1" applyBorder="1" applyAlignment="1">
      <alignment horizontal="center" vertical="center" wrapText="1"/>
    </xf>
    <xf numFmtId="0" fontId="39" fillId="8" borderId="6" xfId="0" applyFont="1" applyFill="1" applyBorder="1" applyAlignment="1">
      <alignment horizontal="left" vertical="top" wrapText="1"/>
    </xf>
    <xf numFmtId="0" fontId="39" fillId="8" borderId="6" xfId="0" applyFont="1" applyFill="1" applyBorder="1" applyAlignment="1">
      <alignment wrapText="1"/>
    </xf>
    <xf numFmtId="0" fontId="39" fillId="8" borderId="7" xfId="0" applyFont="1" applyFill="1" applyBorder="1" applyAlignment="1">
      <alignment wrapText="1"/>
    </xf>
    <xf numFmtId="0" fontId="39" fillId="8" borderId="0" xfId="0" applyFont="1" applyFill="1" applyAlignment="1">
      <alignment wrapText="1"/>
    </xf>
    <xf numFmtId="0" fontId="39" fillId="8" borderId="2" xfId="0" applyFont="1" applyFill="1" applyBorder="1" applyAlignment="1">
      <alignment wrapText="1"/>
    </xf>
    <xf numFmtId="0" fontId="39" fillId="8" borderId="10" xfId="0" applyFont="1" applyFill="1" applyBorder="1" applyAlignment="1">
      <alignment wrapText="1"/>
    </xf>
    <xf numFmtId="0" fontId="39" fillId="8" borderId="11" xfId="0" applyFont="1" applyFill="1" applyBorder="1" applyAlignment="1">
      <alignment wrapText="1"/>
    </xf>
    <xf numFmtId="165" fontId="13" fillId="8" borderId="99" xfId="0" applyNumberFormat="1" applyFont="1" applyFill="1" applyBorder="1" applyProtection="1">
      <protection locked="0"/>
    </xf>
  </cellXfs>
  <cellStyles count="18">
    <cellStyle name="Comma" xfId="1" builtinId="3"/>
    <cellStyle name="Comma 2" xfId="7" xr:uid="{00000000-0005-0000-0000-000001000000}"/>
    <cellStyle name="Comma 2 2" xfId="12" xr:uid="{00000000-0005-0000-0000-000002000000}"/>
    <cellStyle name="Comma 3" xfId="10" xr:uid="{00000000-0005-0000-0000-000003000000}"/>
    <cellStyle name="Comma 3 2" xfId="15" xr:uid="{00000000-0005-0000-0000-000004000000}"/>
    <cellStyle name="Currency" xfId="2" builtinId="4"/>
    <cellStyle name="Followed Hyperlink" xfId="17" builtinId="9" hidden="1"/>
    <cellStyle name="Hyperlink" xfId="16" builtinId="8" hidden="1"/>
    <cellStyle name="Normal" xfId="0" builtinId="0"/>
    <cellStyle name="Normal 2" xfId="3" xr:uid="{00000000-0005-0000-0000-000009000000}"/>
    <cellStyle name="Normal 3" xfId="6" xr:uid="{00000000-0005-0000-0000-00000A000000}"/>
    <cellStyle name="Normal 3 2" xfId="11" xr:uid="{00000000-0005-0000-0000-00000B000000}"/>
    <cellStyle name="Normal 4" xfId="8" xr:uid="{00000000-0005-0000-0000-00000C000000}"/>
    <cellStyle name="Normal 4 2" xfId="13" xr:uid="{00000000-0005-0000-0000-00000D000000}"/>
    <cellStyle name="Normal 5" xfId="9" xr:uid="{00000000-0005-0000-0000-00000E000000}"/>
    <cellStyle name="Normal 5 2" xfId="14" xr:uid="{00000000-0005-0000-0000-00000F000000}"/>
    <cellStyle name="Normal_Sheet1" xfId="5" xr:uid="{00000000-0005-0000-0000-000010000000}"/>
    <cellStyle name="Percent" xfId="4" builtinId="5"/>
  </cellStyles>
  <dxfs count="4">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0000"/>
      <color rgb="FFFFFF99"/>
      <color rgb="FF0070C0"/>
      <color rgb="FFFDFFE1"/>
      <color rgb="FFFFFFFF"/>
      <color rgb="FFEAF1FA"/>
      <color rgb="FFF8F8F8"/>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882650</xdr:colOff>
      <xdr:row>35</xdr:row>
      <xdr:rowOff>107950</xdr:rowOff>
    </xdr:from>
    <xdr:to>
      <xdr:col>4</xdr:col>
      <xdr:colOff>2319981</xdr:colOff>
      <xdr:row>44</xdr:row>
      <xdr:rowOff>28382</xdr:rowOff>
    </xdr:to>
    <xdr:pic>
      <xdr:nvPicPr>
        <xdr:cNvPr id="7" name="Picture 6">
          <a:extLst>
            <a:ext uri="{FF2B5EF4-FFF2-40B4-BE49-F238E27FC236}">
              <a16:creationId xmlns:a16="http://schemas.microsoft.com/office/drawing/2014/main" id="{60590C08-D5E8-4B79-958A-CB7292265A29}"/>
            </a:ext>
          </a:extLst>
        </xdr:cNvPr>
        <xdr:cNvPicPr>
          <a:picLocks noChangeAspect="1"/>
        </xdr:cNvPicPr>
      </xdr:nvPicPr>
      <xdr:blipFill>
        <a:blip xmlns:r="http://schemas.openxmlformats.org/officeDocument/2006/relationships" r:embed="rId1"/>
        <a:stretch>
          <a:fillRect/>
        </a:stretch>
      </xdr:blipFill>
      <xdr:spPr>
        <a:xfrm>
          <a:off x="4645025" y="8696325"/>
          <a:ext cx="7533331" cy="1549207"/>
        </a:xfrm>
        <a:prstGeom prst="rect">
          <a:avLst/>
        </a:prstGeom>
      </xdr:spPr>
    </xdr:pic>
    <xdr:clientData/>
  </xdr:twoCellAnchor>
  <xdr:twoCellAnchor>
    <xdr:from>
      <xdr:col>4</xdr:col>
      <xdr:colOff>206375</xdr:colOff>
      <xdr:row>29</xdr:row>
      <xdr:rowOff>269875</xdr:rowOff>
    </xdr:from>
    <xdr:to>
      <xdr:col>4</xdr:col>
      <xdr:colOff>206375</xdr:colOff>
      <xdr:row>38</xdr:row>
      <xdr:rowOff>0</xdr:rowOff>
    </xdr:to>
    <xdr:cxnSp macro="">
      <xdr:nvCxnSpPr>
        <xdr:cNvPr id="6" name="Straight Arrow Connector 5">
          <a:extLst>
            <a:ext uri="{FF2B5EF4-FFF2-40B4-BE49-F238E27FC236}">
              <a16:creationId xmlns:a16="http://schemas.microsoft.com/office/drawing/2014/main" id="{1C5650AF-CDBD-4C3F-BA9C-1892F4927089}"/>
            </a:ext>
          </a:extLst>
        </xdr:cNvPr>
        <xdr:cNvCxnSpPr/>
      </xdr:nvCxnSpPr>
      <xdr:spPr>
        <a:xfrm>
          <a:off x="10064750" y="7477125"/>
          <a:ext cx="0" cy="1682750"/>
        </a:xfrm>
        <a:prstGeom prst="straightConnector1">
          <a:avLst/>
        </a:prstGeom>
        <a:ln w="920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Rainey, Nora" id="{47FB6832-C048-4150-A2BD-0ABAE9AFABD0}" userId="S::Nora.Rainey@tea.texas.gov::eccace17-fa26-40d6-8d0e-8e4ac5e335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19-07-11T14:32:53.38" personId="{47FB6832-C048-4150-A2BD-0ABAE9AFABD0}" id="{5245D142-52D0-4754-BFB9-E6D5AAB31AB9}">
    <text>Please enter data in accordance with the weight not the Census Tier  Block name.</text>
  </threadedComment>
  <threadedComment ref="C19" dT="2019-07-11T14:32:53.38" personId="{47FB6832-C048-4150-A2BD-0ABAE9AFABD0}" id="{2373E105-460C-43C1-B071-D6A75425CB29}">
    <text>Please enter data in accordance with the weight not the Census Tier  Block name.</text>
  </threadedComment>
  <threadedComment ref="C20" dT="2019-07-11T14:32:53.38" personId="{47FB6832-C048-4150-A2BD-0ABAE9AFABD0}" id="{73A2A6DA-29B0-41F0-986F-2060177E82EC}">
    <text>Please enter data in accordance with the weight not the Census Tier  Block name.</text>
  </threadedComment>
  <threadedComment ref="C21" dT="2019-07-11T14:32:53.38" personId="{47FB6832-C048-4150-A2BD-0ABAE9AFABD0}" id="{2A2E679B-EC73-47E8-896E-F2EBD4EB4E7E}">
    <text>Please enter data in accordance with the weight not the Census Tier  Block name.</text>
  </threadedComment>
  <threadedComment ref="C22" dT="2019-07-11T14:32:53.38" personId="{47FB6832-C048-4150-A2BD-0ABAE9AFABD0}" id="{D1B38C0A-E62D-40F7-A75C-4D3292379841}">
    <text>Please enter data in accordance with the weight not the Census Tier  Block name.</text>
  </threadedComment>
</ThreadedComments>
</file>

<file path=xl/threadedComments/threadedComment2.xml><?xml version="1.0" encoding="utf-8"?>
<ThreadedComments xmlns="http://schemas.microsoft.com/office/spreadsheetml/2018/threadedcomments" xmlns:x="http://schemas.openxmlformats.org/spreadsheetml/2006/main">
  <threadedComment ref="E46" dT="2019-07-11T14:32:53.38" personId="{47FB6832-C048-4150-A2BD-0ABAE9AFABD0}" id="{C21351D6-AB23-4ED6-BC89-D0C5C9CC42BF}">
    <text>Please enter data in accordance with the weight not the Census Tier  Block name.</text>
  </threadedComment>
  <threadedComment ref="E47" dT="2019-07-11T14:32:53.38" personId="{47FB6832-C048-4150-A2BD-0ABAE9AFABD0}" id="{894CB662-F0D9-4CFB-82C6-7D9B23D5BA8C}">
    <text>Please enter data in accordance with the weight not the Census Tier  Block name.</text>
  </threadedComment>
  <threadedComment ref="E48" dT="2019-07-11T14:32:53.38" personId="{47FB6832-C048-4150-A2BD-0ABAE9AFABD0}" id="{B30BECAE-6ED6-4002-907D-A6B0AE330DC3}">
    <text>Please enter data in accordance with the weight not the Census Tier  Block name.</text>
  </threadedComment>
  <threadedComment ref="E49" dT="2019-07-11T14:32:53.38" personId="{47FB6832-C048-4150-A2BD-0ABAE9AFABD0}" id="{C65CC2DE-53AF-4815-8B77-9C601F0DC9AD}">
    <text>Please enter data in accordance with the weight not the Census Tier  Block name.</text>
  </threadedComment>
  <threadedComment ref="E50" dT="2019-07-11T14:32:53.38" personId="{47FB6832-C048-4150-A2BD-0ABAE9AFABD0}" id="{A4BAC083-D0BE-4CB5-8D6F-DDE752847BC9}">
    <text>Please enter data in accordance with the weight not the Census Tier  Block name.</text>
  </threadedComment>
  <threadedComment ref="C123" dT="2019-06-26T18:40:19.09" personId="{47FB6832-C048-4150-A2BD-0ABAE9AFABD0}" id="{30916379-64C6-4A52-AF3E-2A90630F28AE}">
    <text>2020 revenue target per ADA for formula transition lesser of 103% of current law 2020 M&amp;O revenue per ADA or 128% of statewide average M&amp;O revenue per ADA or 100% of PL 2020 M&amp;O revenue per ADA (excluding chapter 41 hold harmless)</text>
  </threadedComment>
  <threadedComment ref="D123" dT="2019-06-26T18:40:19.09" personId="{47FB6832-C048-4150-A2BD-0ABAE9AFABD0}" id="{32481421-0244-47B1-B0C0-01A9D30FBA12}">
    <text>2020 revenue target per ADA for formula transition lesser of 103% of current law 2020 M&amp;O revenue per ADA or 128% of statewide average M&amp;O revenue per ADA or 100% of PL 2020 M&amp;O revenue per ADA (excluding chapter 41 hold harmless)</text>
  </threadedComment>
  <threadedComment ref="E123" dT="2019-06-26T18:40:19.09" personId="{47FB6832-C048-4150-A2BD-0ABAE9AFABD0}" id="{2C1B77EC-FF28-41EB-B4AC-BA181ECA0C63}">
    <text>2020 revenue target per ADA for formula transition lesser of 103% of current law 2020 M&amp;O revenue per ADA or 128% of statewide average M&amp;O revenue per ADA or 100% of PL 2020 M&amp;O revenue per ADA (excluding chapter 41 hold harmless)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3"/>
  </sheetPr>
  <dimension ref="A1:HC1772"/>
  <sheetViews>
    <sheetView tabSelected="1" zoomScale="120" zoomScaleNormal="120" zoomScaleSheetLayoutView="120" workbookViewId="0">
      <selection activeCell="C56" sqref="C56"/>
    </sheetView>
  </sheetViews>
  <sheetFormatPr defaultColWidth="37.85546875" defaultRowHeight="14.25" x14ac:dyDescent="0.2"/>
  <cols>
    <col min="1" max="1" width="74.5703125" style="2" customWidth="1"/>
    <col min="2" max="2" width="15.42578125" style="2" bestFit="1" customWidth="1"/>
    <col min="3" max="3" width="26.85546875" style="2" customWidth="1"/>
    <col min="4" max="4" width="27.42578125" style="183" customWidth="1"/>
    <col min="5" max="5" width="130.42578125" style="183" customWidth="1"/>
    <col min="6" max="6" width="16.28515625" style="183" customWidth="1"/>
    <col min="7" max="211" width="37.85546875" style="183"/>
    <col min="212" max="16384" width="37.85546875" style="2"/>
  </cols>
  <sheetData>
    <row r="1" spans="1:211" ht="33" customHeight="1" x14ac:dyDescent="0.2">
      <c r="A1" s="465" t="s">
        <v>633</v>
      </c>
      <c r="B1" s="465"/>
      <c r="C1" s="189">
        <v>0</v>
      </c>
      <c r="D1" s="182"/>
      <c r="E1" s="451" t="s">
        <v>921</v>
      </c>
      <c r="F1" s="452"/>
      <c r="G1" s="453"/>
      <c r="V1" s="211" t="s">
        <v>71</v>
      </c>
    </row>
    <row r="2" spans="1:211" ht="24.95" customHeight="1" x14ac:dyDescent="0.2">
      <c r="A2" s="468" t="str">
        <f>VLOOKUP(C1,'INITIAL SOF'!B:AL,37,FALSE)</f>
        <v>Enter six digit county district number in cell C1</v>
      </c>
      <c r="B2" s="468"/>
      <c r="C2" s="469"/>
      <c r="D2" s="182"/>
      <c r="E2" s="454"/>
      <c r="F2" s="455"/>
      <c r="G2" s="456"/>
      <c r="V2" s="211" t="s">
        <v>70</v>
      </c>
    </row>
    <row r="3" spans="1:211" ht="24.95" customHeight="1" x14ac:dyDescent="0.25">
      <c r="A3" s="471" t="s">
        <v>634</v>
      </c>
      <c r="B3" s="471"/>
      <c r="C3" s="260">
        <v>0.95</v>
      </c>
      <c r="D3" s="182"/>
      <c r="E3" s="454"/>
      <c r="F3" s="455"/>
      <c r="G3" s="456"/>
    </row>
    <row r="4" spans="1:211" ht="39.950000000000003" customHeight="1" thickBot="1" x14ac:dyDescent="0.3">
      <c r="A4" s="470" t="s">
        <v>739</v>
      </c>
      <c r="B4" s="470"/>
      <c r="C4" s="147">
        <v>0</v>
      </c>
      <c r="D4" s="184" t="str">
        <f>IF($C$4&gt;VLOOKUP($C$1,'ENROLLMENT MAX'!$A:$D,3,FALSE),"Cell C4 
Exceeds Maximum Approved Enrollment","")</f>
        <v/>
      </c>
      <c r="E4" s="454"/>
      <c r="F4" s="455"/>
      <c r="G4" s="456"/>
    </row>
    <row r="5" spans="1:211" ht="18" customHeight="1" thickTop="1" thickBot="1" x14ac:dyDescent="0.3">
      <c r="A5" s="466" t="s">
        <v>873</v>
      </c>
      <c r="B5" s="467"/>
      <c r="C5" s="147">
        <v>0</v>
      </c>
      <c r="D5" s="182"/>
      <c r="E5" s="457" t="s">
        <v>902</v>
      </c>
      <c r="F5" s="458"/>
      <c r="G5" s="459"/>
    </row>
    <row r="6" spans="1:211" ht="18" customHeight="1" thickTop="1" x14ac:dyDescent="0.25">
      <c r="A6" s="466" t="s">
        <v>872</v>
      </c>
      <c r="B6" s="467"/>
      <c r="C6" s="147">
        <v>0</v>
      </c>
      <c r="D6" s="182"/>
      <c r="E6" s="460" t="s">
        <v>917</v>
      </c>
      <c r="F6" s="461"/>
      <c r="G6" s="462"/>
    </row>
    <row r="7" spans="1:211" ht="18" customHeight="1" x14ac:dyDescent="0.25">
      <c r="A7" s="466" t="s">
        <v>871</v>
      </c>
      <c r="B7" s="467"/>
      <c r="C7" s="147">
        <v>0</v>
      </c>
      <c r="D7" s="182"/>
      <c r="E7" s="463"/>
      <c r="F7" s="461"/>
      <c r="G7" s="462"/>
    </row>
    <row r="8" spans="1:211" ht="18" customHeight="1" x14ac:dyDescent="0.25">
      <c r="A8" s="254" t="s">
        <v>728</v>
      </c>
      <c r="B8" s="154" t="s">
        <v>737</v>
      </c>
      <c r="C8" s="147">
        <v>0</v>
      </c>
      <c r="D8" s="182"/>
      <c r="E8" s="463"/>
      <c r="F8" s="461"/>
      <c r="G8" s="462"/>
    </row>
    <row r="9" spans="1:211" ht="30.75" x14ac:dyDescent="0.25">
      <c r="A9" s="255" t="s">
        <v>844</v>
      </c>
      <c r="B9" s="154" t="s">
        <v>737</v>
      </c>
      <c r="C9" s="147">
        <v>0</v>
      </c>
      <c r="D9" s="182"/>
      <c r="E9" s="463"/>
      <c r="F9" s="461"/>
      <c r="G9" s="462"/>
    </row>
    <row r="10" spans="1:211" ht="18" customHeight="1" x14ac:dyDescent="0.25">
      <c r="A10" s="254" t="s">
        <v>748</v>
      </c>
      <c r="B10" s="154" t="s">
        <v>737</v>
      </c>
      <c r="C10" s="147">
        <v>0</v>
      </c>
      <c r="D10" s="182"/>
      <c r="E10" s="463"/>
      <c r="F10" s="461"/>
      <c r="G10" s="462"/>
    </row>
    <row r="11" spans="1:211" s="187" customFormat="1" ht="20.100000000000001" customHeight="1" x14ac:dyDescent="0.2">
      <c r="A11" s="448" t="s">
        <v>740</v>
      </c>
      <c r="B11" s="449"/>
      <c r="C11" s="450"/>
      <c r="D11" s="185"/>
      <c r="E11" s="463"/>
      <c r="F11" s="461"/>
      <c r="G11" s="462"/>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row>
    <row r="12" spans="1:211" ht="18" customHeight="1" thickBot="1" x14ac:dyDescent="0.3">
      <c r="A12" s="474" t="s">
        <v>744</v>
      </c>
      <c r="B12" s="474"/>
      <c r="C12" s="147">
        <v>0</v>
      </c>
      <c r="D12" s="182"/>
      <c r="E12" s="463"/>
      <c r="F12" s="461"/>
      <c r="G12" s="462"/>
    </row>
    <row r="13" spans="1:211" ht="18" customHeight="1" thickTop="1" thickBot="1" x14ac:dyDescent="0.3">
      <c r="A13" s="153" t="s">
        <v>747</v>
      </c>
      <c r="B13" s="154" t="s">
        <v>737</v>
      </c>
      <c r="C13" s="147">
        <v>0</v>
      </c>
      <c r="D13" s="182"/>
      <c r="E13" s="464" t="s">
        <v>896</v>
      </c>
      <c r="F13" s="458"/>
      <c r="G13" s="459"/>
    </row>
    <row r="14" spans="1:211" ht="18" customHeight="1" thickTop="1" x14ac:dyDescent="0.25">
      <c r="A14" s="153" t="s">
        <v>743</v>
      </c>
      <c r="B14" s="154" t="s">
        <v>737</v>
      </c>
      <c r="C14" s="147">
        <v>0</v>
      </c>
      <c r="D14" s="182"/>
      <c r="E14" s="490" t="s">
        <v>904</v>
      </c>
      <c r="F14" s="491"/>
      <c r="G14" s="492"/>
    </row>
    <row r="15" spans="1:211" ht="20.100000000000001" customHeight="1" x14ac:dyDescent="0.2">
      <c r="A15" s="494" t="s">
        <v>910</v>
      </c>
      <c r="B15" s="495"/>
      <c r="C15" s="496"/>
      <c r="D15" s="182"/>
      <c r="E15" s="463"/>
      <c r="F15" s="461"/>
      <c r="G15" s="462"/>
    </row>
    <row r="16" spans="1:211" ht="20.100000000000001" customHeight="1" x14ac:dyDescent="0.2">
      <c r="A16" s="497"/>
      <c r="B16" s="498"/>
      <c r="C16" s="499"/>
      <c r="D16" s="182"/>
      <c r="E16" s="463"/>
      <c r="F16" s="461"/>
      <c r="G16" s="462"/>
    </row>
    <row r="17" spans="1:7" ht="18" customHeight="1" x14ac:dyDescent="0.25">
      <c r="A17" s="474" t="s">
        <v>729</v>
      </c>
      <c r="B17" s="474"/>
      <c r="C17" s="146">
        <f>VLOOKUP(C1,'INITIAL SOF'!$B:$HD,110,FALSE)</f>
        <v>0</v>
      </c>
      <c r="D17" s="182"/>
      <c r="E17" s="463"/>
      <c r="F17" s="461"/>
      <c r="G17" s="462"/>
    </row>
    <row r="18" spans="1:7" ht="18" customHeight="1" x14ac:dyDescent="0.25">
      <c r="A18" s="153" t="s">
        <v>919</v>
      </c>
      <c r="B18" s="154" t="s">
        <v>911</v>
      </c>
      <c r="C18" s="147">
        <v>0</v>
      </c>
      <c r="D18" s="182"/>
      <c r="E18" s="463"/>
      <c r="F18" s="461"/>
      <c r="G18" s="462"/>
    </row>
    <row r="19" spans="1:7" ht="18" customHeight="1" thickBot="1" x14ac:dyDescent="0.3">
      <c r="A19" s="153" t="s">
        <v>907</v>
      </c>
      <c r="B19" s="154" t="s">
        <v>905</v>
      </c>
      <c r="C19" s="147">
        <v>0</v>
      </c>
      <c r="D19" s="182"/>
      <c r="E19" s="463"/>
      <c r="F19" s="461"/>
      <c r="G19" s="462"/>
    </row>
    <row r="20" spans="1:7" ht="18" customHeight="1" thickTop="1" thickBot="1" x14ac:dyDescent="0.3">
      <c r="A20" s="153" t="s">
        <v>908</v>
      </c>
      <c r="B20" s="154" t="s">
        <v>912</v>
      </c>
      <c r="C20" s="147">
        <v>0</v>
      </c>
      <c r="D20" s="182"/>
      <c r="E20" s="475" t="s">
        <v>897</v>
      </c>
      <c r="F20" s="458"/>
      <c r="G20" s="476"/>
    </row>
    <row r="21" spans="1:7" ht="18" customHeight="1" thickTop="1" x14ac:dyDescent="0.25">
      <c r="A21" s="153" t="s">
        <v>909</v>
      </c>
      <c r="B21" s="154" t="s">
        <v>906</v>
      </c>
      <c r="C21" s="147">
        <v>0</v>
      </c>
      <c r="D21" s="182"/>
      <c r="E21" s="477" t="s">
        <v>918</v>
      </c>
      <c r="F21" s="478"/>
      <c r="G21" s="479"/>
    </row>
    <row r="22" spans="1:7" ht="18" customHeight="1" x14ac:dyDescent="0.25">
      <c r="A22" s="153" t="s">
        <v>920</v>
      </c>
      <c r="B22" s="154" t="s">
        <v>913</v>
      </c>
      <c r="C22" s="147">
        <v>0</v>
      </c>
      <c r="D22" s="182"/>
      <c r="E22" s="480"/>
      <c r="F22" s="478"/>
      <c r="G22" s="479"/>
    </row>
    <row r="23" spans="1:7" ht="20.100000000000001" customHeight="1" x14ac:dyDescent="0.2">
      <c r="A23" s="138" t="s">
        <v>60</v>
      </c>
      <c r="B23" s="139" t="s">
        <v>526</v>
      </c>
      <c r="C23" s="140" t="s">
        <v>742</v>
      </c>
      <c r="D23" s="182"/>
      <c r="E23" s="480"/>
      <c r="F23" s="478"/>
      <c r="G23" s="479"/>
    </row>
    <row r="24" spans="1:7" ht="18" customHeight="1" x14ac:dyDescent="0.25">
      <c r="A24" s="136" t="s">
        <v>509</v>
      </c>
      <c r="B24" s="141" t="s">
        <v>495</v>
      </c>
      <c r="C24" s="147">
        <v>0</v>
      </c>
      <c r="D24" s="182"/>
      <c r="E24" s="480"/>
      <c r="F24" s="478"/>
      <c r="G24" s="479"/>
    </row>
    <row r="25" spans="1:7" ht="18" customHeight="1" x14ac:dyDescent="0.25">
      <c r="A25" s="136" t="s">
        <v>510</v>
      </c>
      <c r="B25" s="141" t="s">
        <v>497</v>
      </c>
      <c r="C25" s="147">
        <v>0</v>
      </c>
      <c r="D25" s="182"/>
      <c r="E25" s="480"/>
      <c r="F25" s="478"/>
      <c r="G25" s="479"/>
    </row>
    <row r="26" spans="1:7" ht="18" customHeight="1" thickBot="1" x14ac:dyDescent="0.3">
      <c r="A26" s="136" t="s">
        <v>511</v>
      </c>
      <c r="B26" s="141" t="s">
        <v>498</v>
      </c>
      <c r="C26" s="147">
        <v>0</v>
      </c>
      <c r="D26" s="182"/>
      <c r="E26" s="481"/>
      <c r="F26" s="482"/>
      <c r="G26" s="483"/>
    </row>
    <row r="27" spans="1:7" ht="18" customHeight="1" thickBot="1" x14ac:dyDescent="0.3">
      <c r="A27" s="136" t="s">
        <v>512</v>
      </c>
      <c r="B27" s="142" t="s">
        <v>499</v>
      </c>
      <c r="C27" s="147">
        <v>0</v>
      </c>
      <c r="D27" s="182"/>
      <c r="E27" s="484" t="s">
        <v>898</v>
      </c>
      <c r="F27" s="485"/>
      <c r="G27" s="485"/>
    </row>
    <row r="28" spans="1:7" ht="18" customHeight="1" x14ac:dyDescent="0.25">
      <c r="A28" s="136" t="s">
        <v>513</v>
      </c>
      <c r="B28" s="142" t="s">
        <v>500</v>
      </c>
      <c r="C28" s="147">
        <v>0</v>
      </c>
      <c r="D28" s="182"/>
      <c r="E28" s="486" t="s">
        <v>922</v>
      </c>
      <c r="F28" s="487"/>
      <c r="G28" s="453"/>
    </row>
    <row r="29" spans="1:7" ht="18" customHeight="1" x14ac:dyDescent="0.25">
      <c r="A29" s="136" t="s">
        <v>514</v>
      </c>
      <c r="B29" s="142">
        <v>45</v>
      </c>
      <c r="C29" s="147">
        <v>0</v>
      </c>
      <c r="D29" s="182"/>
      <c r="E29" s="488"/>
      <c r="F29" s="489"/>
      <c r="G29" s="456"/>
    </row>
    <row r="30" spans="1:7" ht="18" customHeight="1" x14ac:dyDescent="0.25">
      <c r="A30" s="136" t="s">
        <v>515</v>
      </c>
      <c r="B30" s="142" t="s">
        <v>501</v>
      </c>
      <c r="C30" s="147">
        <v>0</v>
      </c>
      <c r="D30" s="182"/>
      <c r="E30" s="488"/>
      <c r="F30" s="489"/>
      <c r="G30" s="456"/>
    </row>
    <row r="31" spans="1:7" ht="18" customHeight="1" x14ac:dyDescent="0.25">
      <c r="A31" s="136" t="s">
        <v>516</v>
      </c>
      <c r="B31" s="141" t="s">
        <v>496</v>
      </c>
      <c r="C31" s="147">
        <v>0</v>
      </c>
      <c r="D31" s="182"/>
      <c r="E31" s="488"/>
      <c r="F31" s="489"/>
      <c r="G31" s="456"/>
    </row>
    <row r="32" spans="1:7" ht="18" customHeight="1" x14ac:dyDescent="0.25">
      <c r="A32" s="136" t="s">
        <v>517</v>
      </c>
      <c r="B32" s="142">
        <v>30</v>
      </c>
      <c r="C32" s="147">
        <v>0</v>
      </c>
      <c r="D32" s="182"/>
      <c r="E32" s="488"/>
      <c r="F32" s="489"/>
      <c r="G32" s="456"/>
    </row>
    <row r="33" spans="1:7" ht="18" customHeight="1" x14ac:dyDescent="0.25">
      <c r="A33" s="136" t="s">
        <v>518</v>
      </c>
      <c r="B33" s="142" t="s">
        <v>502</v>
      </c>
      <c r="C33" s="147">
        <v>0</v>
      </c>
      <c r="D33" s="182"/>
      <c r="E33" s="259" t="s">
        <v>673</v>
      </c>
      <c r="F33" s="443"/>
      <c r="G33" s="258"/>
    </row>
    <row r="34" spans="1:7" ht="18" customHeight="1" x14ac:dyDescent="0.25">
      <c r="A34" s="136" t="s">
        <v>519</v>
      </c>
      <c r="B34" s="142">
        <v>40</v>
      </c>
      <c r="C34" s="147">
        <v>0</v>
      </c>
      <c r="D34" s="182"/>
      <c r="E34" s="259" t="s">
        <v>674</v>
      </c>
      <c r="F34" s="443"/>
      <c r="G34" s="258"/>
    </row>
    <row r="35" spans="1:7" ht="20.100000000000001" customHeight="1" x14ac:dyDescent="0.2">
      <c r="A35" s="138" t="s">
        <v>631</v>
      </c>
      <c r="B35" s="139" t="s">
        <v>526</v>
      </c>
      <c r="C35" s="139" t="s">
        <v>730</v>
      </c>
      <c r="D35" s="182"/>
      <c r="E35" s="259" t="s">
        <v>675</v>
      </c>
      <c r="F35" s="443"/>
      <c r="G35" s="258"/>
    </row>
    <row r="36" spans="1:7" ht="18" customHeight="1" x14ac:dyDescent="0.25">
      <c r="A36" s="136" t="s">
        <v>620</v>
      </c>
      <c r="B36" s="143" t="s">
        <v>495</v>
      </c>
      <c r="C36" s="148">
        <v>0</v>
      </c>
      <c r="D36" s="182"/>
      <c r="E36" s="259" t="s">
        <v>676</v>
      </c>
      <c r="F36" s="443"/>
      <c r="G36" s="258"/>
    </row>
    <row r="37" spans="1:7" ht="18" customHeight="1" x14ac:dyDescent="0.25">
      <c r="A37" s="136" t="s">
        <v>621</v>
      </c>
      <c r="B37" s="143" t="s">
        <v>497</v>
      </c>
      <c r="C37" s="148">
        <v>0</v>
      </c>
      <c r="D37" s="182"/>
      <c r="E37" s="259" t="s">
        <v>677</v>
      </c>
      <c r="F37" s="443"/>
      <c r="G37" s="258"/>
    </row>
    <row r="38" spans="1:7" ht="18" customHeight="1" x14ac:dyDescent="0.25">
      <c r="A38" s="136" t="s">
        <v>622</v>
      </c>
      <c r="B38" s="143" t="s">
        <v>498</v>
      </c>
      <c r="C38" s="148">
        <v>0</v>
      </c>
      <c r="D38" s="182"/>
      <c r="E38" s="259" t="s">
        <v>678</v>
      </c>
      <c r="F38" s="443"/>
      <c r="G38" s="258"/>
    </row>
    <row r="39" spans="1:7" ht="18" customHeight="1" x14ac:dyDescent="0.25">
      <c r="A39" s="136" t="s">
        <v>623</v>
      </c>
      <c r="B39" s="144" t="s">
        <v>499</v>
      </c>
      <c r="C39" s="148">
        <v>0</v>
      </c>
      <c r="D39" s="182"/>
      <c r="E39" s="259" t="s">
        <v>746</v>
      </c>
      <c r="F39" s="443"/>
      <c r="G39" s="258"/>
    </row>
    <row r="40" spans="1:7" ht="18" customHeight="1" x14ac:dyDescent="0.25">
      <c r="A40" s="136" t="s">
        <v>624</v>
      </c>
      <c r="B40" s="144" t="s">
        <v>500</v>
      </c>
      <c r="C40" s="148">
        <v>0</v>
      </c>
      <c r="D40" s="182"/>
      <c r="E40" s="259" t="s">
        <v>679</v>
      </c>
      <c r="F40" s="443"/>
      <c r="G40" s="258"/>
    </row>
    <row r="41" spans="1:7" ht="18" customHeight="1" x14ac:dyDescent="0.25">
      <c r="A41" s="136" t="s">
        <v>625</v>
      </c>
      <c r="B41" s="144">
        <v>45</v>
      </c>
      <c r="C41" s="148">
        <v>0</v>
      </c>
      <c r="D41" s="182"/>
      <c r="E41" s="259" t="s">
        <v>680</v>
      </c>
      <c r="F41" s="443"/>
      <c r="G41" s="258"/>
    </row>
    <row r="42" spans="1:7" ht="18" customHeight="1" x14ac:dyDescent="0.25">
      <c r="A42" s="136" t="s">
        <v>626</v>
      </c>
      <c r="B42" s="144" t="s">
        <v>501</v>
      </c>
      <c r="C42" s="148">
        <v>0</v>
      </c>
      <c r="D42" s="182"/>
      <c r="E42" s="259" t="s">
        <v>681</v>
      </c>
      <c r="F42" s="443"/>
      <c r="G42" s="258"/>
    </row>
    <row r="43" spans="1:7" ht="18" customHeight="1" x14ac:dyDescent="0.25">
      <c r="A43" s="136" t="s">
        <v>627</v>
      </c>
      <c r="B43" s="143" t="s">
        <v>496</v>
      </c>
      <c r="C43" s="148">
        <v>0</v>
      </c>
      <c r="D43" s="182"/>
      <c r="E43" s="259" t="s">
        <v>682</v>
      </c>
      <c r="F43" s="443"/>
      <c r="G43" s="258"/>
    </row>
    <row r="44" spans="1:7" ht="18" customHeight="1" thickBot="1" x14ac:dyDescent="0.3">
      <c r="A44" s="136" t="s">
        <v>628</v>
      </c>
      <c r="B44" s="144">
        <v>30</v>
      </c>
      <c r="C44" s="148">
        <v>0</v>
      </c>
      <c r="D44" s="182"/>
      <c r="E44" s="439"/>
      <c r="F44" s="444"/>
      <c r="G44" s="308"/>
    </row>
    <row r="45" spans="1:7" ht="18" customHeight="1" x14ac:dyDescent="0.25">
      <c r="A45" s="136" t="s">
        <v>629</v>
      </c>
      <c r="B45" s="144" t="s">
        <v>502</v>
      </c>
      <c r="C45" s="148">
        <v>0</v>
      </c>
      <c r="D45" s="182"/>
    </row>
    <row r="46" spans="1:7" ht="18" customHeight="1" x14ac:dyDescent="0.25">
      <c r="A46" s="136" t="s">
        <v>630</v>
      </c>
      <c r="B46" s="144">
        <v>40</v>
      </c>
      <c r="C46" s="148">
        <v>0</v>
      </c>
      <c r="D46" s="182"/>
    </row>
    <row r="47" spans="1:7" s="183" customFormat="1" ht="24" customHeight="1" thickBot="1" x14ac:dyDescent="0.3">
      <c r="A47" s="472" t="str">
        <f>IF(C24+C25+C27+C28+C29+C30+C31+C32+C33+C34&gt;C4, " The sum of Students in Spec Ed (01 though 98) is greater than the number of Students enrolled in cell C4","")</f>
        <v/>
      </c>
      <c r="B47" s="473"/>
      <c r="C47" s="473"/>
      <c r="D47" s="182"/>
    </row>
    <row r="48" spans="1:7" ht="34.5" customHeight="1" thickTop="1" thickBot="1" x14ac:dyDescent="0.25">
      <c r="A48" s="137" t="s">
        <v>61</v>
      </c>
      <c r="B48" s="137" t="s">
        <v>526</v>
      </c>
      <c r="C48" s="155" t="s">
        <v>733</v>
      </c>
      <c r="D48" s="157" t="s">
        <v>842</v>
      </c>
    </row>
    <row r="49" spans="1:5" ht="18" customHeight="1" thickTop="1" x14ac:dyDescent="0.25">
      <c r="A49" s="136" t="s">
        <v>521</v>
      </c>
      <c r="B49" s="145" t="s">
        <v>503</v>
      </c>
      <c r="C49" s="152">
        <v>0</v>
      </c>
      <c r="D49" s="156">
        <v>0</v>
      </c>
    </row>
    <row r="50" spans="1:5" ht="18" customHeight="1" x14ac:dyDescent="0.25">
      <c r="A50" s="136" t="s">
        <v>520</v>
      </c>
      <c r="B50" s="145" t="s">
        <v>504</v>
      </c>
      <c r="C50" s="152">
        <v>0</v>
      </c>
      <c r="D50" s="152">
        <v>0</v>
      </c>
    </row>
    <row r="51" spans="1:5" ht="18" customHeight="1" x14ac:dyDescent="0.25">
      <c r="A51" s="136" t="s">
        <v>522</v>
      </c>
      <c r="B51" s="145" t="s">
        <v>505</v>
      </c>
      <c r="C51" s="152">
        <v>0</v>
      </c>
      <c r="D51" s="152">
        <v>0</v>
      </c>
    </row>
    <row r="52" spans="1:5" ht="18" customHeight="1" x14ac:dyDescent="0.25">
      <c r="A52" s="136" t="s">
        <v>523</v>
      </c>
      <c r="B52" s="145" t="s">
        <v>506</v>
      </c>
      <c r="C52" s="152">
        <v>0</v>
      </c>
      <c r="D52" s="152">
        <v>0</v>
      </c>
      <c r="E52" s="182"/>
    </row>
    <row r="53" spans="1:5" ht="18" customHeight="1" x14ac:dyDescent="0.25">
      <c r="A53" s="136" t="s">
        <v>524</v>
      </c>
      <c r="B53" s="145" t="s">
        <v>507</v>
      </c>
      <c r="C53" s="152">
        <v>0</v>
      </c>
      <c r="D53" s="152">
        <v>0</v>
      </c>
      <c r="E53" s="182"/>
    </row>
    <row r="54" spans="1:5" ht="18" customHeight="1" x14ac:dyDescent="0.25">
      <c r="A54" s="136" t="s">
        <v>525</v>
      </c>
      <c r="B54" s="145" t="s">
        <v>508</v>
      </c>
      <c r="C54" s="152">
        <v>0</v>
      </c>
      <c r="D54" s="158">
        <v>0</v>
      </c>
      <c r="E54" s="182"/>
    </row>
    <row r="55" spans="1:5" ht="108" customHeight="1" x14ac:dyDescent="0.2">
      <c r="A55" s="513" t="s">
        <v>632</v>
      </c>
      <c r="B55" s="514"/>
      <c r="C55" s="155" t="s">
        <v>840</v>
      </c>
      <c r="D55" s="164" t="s">
        <v>841</v>
      </c>
      <c r="E55" s="182"/>
    </row>
    <row r="56" spans="1:5" ht="18" customHeight="1" x14ac:dyDescent="0.25">
      <c r="A56" s="515" t="s">
        <v>839</v>
      </c>
      <c r="B56" s="467"/>
      <c r="C56" s="148">
        <v>0</v>
      </c>
      <c r="D56" s="156">
        <v>0</v>
      </c>
      <c r="E56" s="182"/>
    </row>
    <row r="57" spans="1:5" s="183" customFormat="1" ht="21.75" customHeight="1" x14ac:dyDescent="0.25">
      <c r="A57" s="472" t="str">
        <f>IF(SUM(C49:C54)&gt;C4, "The sum of enrolled students in CTE (V1 though V6) is greater than the number of Students enrolled in cell C4","")</f>
        <v/>
      </c>
      <c r="B57" s="473"/>
      <c r="C57" s="473"/>
      <c r="D57" s="182"/>
      <c r="E57" s="182"/>
    </row>
    <row r="58" spans="1:5" ht="20.100000000000001" customHeight="1" x14ac:dyDescent="0.2">
      <c r="A58" s="511" t="s">
        <v>494</v>
      </c>
      <c r="B58" s="512"/>
      <c r="C58" s="149">
        <f>VLOOKUP(C1,'INITIAL SOF'!$B:$HD,15,FALSE)</f>
        <v>0</v>
      </c>
      <c r="D58" s="182"/>
      <c r="E58" s="182"/>
    </row>
    <row r="59" spans="1:5" ht="20.100000000000001" customHeight="1" x14ac:dyDescent="0.2">
      <c r="A59" s="493" t="s">
        <v>734</v>
      </c>
      <c r="B59" s="493"/>
      <c r="C59" s="150" t="s">
        <v>71</v>
      </c>
      <c r="D59" s="182"/>
      <c r="E59" s="182"/>
    </row>
    <row r="60" spans="1:5" ht="20.100000000000001" customHeight="1" x14ac:dyDescent="0.2">
      <c r="A60" s="493" t="s">
        <v>738</v>
      </c>
      <c r="B60" s="493"/>
      <c r="C60" s="190" t="str">
        <f>VLOOKUP($C$1,'Charter Data'!A:F,6,FALSE)</f>
        <v>NO</v>
      </c>
      <c r="D60" s="182"/>
      <c r="E60" s="182"/>
    </row>
    <row r="61" spans="1:5" ht="30" customHeight="1" x14ac:dyDescent="0.25">
      <c r="A61" s="510" t="s">
        <v>735</v>
      </c>
      <c r="B61" s="510"/>
      <c r="C61" s="242">
        <f>VLOOKUP(C1,'INITIAL SOF'!$B:$HD,52,FALSE)</f>
        <v>0</v>
      </c>
      <c r="D61" s="182"/>
      <c r="E61" s="182"/>
    </row>
    <row r="62" spans="1:5" ht="30" customHeight="1" x14ac:dyDescent="0.25">
      <c r="A62" s="510" t="s">
        <v>736</v>
      </c>
      <c r="B62" s="510"/>
      <c r="C62" s="242">
        <f>VLOOKUP(C1,'INITIAL SOF'!$B:$HD,94,FALSE)</f>
        <v>0</v>
      </c>
      <c r="D62" s="182"/>
      <c r="E62" s="182"/>
    </row>
    <row r="63" spans="1:5" ht="30" customHeight="1" x14ac:dyDescent="0.2">
      <c r="A63" s="509" t="s">
        <v>405</v>
      </c>
      <c r="B63" s="509"/>
      <c r="C63" s="146">
        <f>VLOOKUP(C1,'INITIAL SOF'!$B:$HD,79,FALSE)</f>
        <v>0</v>
      </c>
      <c r="D63" s="182"/>
      <c r="E63" s="182"/>
    </row>
    <row r="64" spans="1:5" ht="30" customHeight="1" x14ac:dyDescent="0.2">
      <c r="A64" s="163" t="s">
        <v>760</v>
      </c>
      <c r="B64" s="164" t="s">
        <v>737</v>
      </c>
      <c r="C64" s="151">
        <v>0</v>
      </c>
      <c r="D64" s="182"/>
      <c r="E64" s="182"/>
    </row>
    <row r="65" spans="1:5" ht="30" customHeight="1" x14ac:dyDescent="0.2">
      <c r="A65" s="163" t="s">
        <v>761</v>
      </c>
      <c r="B65" s="164" t="s">
        <v>737</v>
      </c>
      <c r="C65" s="151">
        <v>0</v>
      </c>
      <c r="D65" s="182"/>
      <c r="E65" s="182"/>
    </row>
    <row r="66" spans="1:5" ht="30" customHeight="1" x14ac:dyDescent="0.2">
      <c r="A66" s="163" t="s">
        <v>762</v>
      </c>
      <c r="B66" s="164" t="s">
        <v>737</v>
      </c>
      <c r="C66" s="151">
        <v>0</v>
      </c>
      <c r="D66" s="182"/>
      <c r="E66" s="182"/>
    </row>
    <row r="67" spans="1:5" ht="30" customHeight="1" x14ac:dyDescent="0.2">
      <c r="A67" s="163" t="s">
        <v>763</v>
      </c>
      <c r="B67" s="164" t="s">
        <v>737</v>
      </c>
      <c r="C67" s="151">
        <v>0</v>
      </c>
      <c r="D67" s="182"/>
      <c r="E67" s="182"/>
    </row>
    <row r="68" spans="1:5" ht="33" customHeight="1" x14ac:dyDescent="0.2">
      <c r="A68" s="505" t="s">
        <v>731</v>
      </c>
      <c r="B68" s="506"/>
      <c r="C68" s="506"/>
      <c r="D68" s="182"/>
      <c r="E68" s="182"/>
    </row>
    <row r="69" spans="1:5" ht="30" customHeight="1" x14ac:dyDescent="0.2">
      <c r="A69" s="209" t="s">
        <v>797</v>
      </c>
      <c r="B69" s="164" t="s">
        <v>737</v>
      </c>
      <c r="C69" s="151">
        <f>VLOOKUP('ESTIMATE DATA ENTRY '!$C$1,'HB3 Transp Est source 2018'!A:J,3,FALSE)</f>
        <v>0</v>
      </c>
      <c r="D69" s="182"/>
      <c r="E69" s="182"/>
    </row>
    <row r="70" spans="1:5" ht="33" customHeight="1" x14ac:dyDescent="0.2">
      <c r="A70" s="209" t="s">
        <v>808</v>
      </c>
      <c r="B70" s="208" t="s">
        <v>809</v>
      </c>
      <c r="C70" s="151">
        <f>VLOOKUP('ESTIMATE DATA ENTRY '!$C$1,'HB3 Transp Est source 2018'!A:J,5,FALSE)</f>
        <v>0</v>
      </c>
      <c r="D70" s="182"/>
      <c r="E70" s="182"/>
    </row>
    <row r="71" spans="1:5" ht="30" customHeight="1" x14ac:dyDescent="0.2">
      <c r="A71" s="508" t="s">
        <v>828</v>
      </c>
      <c r="B71" s="508"/>
      <c r="C71" s="151">
        <f>VLOOKUP('ESTIMATE DATA ENTRY '!$C$1,'INITIAL SOF'!B:HD,170,FALSE)</f>
        <v>0</v>
      </c>
      <c r="D71" s="182"/>
      <c r="E71" s="182"/>
    </row>
    <row r="72" spans="1:5" ht="30" customHeight="1" x14ac:dyDescent="0.2">
      <c r="A72" s="508" t="s">
        <v>97</v>
      </c>
      <c r="B72" s="508"/>
      <c r="C72" s="151">
        <f>VLOOKUP('ESTIMATE DATA ENTRY '!$C$1,'INITIAL SOF'!B:HD,171,FALSE)</f>
        <v>0</v>
      </c>
      <c r="D72" s="182"/>
      <c r="E72" s="182"/>
    </row>
    <row r="73" spans="1:5" ht="30" customHeight="1" x14ac:dyDescent="0.2">
      <c r="A73" s="508" t="s">
        <v>96</v>
      </c>
      <c r="B73" s="508"/>
      <c r="C73" s="151">
        <f>VLOOKUP('ESTIMATE DATA ENTRY '!$C$1,'INITIAL SOF'!B:HD,174,FALSE)</f>
        <v>0</v>
      </c>
      <c r="D73" s="182"/>
      <c r="E73" s="182"/>
    </row>
    <row r="74" spans="1:5" ht="35.1" customHeight="1" x14ac:dyDescent="0.25">
      <c r="A74" s="507" t="s">
        <v>741</v>
      </c>
      <c r="B74" s="507"/>
      <c r="C74" s="210">
        <f>SUM(C71:C73)</f>
        <v>0</v>
      </c>
      <c r="D74" s="182"/>
      <c r="E74" s="182"/>
    </row>
    <row r="75" spans="1:5" ht="33" customHeight="1" x14ac:dyDescent="0.2">
      <c r="A75" s="503" t="s">
        <v>745</v>
      </c>
      <c r="B75" s="504"/>
      <c r="C75" s="504"/>
      <c r="D75" s="182"/>
      <c r="E75" s="182"/>
    </row>
    <row r="76" spans="1:5" ht="35.1" customHeight="1" x14ac:dyDescent="0.2">
      <c r="A76" s="161" t="s">
        <v>751</v>
      </c>
      <c r="B76" s="500" t="s">
        <v>737</v>
      </c>
      <c r="C76" s="162">
        <v>0</v>
      </c>
      <c r="D76" s="182"/>
      <c r="E76" s="182"/>
    </row>
    <row r="77" spans="1:5" ht="30" customHeight="1" x14ac:dyDescent="0.2">
      <c r="A77" s="161" t="s">
        <v>834</v>
      </c>
      <c r="B77" s="501"/>
      <c r="C77" s="162">
        <v>0</v>
      </c>
      <c r="D77" s="182"/>
      <c r="E77" s="182"/>
    </row>
    <row r="78" spans="1:5" ht="30" customHeight="1" x14ac:dyDescent="0.2">
      <c r="A78" s="161" t="s">
        <v>750</v>
      </c>
      <c r="B78" s="502"/>
      <c r="C78" s="162">
        <v>0</v>
      </c>
      <c r="D78" s="182"/>
      <c r="E78" s="182"/>
    </row>
    <row r="79" spans="1:5" s="183" customFormat="1" x14ac:dyDescent="0.2">
      <c r="E79" s="182"/>
    </row>
    <row r="80" spans="1:5" s="183" customFormat="1" x14ac:dyDescent="0.2">
      <c r="E80" s="182"/>
    </row>
    <row r="81" spans="5:5" s="183" customFormat="1" x14ac:dyDescent="0.2">
      <c r="E81" s="182"/>
    </row>
    <row r="82" spans="5:5" s="183" customFormat="1" x14ac:dyDescent="0.2">
      <c r="E82" s="182"/>
    </row>
    <row r="83" spans="5:5" s="183" customFormat="1" x14ac:dyDescent="0.2">
      <c r="E83" s="182"/>
    </row>
    <row r="84" spans="5:5" s="183" customFormat="1" x14ac:dyDescent="0.2">
      <c r="E84" s="182"/>
    </row>
    <row r="85" spans="5:5" s="183" customFormat="1" x14ac:dyDescent="0.2">
      <c r="E85" s="182"/>
    </row>
    <row r="86" spans="5:5" s="183" customFormat="1" x14ac:dyDescent="0.2">
      <c r="E86" s="182"/>
    </row>
    <row r="87" spans="5:5" s="183" customFormat="1" x14ac:dyDescent="0.2">
      <c r="E87" s="182"/>
    </row>
    <row r="88" spans="5:5" s="183" customFormat="1" x14ac:dyDescent="0.2">
      <c r="E88" s="182"/>
    </row>
    <row r="89" spans="5:5" s="183" customFormat="1" x14ac:dyDescent="0.2">
      <c r="E89" s="182"/>
    </row>
    <row r="90" spans="5:5" s="183" customFormat="1" x14ac:dyDescent="0.2">
      <c r="E90" s="182"/>
    </row>
    <row r="91" spans="5:5" s="183" customFormat="1" x14ac:dyDescent="0.2">
      <c r="E91" s="182"/>
    </row>
    <row r="92" spans="5:5" s="183" customFormat="1" x14ac:dyDescent="0.2">
      <c r="E92" s="182"/>
    </row>
    <row r="93" spans="5:5" s="183" customFormat="1" x14ac:dyDescent="0.2">
      <c r="E93" s="182"/>
    </row>
    <row r="94" spans="5:5" s="183" customFormat="1" x14ac:dyDescent="0.2">
      <c r="E94" s="182"/>
    </row>
    <row r="95" spans="5:5" s="183" customFormat="1" x14ac:dyDescent="0.2">
      <c r="E95" s="182"/>
    </row>
    <row r="96" spans="5:5" s="183" customFormat="1" x14ac:dyDescent="0.2">
      <c r="E96" s="182"/>
    </row>
    <row r="97" s="183" customFormat="1" x14ac:dyDescent="0.2"/>
    <row r="98" s="183" customFormat="1" x14ac:dyDescent="0.2"/>
    <row r="99" s="183" customFormat="1" x14ac:dyDescent="0.2"/>
    <row r="100" s="183" customFormat="1" x14ac:dyDescent="0.2"/>
    <row r="101" s="183" customFormat="1" x14ac:dyDescent="0.2"/>
    <row r="102" s="183" customFormat="1" x14ac:dyDescent="0.2"/>
    <row r="103" s="183" customFormat="1" x14ac:dyDescent="0.2"/>
    <row r="104" s="183" customFormat="1" x14ac:dyDescent="0.2"/>
    <row r="105" s="183" customFormat="1" x14ac:dyDescent="0.2"/>
    <row r="106" s="183" customFormat="1" x14ac:dyDescent="0.2"/>
    <row r="107" s="183" customFormat="1" x14ac:dyDescent="0.2"/>
    <row r="108" s="183" customFormat="1" x14ac:dyDescent="0.2"/>
    <row r="109" s="183" customFormat="1" x14ac:dyDescent="0.2"/>
    <row r="110" s="183" customFormat="1" x14ac:dyDescent="0.2"/>
    <row r="111" s="183" customFormat="1" x14ac:dyDescent="0.2"/>
    <row r="112" s="183" customFormat="1" x14ac:dyDescent="0.2"/>
    <row r="113" s="183" customFormat="1" x14ac:dyDescent="0.2"/>
    <row r="114" s="183" customFormat="1" x14ac:dyDescent="0.2"/>
    <row r="115" s="183" customFormat="1" x14ac:dyDescent="0.2"/>
    <row r="116" s="183" customFormat="1" x14ac:dyDescent="0.2"/>
    <row r="117" s="183" customFormat="1" x14ac:dyDescent="0.2"/>
    <row r="118" s="183" customFormat="1" x14ac:dyDescent="0.2"/>
    <row r="119" s="183" customFormat="1" x14ac:dyDescent="0.2"/>
    <row r="120" s="183" customFormat="1" x14ac:dyDescent="0.2"/>
    <row r="121" s="183" customFormat="1" x14ac:dyDescent="0.2"/>
    <row r="122" s="183" customFormat="1" x14ac:dyDescent="0.2"/>
    <row r="123" s="183" customFormat="1" x14ac:dyDescent="0.2"/>
    <row r="124" s="183" customFormat="1" x14ac:dyDescent="0.2"/>
    <row r="125" s="183" customFormat="1" x14ac:dyDescent="0.2"/>
    <row r="126" s="183" customFormat="1" x14ac:dyDescent="0.2"/>
    <row r="127" s="183" customFormat="1" x14ac:dyDescent="0.2"/>
    <row r="128" s="183" customFormat="1" x14ac:dyDescent="0.2"/>
    <row r="129" s="183" customFormat="1" x14ac:dyDescent="0.2"/>
    <row r="130" s="183" customFormat="1" x14ac:dyDescent="0.2"/>
    <row r="131" s="183" customFormat="1" x14ac:dyDescent="0.2"/>
    <row r="132" s="183" customFormat="1" x14ac:dyDescent="0.2"/>
    <row r="133" s="183" customFormat="1" x14ac:dyDescent="0.2"/>
    <row r="134" s="183" customFormat="1" x14ac:dyDescent="0.2"/>
    <row r="135" s="183" customFormat="1" x14ac:dyDescent="0.2"/>
    <row r="136" s="183" customFormat="1" x14ac:dyDescent="0.2"/>
    <row r="137" s="183" customFormat="1" x14ac:dyDescent="0.2"/>
    <row r="138" s="183" customFormat="1" x14ac:dyDescent="0.2"/>
    <row r="139" s="183" customFormat="1" x14ac:dyDescent="0.2"/>
    <row r="140" s="183" customFormat="1" x14ac:dyDescent="0.2"/>
    <row r="141" s="183" customFormat="1" x14ac:dyDescent="0.2"/>
    <row r="142" s="183" customFormat="1" x14ac:dyDescent="0.2"/>
    <row r="143" s="183" customFormat="1" x14ac:dyDescent="0.2"/>
    <row r="144" s="183" customFormat="1" x14ac:dyDescent="0.2"/>
    <row r="145" s="183" customFormat="1" x14ac:dyDescent="0.2"/>
    <row r="146" s="183" customFormat="1" x14ac:dyDescent="0.2"/>
    <row r="147" s="183" customFormat="1" x14ac:dyDescent="0.2"/>
    <row r="148" s="183" customFormat="1" x14ac:dyDescent="0.2"/>
    <row r="149" s="183" customFormat="1" x14ac:dyDescent="0.2"/>
    <row r="150" s="183" customFormat="1" x14ac:dyDescent="0.2"/>
    <row r="151" s="183" customFormat="1" x14ac:dyDescent="0.2"/>
    <row r="152" s="183" customFormat="1" x14ac:dyDescent="0.2"/>
    <row r="153" s="183" customFormat="1" x14ac:dyDescent="0.2"/>
    <row r="154" s="183" customFormat="1" x14ac:dyDescent="0.2"/>
    <row r="155" s="183" customFormat="1" x14ac:dyDescent="0.2"/>
    <row r="156" s="183" customFormat="1" x14ac:dyDescent="0.2"/>
    <row r="157" s="183" customFormat="1" x14ac:dyDescent="0.2"/>
    <row r="158" s="183" customFormat="1" x14ac:dyDescent="0.2"/>
    <row r="159" s="183" customFormat="1" x14ac:dyDescent="0.2"/>
    <row r="160" s="183" customFormat="1" x14ac:dyDescent="0.2"/>
    <row r="161" s="183" customFormat="1" x14ac:dyDescent="0.2"/>
    <row r="162" s="183" customFormat="1" x14ac:dyDescent="0.2"/>
    <row r="163" s="183" customFormat="1" x14ac:dyDescent="0.2"/>
    <row r="164" s="183" customFormat="1" x14ac:dyDescent="0.2"/>
    <row r="165" s="183" customFormat="1" x14ac:dyDescent="0.2"/>
    <row r="166" s="183" customFormat="1" x14ac:dyDescent="0.2"/>
    <row r="167" s="183" customFormat="1" x14ac:dyDescent="0.2"/>
    <row r="168" s="183" customFormat="1" x14ac:dyDescent="0.2"/>
    <row r="169" s="183" customFormat="1" x14ac:dyDescent="0.2"/>
    <row r="170" s="183" customFormat="1" x14ac:dyDescent="0.2"/>
    <row r="171" s="183" customFormat="1" x14ac:dyDescent="0.2"/>
    <row r="172" s="183" customFormat="1" x14ac:dyDescent="0.2"/>
    <row r="173" s="183" customFormat="1" x14ac:dyDescent="0.2"/>
    <row r="174" s="183" customFormat="1" x14ac:dyDescent="0.2"/>
    <row r="175" s="183" customFormat="1" x14ac:dyDescent="0.2"/>
    <row r="176" s="183" customFormat="1" x14ac:dyDescent="0.2"/>
    <row r="177" s="183" customFormat="1" x14ac:dyDescent="0.2"/>
    <row r="178" s="183" customFormat="1" x14ac:dyDescent="0.2"/>
    <row r="179" s="183" customFormat="1" x14ac:dyDescent="0.2"/>
    <row r="180" s="183" customFormat="1" x14ac:dyDescent="0.2"/>
    <row r="181" s="183" customFormat="1" x14ac:dyDescent="0.2"/>
    <row r="182" s="183" customFormat="1" x14ac:dyDescent="0.2"/>
    <row r="183" s="183" customFormat="1" x14ac:dyDescent="0.2"/>
    <row r="184" s="183" customFormat="1" x14ac:dyDescent="0.2"/>
    <row r="185" s="183" customFormat="1" x14ac:dyDescent="0.2"/>
    <row r="186" s="183" customFormat="1" x14ac:dyDescent="0.2"/>
    <row r="187" s="183" customFormat="1" x14ac:dyDescent="0.2"/>
    <row r="188" s="183" customFormat="1" x14ac:dyDescent="0.2"/>
    <row r="189" s="183" customFormat="1" x14ac:dyDescent="0.2"/>
    <row r="190" s="183" customFormat="1" x14ac:dyDescent="0.2"/>
    <row r="191" s="183" customFormat="1" x14ac:dyDescent="0.2"/>
    <row r="192" s="183" customFormat="1" x14ac:dyDescent="0.2"/>
    <row r="193" s="183" customFormat="1" x14ac:dyDescent="0.2"/>
    <row r="194" s="183" customFormat="1" x14ac:dyDescent="0.2"/>
    <row r="195" s="183" customFormat="1" x14ac:dyDescent="0.2"/>
    <row r="196" s="183" customFormat="1" x14ac:dyDescent="0.2"/>
    <row r="197" s="183" customFormat="1" x14ac:dyDescent="0.2"/>
    <row r="198" s="183" customFormat="1" x14ac:dyDescent="0.2"/>
    <row r="199" s="183" customFormat="1" x14ac:dyDescent="0.2"/>
    <row r="200" s="183" customFormat="1" x14ac:dyDescent="0.2"/>
    <row r="201" s="183" customFormat="1" x14ac:dyDescent="0.2"/>
    <row r="202" s="183" customFormat="1" x14ac:dyDescent="0.2"/>
    <row r="203" s="183" customFormat="1" x14ac:dyDescent="0.2"/>
    <row r="204" s="183" customFormat="1" x14ac:dyDescent="0.2"/>
    <row r="205" s="183" customFormat="1" x14ac:dyDescent="0.2"/>
    <row r="206" s="183" customFormat="1" x14ac:dyDescent="0.2"/>
    <row r="207" s="183" customFormat="1" x14ac:dyDescent="0.2"/>
    <row r="208" s="183" customFormat="1" x14ac:dyDescent="0.2"/>
    <row r="209" s="183" customFormat="1" x14ac:dyDescent="0.2"/>
    <row r="210" s="183" customFormat="1" x14ac:dyDescent="0.2"/>
    <row r="211" s="183" customFormat="1" x14ac:dyDescent="0.2"/>
    <row r="212" s="183" customFormat="1" x14ac:dyDescent="0.2"/>
    <row r="213" s="183" customFormat="1" x14ac:dyDescent="0.2"/>
    <row r="214" s="183" customFormat="1" x14ac:dyDescent="0.2"/>
    <row r="215" s="183" customFormat="1" x14ac:dyDescent="0.2"/>
    <row r="216" s="183" customFormat="1" x14ac:dyDescent="0.2"/>
    <row r="217" s="183" customFormat="1" x14ac:dyDescent="0.2"/>
    <row r="218" s="183" customFormat="1" x14ac:dyDescent="0.2"/>
    <row r="219" s="183" customFormat="1" x14ac:dyDescent="0.2"/>
    <row r="220" s="183" customFormat="1" x14ac:dyDescent="0.2"/>
    <row r="221" s="183" customFormat="1" x14ac:dyDescent="0.2"/>
    <row r="222" s="183" customFormat="1" x14ac:dyDescent="0.2"/>
    <row r="223" s="183" customFormat="1" x14ac:dyDescent="0.2"/>
    <row r="224" s="183" customFormat="1" x14ac:dyDescent="0.2"/>
    <row r="225" s="183" customFormat="1" x14ac:dyDescent="0.2"/>
    <row r="226" s="183" customFormat="1" x14ac:dyDescent="0.2"/>
    <row r="227" s="183" customFormat="1" x14ac:dyDescent="0.2"/>
    <row r="228" s="183" customFormat="1" x14ac:dyDescent="0.2"/>
    <row r="229" s="183" customFormat="1" x14ac:dyDescent="0.2"/>
    <row r="230" s="183" customFormat="1" x14ac:dyDescent="0.2"/>
    <row r="231" s="183" customFormat="1" x14ac:dyDescent="0.2"/>
    <row r="232" s="183" customFormat="1" x14ac:dyDescent="0.2"/>
    <row r="233" s="183" customFormat="1" x14ac:dyDescent="0.2"/>
    <row r="234" s="183" customFormat="1" x14ac:dyDescent="0.2"/>
    <row r="235" s="183" customFormat="1" x14ac:dyDescent="0.2"/>
    <row r="236" s="183" customFormat="1" x14ac:dyDescent="0.2"/>
    <row r="237" s="183" customFormat="1" x14ac:dyDescent="0.2"/>
    <row r="238" s="183" customFormat="1" x14ac:dyDescent="0.2"/>
    <row r="239" s="183" customFormat="1" x14ac:dyDescent="0.2"/>
    <row r="240" s="183" customFormat="1" x14ac:dyDescent="0.2"/>
    <row r="241" s="183" customFormat="1" x14ac:dyDescent="0.2"/>
    <row r="242" s="183" customFormat="1" x14ac:dyDescent="0.2"/>
    <row r="243" s="183" customFormat="1" x14ac:dyDescent="0.2"/>
    <row r="244" s="183" customFormat="1" x14ac:dyDescent="0.2"/>
    <row r="245" s="183" customFormat="1" x14ac:dyDescent="0.2"/>
    <row r="246" s="183" customFormat="1" x14ac:dyDescent="0.2"/>
    <row r="247" s="183" customFormat="1" x14ac:dyDescent="0.2"/>
    <row r="248" s="183" customFormat="1" x14ac:dyDescent="0.2"/>
    <row r="249" s="183" customFormat="1" x14ac:dyDescent="0.2"/>
    <row r="250" s="183" customFormat="1" x14ac:dyDescent="0.2"/>
    <row r="251" s="183" customFormat="1" x14ac:dyDescent="0.2"/>
    <row r="252" s="183" customFormat="1" x14ac:dyDescent="0.2"/>
    <row r="253" s="183" customFormat="1" x14ac:dyDescent="0.2"/>
    <row r="254" s="183" customFormat="1" x14ac:dyDescent="0.2"/>
    <row r="255" s="183" customFormat="1" x14ac:dyDescent="0.2"/>
    <row r="256" s="183" customFormat="1" x14ac:dyDescent="0.2"/>
    <row r="257" s="183" customFormat="1" x14ac:dyDescent="0.2"/>
    <row r="258" s="183" customFormat="1" x14ac:dyDescent="0.2"/>
    <row r="259" s="183" customFormat="1" x14ac:dyDescent="0.2"/>
    <row r="260" s="183" customFormat="1" x14ac:dyDescent="0.2"/>
    <row r="261" s="183" customFormat="1" x14ac:dyDescent="0.2"/>
    <row r="262" s="183" customFormat="1" x14ac:dyDescent="0.2"/>
    <row r="263" s="183" customFormat="1" x14ac:dyDescent="0.2"/>
    <row r="264" s="183" customFormat="1" x14ac:dyDescent="0.2"/>
    <row r="265" s="183" customFormat="1" x14ac:dyDescent="0.2"/>
    <row r="266" s="183" customFormat="1" x14ac:dyDescent="0.2"/>
    <row r="267" s="183" customFormat="1" x14ac:dyDescent="0.2"/>
    <row r="268" s="183" customFormat="1" x14ac:dyDescent="0.2"/>
    <row r="269" s="183" customFormat="1" x14ac:dyDescent="0.2"/>
    <row r="270" s="183" customFormat="1" x14ac:dyDescent="0.2"/>
    <row r="271" s="183" customFormat="1" x14ac:dyDescent="0.2"/>
    <row r="272" s="183" customFormat="1" x14ac:dyDescent="0.2"/>
    <row r="273" s="183" customFormat="1" x14ac:dyDescent="0.2"/>
    <row r="274" s="183" customFormat="1" x14ac:dyDescent="0.2"/>
    <row r="275" s="183" customFormat="1" x14ac:dyDescent="0.2"/>
    <row r="276" s="183" customFormat="1" x14ac:dyDescent="0.2"/>
    <row r="277" s="183" customFormat="1" x14ac:dyDescent="0.2"/>
    <row r="278" s="183" customFormat="1" x14ac:dyDescent="0.2"/>
    <row r="279" s="183" customFormat="1" x14ac:dyDescent="0.2"/>
    <row r="280" s="183" customFormat="1" x14ac:dyDescent="0.2"/>
    <row r="281" s="183" customFormat="1" x14ac:dyDescent="0.2"/>
    <row r="282" s="183" customFormat="1" x14ac:dyDescent="0.2"/>
    <row r="283" s="183" customFormat="1" x14ac:dyDescent="0.2"/>
    <row r="284" s="183" customFormat="1" x14ac:dyDescent="0.2"/>
    <row r="285" s="183" customFormat="1" x14ac:dyDescent="0.2"/>
    <row r="286" s="183" customFormat="1" x14ac:dyDescent="0.2"/>
    <row r="287" s="183" customFormat="1" x14ac:dyDescent="0.2"/>
    <row r="288" s="183" customFormat="1" x14ac:dyDescent="0.2"/>
    <row r="289" s="183" customFormat="1" x14ac:dyDescent="0.2"/>
    <row r="290" s="183" customFormat="1" x14ac:dyDescent="0.2"/>
    <row r="291" s="183" customFormat="1" x14ac:dyDescent="0.2"/>
    <row r="292" s="183" customFormat="1" x14ac:dyDescent="0.2"/>
    <row r="293" s="183" customFormat="1" x14ac:dyDescent="0.2"/>
    <row r="294" s="183" customFormat="1" x14ac:dyDescent="0.2"/>
    <row r="295" s="183" customFormat="1" x14ac:dyDescent="0.2"/>
    <row r="296" s="183" customFormat="1" x14ac:dyDescent="0.2"/>
    <row r="297" s="183" customFormat="1" x14ac:dyDescent="0.2"/>
    <row r="298" s="183" customFormat="1" x14ac:dyDescent="0.2"/>
    <row r="299" s="183" customFormat="1" x14ac:dyDescent="0.2"/>
    <row r="300" s="183" customFormat="1" x14ac:dyDescent="0.2"/>
    <row r="301" s="183" customFormat="1" x14ac:dyDescent="0.2"/>
    <row r="302" s="183" customFormat="1" x14ac:dyDescent="0.2"/>
    <row r="303" s="183" customFormat="1" x14ac:dyDescent="0.2"/>
    <row r="304" s="183" customFormat="1" x14ac:dyDescent="0.2"/>
    <row r="305" spans="1:3" s="183" customFormat="1" x14ac:dyDescent="0.2"/>
    <row r="306" spans="1:3" s="183" customFormat="1" x14ac:dyDescent="0.2"/>
    <row r="307" spans="1:3" s="183" customFormat="1" x14ac:dyDescent="0.2"/>
    <row r="308" spans="1:3" s="183" customFormat="1" x14ac:dyDescent="0.2"/>
    <row r="309" spans="1:3" s="183" customFormat="1" x14ac:dyDescent="0.2"/>
    <row r="310" spans="1:3" s="183" customFormat="1" x14ac:dyDescent="0.2"/>
    <row r="311" spans="1:3" s="183" customFormat="1" x14ac:dyDescent="0.2"/>
    <row r="312" spans="1:3" s="183" customFormat="1" x14ac:dyDescent="0.2"/>
    <row r="313" spans="1:3" s="183" customFormat="1" x14ac:dyDescent="0.2"/>
    <row r="314" spans="1:3" s="183" customFormat="1" x14ac:dyDescent="0.2"/>
    <row r="315" spans="1:3" s="183" customFormat="1" x14ac:dyDescent="0.2"/>
    <row r="316" spans="1:3" s="183" customFormat="1" x14ac:dyDescent="0.2"/>
    <row r="317" spans="1:3" s="183" customFormat="1" x14ac:dyDescent="0.2">
      <c r="A317" s="188"/>
      <c r="B317" s="188"/>
      <c r="C317" s="188"/>
    </row>
    <row r="318" spans="1:3" s="183" customFormat="1" x14ac:dyDescent="0.2">
      <c r="A318" s="188"/>
      <c r="B318" s="188"/>
      <c r="C318" s="188"/>
    </row>
    <row r="319" spans="1:3" s="183" customFormat="1" x14ac:dyDescent="0.2">
      <c r="A319" s="188"/>
      <c r="B319" s="188"/>
      <c r="C319" s="188"/>
    </row>
    <row r="320" spans="1:3" s="183" customFormat="1" x14ac:dyDescent="0.2">
      <c r="A320" s="188"/>
      <c r="B320" s="188"/>
      <c r="C320" s="188"/>
    </row>
    <row r="321" spans="1:3" s="183" customFormat="1" x14ac:dyDescent="0.2">
      <c r="A321" s="188"/>
      <c r="B321" s="188"/>
      <c r="C321" s="188"/>
    </row>
    <row r="322" spans="1:3" s="183" customFormat="1" x14ac:dyDescent="0.2">
      <c r="A322" s="188"/>
      <c r="B322" s="188"/>
      <c r="C322" s="188"/>
    </row>
    <row r="323" spans="1:3" s="183" customFormat="1" x14ac:dyDescent="0.2">
      <c r="A323" s="188"/>
      <c r="B323" s="188"/>
      <c r="C323" s="188"/>
    </row>
    <row r="324" spans="1:3" s="183" customFormat="1" x14ac:dyDescent="0.2">
      <c r="A324" s="188"/>
      <c r="B324" s="188"/>
      <c r="C324" s="188"/>
    </row>
    <row r="325" spans="1:3" s="183" customFormat="1" x14ac:dyDescent="0.2">
      <c r="A325" s="188"/>
      <c r="B325" s="188"/>
      <c r="C325" s="188"/>
    </row>
    <row r="326" spans="1:3" s="183" customFormat="1" x14ac:dyDescent="0.2">
      <c r="A326" s="188"/>
      <c r="B326" s="188"/>
      <c r="C326" s="188"/>
    </row>
    <row r="327" spans="1:3" s="183" customFormat="1" x14ac:dyDescent="0.2">
      <c r="A327" s="188"/>
      <c r="B327" s="188"/>
      <c r="C327" s="188"/>
    </row>
    <row r="328" spans="1:3" s="183" customFormat="1" x14ac:dyDescent="0.2">
      <c r="A328" s="188"/>
      <c r="B328" s="188"/>
      <c r="C328" s="188"/>
    </row>
    <row r="329" spans="1:3" s="183" customFormat="1" x14ac:dyDescent="0.2">
      <c r="A329" s="188"/>
      <c r="B329" s="188"/>
      <c r="C329" s="188"/>
    </row>
    <row r="330" spans="1:3" s="183" customFormat="1" x14ac:dyDescent="0.2">
      <c r="A330" s="188"/>
      <c r="B330" s="188"/>
      <c r="C330" s="188"/>
    </row>
    <row r="331" spans="1:3" s="183" customFormat="1" x14ac:dyDescent="0.2">
      <c r="A331" s="188"/>
      <c r="B331" s="188"/>
      <c r="C331" s="188"/>
    </row>
    <row r="332" spans="1:3" s="183" customFormat="1" x14ac:dyDescent="0.2">
      <c r="A332" s="188"/>
      <c r="B332" s="188"/>
      <c r="C332" s="188"/>
    </row>
    <row r="333" spans="1:3" s="183" customFormat="1" x14ac:dyDescent="0.2">
      <c r="A333" s="188"/>
      <c r="B333" s="188"/>
      <c r="C333" s="188"/>
    </row>
    <row r="334" spans="1:3" s="183" customFormat="1" x14ac:dyDescent="0.2">
      <c r="A334" s="188"/>
      <c r="B334" s="188"/>
      <c r="C334" s="188"/>
    </row>
    <row r="335" spans="1:3" s="183" customFormat="1" x14ac:dyDescent="0.2">
      <c r="A335" s="188"/>
      <c r="B335" s="188"/>
      <c r="C335" s="188"/>
    </row>
    <row r="336" spans="1:3" s="183" customFormat="1" x14ac:dyDescent="0.2">
      <c r="A336" s="188"/>
      <c r="B336" s="188"/>
      <c r="C336" s="188"/>
    </row>
    <row r="337" spans="1:3" s="183" customFormat="1" x14ac:dyDescent="0.2">
      <c r="A337" s="188"/>
      <c r="B337" s="188"/>
      <c r="C337" s="188"/>
    </row>
    <row r="338" spans="1:3" s="183" customFormat="1" x14ac:dyDescent="0.2">
      <c r="A338" s="188"/>
      <c r="B338" s="188"/>
      <c r="C338" s="188"/>
    </row>
    <row r="339" spans="1:3" s="183" customFormat="1" x14ac:dyDescent="0.2">
      <c r="A339" s="188"/>
      <c r="B339" s="188"/>
      <c r="C339" s="188"/>
    </row>
    <row r="340" spans="1:3" s="183" customFormat="1" x14ac:dyDescent="0.2">
      <c r="A340" s="188"/>
      <c r="B340" s="188"/>
      <c r="C340" s="188"/>
    </row>
    <row r="341" spans="1:3" s="183" customFormat="1" x14ac:dyDescent="0.2">
      <c r="A341" s="188"/>
      <c r="B341" s="188"/>
      <c r="C341" s="188"/>
    </row>
    <row r="342" spans="1:3" s="183" customFormat="1" x14ac:dyDescent="0.2">
      <c r="A342" s="188"/>
      <c r="B342" s="188"/>
      <c r="C342" s="188"/>
    </row>
    <row r="343" spans="1:3" s="183" customFormat="1" x14ac:dyDescent="0.2">
      <c r="A343" s="188"/>
      <c r="B343" s="188"/>
      <c r="C343" s="188"/>
    </row>
    <row r="344" spans="1:3" s="183" customFormat="1" x14ac:dyDescent="0.2">
      <c r="A344" s="188"/>
      <c r="B344" s="188"/>
      <c r="C344" s="188"/>
    </row>
    <row r="345" spans="1:3" s="183" customFormat="1" x14ac:dyDescent="0.2">
      <c r="A345" s="188"/>
      <c r="B345" s="188"/>
      <c r="C345" s="188"/>
    </row>
    <row r="346" spans="1:3" s="183" customFormat="1" x14ac:dyDescent="0.2">
      <c r="A346" s="188"/>
      <c r="B346" s="188"/>
      <c r="C346" s="188"/>
    </row>
    <row r="347" spans="1:3" s="183" customFormat="1" x14ac:dyDescent="0.2">
      <c r="A347" s="188"/>
      <c r="B347" s="188"/>
      <c r="C347" s="188"/>
    </row>
    <row r="348" spans="1:3" s="183" customFormat="1" x14ac:dyDescent="0.2">
      <c r="A348" s="188"/>
      <c r="B348" s="188"/>
      <c r="C348" s="188"/>
    </row>
    <row r="349" spans="1:3" s="183" customFormat="1" x14ac:dyDescent="0.2">
      <c r="A349" s="188"/>
      <c r="B349" s="188"/>
      <c r="C349" s="188"/>
    </row>
    <row r="350" spans="1:3" s="183" customFormat="1" x14ac:dyDescent="0.2">
      <c r="A350" s="188"/>
      <c r="B350" s="188"/>
      <c r="C350" s="188"/>
    </row>
    <row r="351" spans="1:3" s="183" customFormat="1" x14ac:dyDescent="0.2">
      <c r="A351" s="188"/>
      <c r="B351" s="188"/>
      <c r="C351" s="188"/>
    </row>
    <row r="352" spans="1:3" s="183" customFormat="1" x14ac:dyDescent="0.2">
      <c r="A352" s="188"/>
      <c r="B352" s="188"/>
      <c r="C352" s="188"/>
    </row>
    <row r="353" spans="1:3" s="183" customFormat="1" x14ac:dyDescent="0.2">
      <c r="A353" s="188"/>
      <c r="B353" s="188"/>
      <c r="C353" s="188"/>
    </row>
    <row r="354" spans="1:3" s="183" customFormat="1" x14ac:dyDescent="0.2">
      <c r="A354" s="188"/>
      <c r="B354" s="188"/>
      <c r="C354" s="188"/>
    </row>
    <row r="355" spans="1:3" s="183" customFormat="1" x14ac:dyDescent="0.2">
      <c r="A355" s="188"/>
      <c r="B355" s="188"/>
      <c r="C355" s="188"/>
    </row>
    <row r="356" spans="1:3" s="183" customFormat="1" x14ac:dyDescent="0.2">
      <c r="A356" s="188"/>
      <c r="B356" s="188"/>
      <c r="C356" s="188"/>
    </row>
    <row r="357" spans="1:3" s="183" customFormat="1" x14ac:dyDescent="0.2">
      <c r="A357" s="188"/>
      <c r="B357" s="188"/>
      <c r="C357" s="188"/>
    </row>
    <row r="358" spans="1:3" s="183" customFormat="1" x14ac:dyDescent="0.2">
      <c r="A358" s="188"/>
      <c r="B358" s="188"/>
      <c r="C358" s="188"/>
    </row>
    <row r="359" spans="1:3" s="183" customFormat="1" x14ac:dyDescent="0.2">
      <c r="A359" s="188"/>
      <c r="B359" s="188"/>
      <c r="C359" s="188"/>
    </row>
    <row r="360" spans="1:3" s="183" customFormat="1" x14ac:dyDescent="0.2">
      <c r="A360" s="188"/>
      <c r="B360" s="188"/>
      <c r="C360" s="188"/>
    </row>
    <row r="361" spans="1:3" s="183" customFormat="1" x14ac:dyDescent="0.2">
      <c r="A361" s="188"/>
      <c r="B361" s="188"/>
      <c r="C361" s="188"/>
    </row>
    <row r="362" spans="1:3" s="183" customFormat="1" x14ac:dyDescent="0.2">
      <c r="A362" s="188"/>
      <c r="B362" s="188"/>
      <c r="C362" s="188"/>
    </row>
    <row r="363" spans="1:3" s="183" customFormat="1" x14ac:dyDescent="0.2">
      <c r="A363" s="188"/>
      <c r="B363" s="188"/>
      <c r="C363" s="188"/>
    </row>
    <row r="364" spans="1:3" s="183" customFormat="1" x14ac:dyDescent="0.2">
      <c r="A364" s="188"/>
      <c r="B364" s="188"/>
      <c r="C364" s="188"/>
    </row>
    <row r="365" spans="1:3" s="183" customFormat="1" x14ac:dyDescent="0.2">
      <c r="A365" s="188"/>
      <c r="B365" s="188"/>
      <c r="C365" s="188"/>
    </row>
    <row r="366" spans="1:3" s="183" customFormat="1" x14ac:dyDescent="0.2">
      <c r="A366" s="188"/>
      <c r="B366" s="188"/>
      <c r="C366" s="188"/>
    </row>
    <row r="367" spans="1:3" s="183" customFormat="1" x14ac:dyDescent="0.2">
      <c r="A367" s="188"/>
      <c r="B367" s="188"/>
      <c r="C367" s="188"/>
    </row>
    <row r="368" spans="1:3" s="183" customFormat="1" x14ac:dyDescent="0.2">
      <c r="A368" s="188"/>
      <c r="B368" s="188"/>
      <c r="C368" s="188"/>
    </row>
    <row r="369" spans="1:3" s="183" customFormat="1" x14ac:dyDescent="0.2">
      <c r="A369" s="188"/>
      <c r="B369" s="188"/>
      <c r="C369" s="188"/>
    </row>
    <row r="370" spans="1:3" s="183" customFormat="1" x14ac:dyDescent="0.2">
      <c r="A370" s="188"/>
      <c r="B370" s="188"/>
      <c r="C370" s="188"/>
    </row>
    <row r="371" spans="1:3" s="183" customFormat="1" x14ac:dyDescent="0.2">
      <c r="A371" s="188"/>
      <c r="B371" s="188"/>
      <c r="C371" s="188"/>
    </row>
    <row r="372" spans="1:3" s="183" customFormat="1" x14ac:dyDescent="0.2">
      <c r="A372" s="188"/>
      <c r="B372" s="188"/>
      <c r="C372" s="188"/>
    </row>
    <row r="373" spans="1:3" s="183" customFormat="1" x14ac:dyDescent="0.2">
      <c r="A373" s="188"/>
      <c r="B373" s="188"/>
      <c r="C373" s="188"/>
    </row>
    <row r="374" spans="1:3" s="183" customFormat="1" x14ac:dyDescent="0.2">
      <c r="A374" s="188"/>
      <c r="B374" s="188"/>
      <c r="C374" s="188"/>
    </row>
    <row r="375" spans="1:3" s="183" customFormat="1" x14ac:dyDescent="0.2">
      <c r="A375" s="188"/>
      <c r="B375" s="188"/>
      <c r="C375" s="188"/>
    </row>
    <row r="376" spans="1:3" s="183" customFormat="1" x14ac:dyDescent="0.2">
      <c r="A376" s="188"/>
      <c r="B376" s="188"/>
      <c r="C376" s="188"/>
    </row>
    <row r="377" spans="1:3" s="183" customFormat="1" x14ac:dyDescent="0.2">
      <c r="A377" s="188"/>
      <c r="B377" s="188"/>
      <c r="C377" s="188"/>
    </row>
    <row r="378" spans="1:3" s="183" customFormat="1" x14ac:dyDescent="0.2">
      <c r="A378" s="188"/>
      <c r="B378" s="188"/>
      <c r="C378" s="188"/>
    </row>
    <row r="379" spans="1:3" s="183" customFormat="1" x14ac:dyDescent="0.2">
      <c r="A379" s="188"/>
      <c r="B379" s="188"/>
      <c r="C379" s="188"/>
    </row>
    <row r="380" spans="1:3" s="183" customFormat="1" x14ac:dyDescent="0.2">
      <c r="A380" s="188"/>
      <c r="B380" s="188"/>
      <c r="C380" s="188"/>
    </row>
    <row r="381" spans="1:3" s="183" customFormat="1" x14ac:dyDescent="0.2">
      <c r="A381" s="188"/>
      <c r="B381" s="188"/>
      <c r="C381" s="188"/>
    </row>
    <row r="382" spans="1:3" s="183" customFormat="1" x14ac:dyDescent="0.2">
      <c r="A382" s="188"/>
      <c r="B382" s="188"/>
      <c r="C382" s="188"/>
    </row>
    <row r="383" spans="1:3" s="183" customFormat="1" x14ac:dyDescent="0.2">
      <c r="A383" s="188"/>
      <c r="B383" s="188"/>
      <c r="C383" s="188"/>
    </row>
    <row r="384" spans="1:3" s="183" customFormat="1" x14ac:dyDescent="0.2">
      <c r="A384" s="188"/>
      <c r="B384" s="188"/>
      <c r="C384" s="188"/>
    </row>
    <row r="385" spans="1:3" s="183" customFormat="1" x14ac:dyDescent="0.2">
      <c r="A385" s="188"/>
      <c r="B385" s="188"/>
      <c r="C385" s="188"/>
    </row>
    <row r="386" spans="1:3" s="183" customFormat="1" x14ac:dyDescent="0.2">
      <c r="A386" s="188"/>
      <c r="B386" s="188"/>
      <c r="C386" s="188"/>
    </row>
    <row r="387" spans="1:3" s="183" customFormat="1" x14ac:dyDescent="0.2">
      <c r="A387" s="188"/>
      <c r="B387" s="188"/>
      <c r="C387" s="188"/>
    </row>
    <row r="388" spans="1:3" s="183" customFormat="1" x14ac:dyDescent="0.2">
      <c r="A388" s="188"/>
      <c r="B388" s="188"/>
      <c r="C388" s="188"/>
    </row>
    <row r="389" spans="1:3" s="183" customFormat="1" x14ac:dyDescent="0.2">
      <c r="A389" s="188"/>
      <c r="B389" s="188"/>
      <c r="C389" s="188"/>
    </row>
    <row r="390" spans="1:3" s="183" customFormat="1" x14ac:dyDescent="0.2">
      <c r="A390" s="188"/>
      <c r="B390" s="188"/>
      <c r="C390" s="188"/>
    </row>
    <row r="391" spans="1:3" s="183" customFormat="1" x14ac:dyDescent="0.2">
      <c r="A391" s="188"/>
      <c r="B391" s="188"/>
      <c r="C391" s="188"/>
    </row>
    <row r="392" spans="1:3" s="183" customFormat="1" x14ac:dyDescent="0.2">
      <c r="A392" s="188"/>
      <c r="B392" s="188"/>
      <c r="C392" s="188"/>
    </row>
    <row r="393" spans="1:3" s="183" customFormat="1" x14ac:dyDescent="0.2">
      <c r="A393" s="188"/>
      <c r="B393" s="188"/>
      <c r="C393" s="188"/>
    </row>
    <row r="394" spans="1:3" s="183" customFormat="1" x14ac:dyDescent="0.2">
      <c r="A394" s="188"/>
      <c r="B394" s="188"/>
      <c r="C394" s="188"/>
    </row>
    <row r="395" spans="1:3" s="183" customFormat="1" x14ac:dyDescent="0.2">
      <c r="A395" s="188"/>
      <c r="B395" s="188"/>
      <c r="C395" s="188"/>
    </row>
    <row r="396" spans="1:3" s="183" customFormat="1" x14ac:dyDescent="0.2">
      <c r="A396" s="188"/>
      <c r="B396" s="188"/>
      <c r="C396" s="188"/>
    </row>
    <row r="397" spans="1:3" s="183" customFormat="1" x14ac:dyDescent="0.2">
      <c r="A397" s="188"/>
      <c r="B397" s="188"/>
      <c r="C397" s="188"/>
    </row>
    <row r="398" spans="1:3" s="183" customFormat="1" x14ac:dyDescent="0.2">
      <c r="A398" s="188"/>
      <c r="B398" s="188"/>
      <c r="C398" s="188"/>
    </row>
    <row r="399" spans="1:3" s="183" customFormat="1" x14ac:dyDescent="0.2">
      <c r="A399" s="188"/>
      <c r="B399" s="188"/>
      <c r="C399" s="188"/>
    </row>
    <row r="400" spans="1:3" s="183" customFormat="1" x14ac:dyDescent="0.2">
      <c r="A400" s="188"/>
      <c r="B400" s="188"/>
      <c r="C400" s="188"/>
    </row>
    <row r="401" spans="1:3" s="183" customFormat="1" x14ac:dyDescent="0.2">
      <c r="A401" s="188"/>
      <c r="B401" s="188"/>
      <c r="C401" s="188"/>
    </row>
    <row r="402" spans="1:3" s="183" customFormat="1" x14ac:dyDescent="0.2">
      <c r="A402" s="188"/>
      <c r="B402" s="188"/>
      <c r="C402" s="188"/>
    </row>
    <row r="403" spans="1:3" s="183" customFormat="1" x14ac:dyDescent="0.2">
      <c r="A403" s="188"/>
      <c r="B403" s="188"/>
      <c r="C403" s="188"/>
    </row>
    <row r="404" spans="1:3" s="183" customFormat="1" x14ac:dyDescent="0.2">
      <c r="A404" s="188"/>
      <c r="B404" s="188"/>
      <c r="C404" s="188"/>
    </row>
    <row r="405" spans="1:3" s="183" customFormat="1" x14ac:dyDescent="0.2">
      <c r="A405" s="188"/>
      <c r="B405" s="188"/>
      <c r="C405" s="188"/>
    </row>
    <row r="406" spans="1:3" s="183" customFormat="1" x14ac:dyDescent="0.2">
      <c r="A406" s="188"/>
      <c r="B406" s="188"/>
      <c r="C406" s="188"/>
    </row>
    <row r="407" spans="1:3" s="183" customFormat="1" x14ac:dyDescent="0.2">
      <c r="A407" s="188"/>
      <c r="B407" s="188"/>
      <c r="C407" s="188"/>
    </row>
    <row r="408" spans="1:3" s="183" customFormat="1" x14ac:dyDescent="0.2">
      <c r="A408" s="188"/>
      <c r="B408" s="188"/>
      <c r="C408" s="188"/>
    </row>
    <row r="409" spans="1:3" s="183" customFormat="1" x14ac:dyDescent="0.2">
      <c r="A409" s="188"/>
      <c r="B409" s="188"/>
      <c r="C409" s="188"/>
    </row>
    <row r="410" spans="1:3" s="183" customFormat="1" x14ac:dyDescent="0.2">
      <c r="A410" s="188"/>
      <c r="B410" s="188"/>
      <c r="C410" s="188"/>
    </row>
    <row r="411" spans="1:3" s="183" customFormat="1" x14ac:dyDescent="0.2">
      <c r="A411" s="188"/>
      <c r="B411" s="188"/>
      <c r="C411" s="188"/>
    </row>
    <row r="412" spans="1:3" s="183" customFormat="1" x14ac:dyDescent="0.2">
      <c r="A412" s="188"/>
      <c r="B412" s="188"/>
      <c r="C412" s="188"/>
    </row>
    <row r="413" spans="1:3" s="183" customFormat="1" x14ac:dyDescent="0.2">
      <c r="A413" s="188"/>
      <c r="B413" s="188"/>
      <c r="C413" s="188"/>
    </row>
    <row r="414" spans="1:3" s="183" customFormat="1" x14ac:dyDescent="0.2">
      <c r="A414" s="188"/>
      <c r="B414" s="188"/>
      <c r="C414" s="188"/>
    </row>
    <row r="415" spans="1:3" s="183" customFormat="1" x14ac:dyDescent="0.2">
      <c r="A415" s="188"/>
      <c r="B415" s="188"/>
      <c r="C415" s="188"/>
    </row>
    <row r="416" spans="1:3" s="183" customFormat="1" x14ac:dyDescent="0.2">
      <c r="A416" s="188"/>
      <c r="B416" s="188"/>
      <c r="C416" s="188"/>
    </row>
    <row r="417" spans="1:3" s="183" customFormat="1" x14ac:dyDescent="0.2">
      <c r="A417" s="188"/>
      <c r="B417" s="188"/>
      <c r="C417" s="188"/>
    </row>
    <row r="418" spans="1:3" s="183" customFormat="1" x14ac:dyDescent="0.2">
      <c r="A418" s="188"/>
      <c r="B418" s="188"/>
      <c r="C418" s="188"/>
    </row>
    <row r="419" spans="1:3" s="183" customFormat="1" x14ac:dyDescent="0.2">
      <c r="A419" s="188"/>
      <c r="B419" s="188"/>
      <c r="C419" s="188"/>
    </row>
    <row r="420" spans="1:3" s="183" customFormat="1" x14ac:dyDescent="0.2">
      <c r="A420" s="188"/>
      <c r="B420" s="188"/>
      <c r="C420" s="188"/>
    </row>
    <row r="421" spans="1:3" s="183" customFormat="1" x14ac:dyDescent="0.2">
      <c r="A421" s="188"/>
      <c r="B421" s="188"/>
      <c r="C421" s="188"/>
    </row>
    <row r="422" spans="1:3" s="183" customFormat="1" x14ac:dyDescent="0.2">
      <c r="A422" s="188"/>
      <c r="B422" s="188"/>
      <c r="C422" s="188"/>
    </row>
    <row r="423" spans="1:3" s="183" customFormat="1" x14ac:dyDescent="0.2">
      <c r="A423" s="188"/>
      <c r="B423" s="188"/>
      <c r="C423" s="188"/>
    </row>
    <row r="424" spans="1:3" s="183" customFormat="1" x14ac:dyDescent="0.2">
      <c r="A424" s="188"/>
      <c r="B424" s="188"/>
      <c r="C424" s="188"/>
    </row>
    <row r="425" spans="1:3" s="183" customFormat="1" x14ac:dyDescent="0.2">
      <c r="A425" s="188"/>
      <c r="B425" s="188"/>
      <c r="C425" s="188"/>
    </row>
    <row r="426" spans="1:3" s="183" customFormat="1" x14ac:dyDescent="0.2">
      <c r="A426" s="188"/>
      <c r="B426" s="188"/>
      <c r="C426" s="188"/>
    </row>
    <row r="427" spans="1:3" s="183" customFormat="1" x14ac:dyDescent="0.2">
      <c r="A427" s="188"/>
      <c r="B427" s="188"/>
      <c r="C427" s="188"/>
    </row>
    <row r="428" spans="1:3" s="183" customFormat="1" x14ac:dyDescent="0.2">
      <c r="A428" s="188"/>
      <c r="B428" s="188"/>
      <c r="C428" s="188"/>
    </row>
    <row r="429" spans="1:3" s="183" customFormat="1" x14ac:dyDescent="0.2">
      <c r="A429" s="188"/>
      <c r="B429" s="188"/>
      <c r="C429" s="188"/>
    </row>
    <row r="430" spans="1:3" s="183" customFormat="1" x14ac:dyDescent="0.2">
      <c r="A430" s="188"/>
      <c r="B430" s="188"/>
      <c r="C430" s="188"/>
    </row>
    <row r="431" spans="1:3" s="183" customFormat="1" x14ac:dyDescent="0.2">
      <c r="A431" s="188"/>
      <c r="B431" s="188"/>
      <c r="C431" s="188"/>
    </row>
    <row r="432" spans="1:3" s="183" customFormat="1" x14ac:dyDescent="0.2">
      <c r="A432" s="188"/>
      <c r="B432" s="188"/>
      <c r="C432" s="188"/>
    </row>
    <row r="433" spans="1:3" s="183" customFormat="1" x14ac:dyDescent="0.2">
      <c r="A433" s="188"/>
      <c r="B433" s="188"/>
      <c r="C433" s="188"/>
    </row>
    <row r="434" spans="1:3" s="183" customFormat="1" x14ac:dyDescent="0.2">
      <c r="A434" s="188"/>
      <c r="B434" s="188"/>
      <c r="C434" s="188"/>
    </row>
    <row r="435" spans="1:3" s="183" customFormat="1" x14ac:dyDescent="0.2">
      <c r="A435" s="188"/>
      <c r="B435" s="188"/>
      <c r="C435" s="188"/>
    </row>
    <row r="436" spans="1:3" s="183" customFormat="1" x14ac:dyDescent="0.2">
      <c r="A436" s="188"/>
      <c r="B436" s="188"/>
      <c r="C436" s="188"/>
    </row>
    <row r="437" spans="1:3" s="183" customFormat="1" x14ac:dyDescent="0.2">
      <c r="A437" s="188"/>
      <c r="B437" s="188"/>
      <c r="C437" s="188"/>
    </row>
    <row r="438" spans="1:3" s="183" customFormat="1" x14ac:dyDescent="0.2">
      <c r="A438" s="188"/>
      <c r="B438" s="188"/>
      <c r="C438" s="188"/>
    </row>
    <row r="439" spans="1:3" s="183" customFormat="1" x14ac:dyDescent="0.2">
      <c r="A439" s="188"/>
      <c r="B439" s="188"/>
      <c r="C439" s="188"/>
    </row>
    <row r="440" spans="1:3" s="183" customFormat="1" x14ac:dyDescent="0.2">
      <c r="A440" s="188"/>
      <c r="B440" s="188"/>
      <c r="C440" s="188"/>
    </row>
    <row r="441" spans="1:3" s="183" customFormat="1" x14ac:dyDescent="0.2">
      <c r="A441" s="188"/>
      <c r="B441" s="188"/>
      <c r="C441" s="188"/>
    </row>
    <row r="442" spans="1:3" s="183" customFormat="1" x14ac:dyDescent="0.2">
      <c r="A442" s="188"/>
      <c r="B442" s="188"/>
      <c r="C442" s="188"/>
    </row>
    <row r="443" spans="1:3" s="183" customFormat="1" x14ac:dyDescent="0.2">
      <c r="A443" s="188"/>
      <c r="B443" s="188"/>
      <c r="C443" s="188"/>
    </row>
    <row r="444" spans="1:3" s="183" customFormat="1" x14ac:dyDescent="0.2">
      <c r="A444" s="188"/>
      <c r="B444" s="188"/>
      <c r="C444" s="188"/>
    </row>
    <row r="445" spans="1:3" s="183" customFormat="1" x14ac:dyDescent="0.2">
      <c r="A445" s="188"/>
      <c r="B445" s="188"/>
      <c r="C445" s="188"/>
    </row>
    <row r="446" spans="1:3" s="183" customFormat="1" x14ac:dyDescent="0.2">
      <c r="A446" s="188"/>
      <c r="B446" s="188"/>
      <c r="C446" s="188"/>
    </row>
    <row r="447" spans="1:3" s="183" customFormat="1" x14ac:dyDescent="0.2">
      <c r="A447" s="188"/>
      <c r="B447" s="188"/>
      <c r="C447" s="188"/>
    </row>
    <row r="448" spans="1:3" s="183" customFormat="1" x14ac:dyDescent="0.2">
      <c r="A448" s="188"/>
      <c r="B448" s="188"/>
      <c r="C448" s="188"/>
    </row>
    <row r="449" spans="1:3" s="183" customFormat="1" x14ac:dyDescent="0.2">
      <c r="A449" s="188"/>
      <c r="B449" s="188"/>
      <c r="C449" s="188"/>
    </row>
    <row r="450" spans="1:3" s="183" customFormat="1" x14ac:dyDescent="0.2">
      <c r="A450" s="188"/>
      <c r="B450" s="188"/>
      <c r="C450" s="188"/>
    </row>
    <row r="451" spans="1:3" s="183" customFormat="1" x14ac:dyDescent="0.2">
      <c r="A451" s="188"/>
      <c r="B451" s="188"/>
      <c r="C451" s="188"/>
    </row>
    <row r="452" spans="1:3" s="183" customFormat="1" x14ac:dyDescent="0.2">
      <c r="A452" s="188"/>
      <c r="B452" s="188"/>
      <c r="C452" s="188"/>
    </row>
    <row r="453" spans="1:3" s="183" customFormat="1" x14ac:dyDescent="0.2">
      <c r="A453" s="188"/>
      <c r="B453" s="188"/>
      <c r="C453" s="188"/>
    </row>
    <row r="454" spans="1:3" s="183" customFormat="1" x14ac:dyDescent="0.2">
      <c r="A454" s="188"/>
      <c r="B454" s="188"/>
      <c r="C454" s="188"/>
    </row>
    <row r="455" spans="1:3" s="183" customFormat="1" x14ac:dyDescent="0.2">
      <c r="A455" s="188"/>
      <c r="B455" s="188"/>
      <c r="C455" s="188"/>
    </row>
    <row r="456" spans="1:3" s="183" customFormat="1" x14ac:dyDescent="0.2">
      <c r="A456" s="188"/>
      <c r="B456" s="188"/>
      <c r="C456" s="188"/>
    </row>
    <row r="457" spans="1:3" s="183" customFormat="1" x14ac:dyDescent="0.2">
      <c r="A457" s="188"/>
      <c r="B457" s="188"/>
      <c r="C457" s="188"/>
    </row>
    <row r="458" spans="1:3" s="183" customFormat="1" x14ac:dyDescent="0.2">
      <c r="A458" s="188"/>
      <c r="B458" s="188"/>
      <c r="C458" s="188"/>
    </row>
    <row r="459" spans="1:3" s="183" customFormat="1" x14ac:dyDescent="0.2">
      <c r="A459" s="188"/>
      <c r="B459" s="188"/>
      <c r="C459" s="188"/>
    </row>
    <row r="460" spans="1:3" s="183" customFormat="1" x14ac:dyDescent="0.2">
      <c r="A460" s="188"/>
      <c r="B460" s="188"/>
      <c r="C460" s="188"/>
    </row>
    <row r="461" spans="1:3" s="183" customFormat="1" x14ac:dyDescent="0.2">
      <c r="A461" s="188"/>
      <c r="B461" s="188"/>
      <c r="C461" s="188"/>
    </row>
    <row r="462" spans="1:3" s="183" customFormat="1" x14ac:dyDescent="0.2">
      <c r="A462" s="188"/>
      <c r="B462" s="188"/>
      <c r="C462" s="188"/>
    </row>
    <row r="463" spans="1:3" s="183" customFormat="1" x14ac:dyDescent="0.2">
      <c r="A463" s="188"/>
      <c r="B463" s="188"/>
      <c r="C463" s="188"/>
    </row>
    <row r="464" spans="1:3" s="183" customFormat="1" x14ac:dyDescent="0.2">
      <c r="A464" s="188"/>
      <c r="B464" s="188"/>
      <c r="C464" s="188"/>
    </row>
    <row r="465" spans="1:3" s="183" customFormat="1" x14ac:dyDescent="0.2">
      <c r="A465" s="188"/>
      <c r="B465" s="188"/>
      <c r="C465" s="188"/>
    </row>
    <row r="466" spans="1:3" s="183" customFormat="1" x14ac:dyDescent="0.2">
      <c r="A466" s="188"/>
      <c r="B466" s="188"/>
      <c r="C466" s="188"/>
    </row>
    <row r="467" spans="1:3" s="183" customFormat="1" x14ac:dyDescent="0.2">
      <c r="A467" s="188"/>
      <c r="B467" s="188"/>
      <c r="C467" s="188"/>
    </row>
    <row r="468" spans="1:3" s="183" customFormat="1" x14ac:dyDescent="0.2">
      <c r="A468" s="188"/>
      <c r="B468" s="188"/>
      <c r="C468" s="188"/>
    </row>
    <row r="469" spans="1:3" s="183" customFormat="1" x14ac:dyDescent="0.2">
      <c r="A469" s="188"/>
      <c r="B469" s="188"/>
      <c r="C469" s="188"/>
    </row>
    <row r="470" spans="1:3" s="183" customFormat="1" x14ac:dyDescent="0.2">
      <c r="A470" s="188"/>
      <c r="B470" s="188"/>
      <c r="C470" s="188"/>
    </row>
    <row r="471" spans="1:3" s="183" customFormat="1" x14ac:dyDescent="0.2">
      <c r="A471" s="188"/>
      <c r="B471" s="188"/>
      <c r="C471" s="188"/>
    </row>
    <row r="472" spans="1:3" s="183" customFormat="1" x14ac:dyDescent="0.2">
      <c r="A472" s="188"/>
      <c r="B472" s="188"/>
      <c r="C472" s="188"/>
    </row>
    <row r="473" spans="1:3" s="183" customFormat="1" x14ac:dyDescent="0.2">
      <c r="A473" s="188"/>
      <c r="B473" s="188"/>
      <c r="C473" s="188"/>
    </row>
    <row r="474" spans="1:3" s="183" customFormat="1" x14ac:dyDescent="0.2">
      <c r="A474" s="188"/>
      <c r="B474" s="188"/>
      <c r="C474" s="188"/>
    </row>
    <row r="475" spans="1:3" s="183" customFormat="1" x14ac:dyDescent="0.2">
      <c r="A475" s="188"/>
      <c r="B475" s="188"/>
      <c r="C475" s="188"/>
    </row>
    <row r="476" spans="1:3" s="183" customFormat="1" x14ac:dyDescent="0.2">
      <c r="A476" s="188"/>
      <c r="B476" s="188"/>
      <c r="C476" s="188"/>
    </row>
    <row r="477" spans="1:3" s="183" customFormat="1" x14ac:dyDescent="0.2">
      <c r="A477" s="188"/>
      <c r="B477" s="188"/>
      <c r="C477" s="188"/>
    </row>
    <row r="478" spans="1:3" s="183" customFormat="1" x14ac:dyDescent="0.2">
      <c r="A478" s="188"/>
      <c r="B478" s="188"/>
      <c r="C478" s="188"/>
    </row>
    <row r="479" spans="1:3" s="183" customFormat="1" x14ac:dyDescent="0.2">
      <c r="A479" s="188"/>
      <c r="B479" s="188"/>
      <c r="C479" s="188"/>
    </row>
    <row r="480" spans="1:3" s="183" customFormat="1" x14ac:dyDescent="0.2">
      <c r="A480" s="188"/>
      <c r="B480" s="188"/>
      <c r="C480" s="188"/>
    </row>
    <row r="481" spans="1:3" s="183" customFormat="1" x14ac:dyDescent="0.2">
      <c r="A481" s="188"/>
      <c r="B481" s="188"/>
      <c r="C481" s="188"/>
    </row>
    <row r="482" spans="1:3" s="183" customFormat="1" x14ac:dyDescent="0.2">
      <c r="A482" s="188"/>
      <c r="B482" s="188"/>
      <c r="C482" s="188"/>
    </row>
    <row r="483" spans="1:3" s="183" customFormat="1" x14ac:dyDescent="0.2">
      <c r="A483" s="188"/>
      <c r="B483" s="188"/>
      <c r="C483" s="188"/>
    </row>
    <row r="484" spans="1:3" s="183" customFormat="1" x14ac:dyDescent="0.2">
      <c r="A484" s="188"/>
      <c r="B484" s="188"/>
      <c r="C484" s="188"/>
    </row>
    <row r="485" spans="1:3" s="183" customFormat="1" x14ac:dyDescent="0.2">
      <c r="A485" s="188"/>
      <c r="B485" s="188"/>
      <c r="C485" s="188"/>
    </row>
    <row r="486" spans="1:3" s="183" customFormat="1" x14ac:dyDescent="0.2">
      <c r="A486" s="188"/>
      <c r="B486" s="188"/>
      <c r="C486" s="188"/>
    </row>
    <row r="487" spans="1:3" s="183" customFormat="1" x14ac:dyDescent="0.2">
      <c r="A487" s="188"/>
      <c r="B487" s="188"/>
      <c r="C487" s="188"/>
    </row>
    <row r="488" spans="1:3" s="183" customFormat="1" x14ac:dyDescent="0.2">
      <c r="A488" s="188"/>
      <c r="B488" s="188"/>
      <c r="C488" s="188"/>
    </row>
    <row r="489" spans="1:3" s="183" customFormat="1" x14ac:dyDescent="0.2">
      <c r="A489" s="188"/>
      <c r="B489" s="188"/>
      <c r="C489" s="188"/>
    </row>
    <row r="490" spans="1:3" s="183" customFormat="1" x14ac:dyDescent="0.2">
      <c r="A490" s="188"/>
      <c r="B490" s="188"/>
      <c r="C490" s="188"/>
    </row>
    <row r="491" spans="1:3" s="183" customFormat="1" x14ac:dyDescent="0.2">
      <c r="A491" s="188"/>
      <c r="B491" s="188"/>
      <c r="C491" s="188"/>
    </row>
    <row r="492" spans="1:3" s="183" customFormat="1" x14ac:dyDescent="0.2">
      <c r="A492" s="188"/>
      <c r="B492" s="188"/>
      <c r="C492" s="188"/>
    </row>
    <row r="493" spans="1:3" s="183" customFormat="1" x14ac:dyDescent="0.2">
      <c r="A493" s="188"/>
      <c r="B493" s="188"/>
      <c r="C493" s="188"/>
    </row>
    <row r="494" spans="1:3" s="183" customFormat="1" x14ac:dyDescent="0.2">
      <c r="A494" s="188"/>
      <c r="B494" s="188"/>
      <c r="C494" s="188"/>
    </row>
    <row r="495" spans="1:3" s="183" customFormat="1" x14ac:dyDescent="0.2">
      <c r="A495" s="188"/>
      <c r="B495" s="188"/>
      <c r="C495" s="188"/>
    </row>
    <row r="496" spans="1:3" s="183" customFormat="1" x14ac:dyDescent="0.2">
      <c r="A496" s="188"/>
      <c r="B496" s="188"/>
      <c r="C496" s="188"/>
    </row>
    <row r="497" spans="1:3" s="183" customFormat="1" x14ac:dyDescent="0.2">
      <c r="A497" s="188"/>
      <c r="B497" s="188"/>
      <c r="C497" s="188"/>
    </row>
    <row r="498" spans="1:3" s="183" customFormat="1" x14ac:dyDescent="0.2">
      <c r="A498" s="188"/>
      <c r="B498" s="188"/>
      <c r="C498" s="188"/>
    </row>
    <row r="499" spans="1:3" s="183" customFormat="1" x14ac:dyDescent="0.2">
      <c r="A499" s="188"/>
      <c r="B499" s="188"/>
      <c r="C499" s="188"/>
    </row>
    <row r="500" spans="1:3" s="183" customFormat="1" x14ac:dyDescent="0.2">
      <c r="A500" s="188"/>
      <c r="B500" s="188"/>
      <c r="C500" s="188"/>
    </row>
    <row r="501" spans="1:3" s="183" customFormat="1" x14ac:dyDescent="0.2">
      <c r="A501" s="188"/>
      <c r="B501" s="188"/>
      <c r="C501" s="188"/>
    </row>
    <row r="502" spans="1:3" s="183" customFormat="1" x14ac:dyDescent="0.2">
      <c r="A502" s="188"/>
      <c r="B502" s="188"/>
      <c r="C502" s="188"/>
    </row>
    <row r="503" spans="1:3" s="183" customFormat="1" x14ac:dyDescent="0.2">
      <c r="A503" s="188"/>
      <c r="B503" s="188"/>
      <c r="C503" s="188"/>
    </row>
    <row r="504" spans="1:3" s="183" customFormat="1" x14ac:dyDescent="0.2">
      <c r="A504" s="188"/>
      <c r="B504" s="188"/>
      <c r="C504" s="188"/>
    </row>
    <row r="505" spans="1:3" s="183" customFormat="1" x14ac:dyDescent="0.2">
      <c r="A505" s="188"/>
      <c r="B505" s="188"/>
      <c r="C505" s="188"/>
    </row>
    <row r="506" spans="1:3" s="183" customFormat="1" x14ac:dyDescent="0.2">
      <c r="A506" s="188"/>
      <c r="B506" s="188"/>
      <c r="C506" s="188"/>
    </row>
    <row r="507" spans="1:3" s="183" customFormat="1" x14ac:dyDescent="0.2">
      <c r="A507" s="188"/>
      <c r="B507" s="188"/>
      <c r="C507" s="188"/>
    </row>
    <row r="508" spans="1:3" s="183" customFormat="1" x14ac:dyDescent="0.2">
      <c r="A508" s="188"/>
      <c r="B508" s="188"/>
      <c r="C508" s="188"/>
    </row>
    <row r="509" spans="1:3" s="183" customFormat="1" x14ac:dyDescent="0.2">
      <c r="A509" s="188"/>
      <c r="B509" s="188"/>
      <c r="C509" s="188"/>
    </row>
    <row r="510" spans="1:3" s="183" customFormat="1" x14ac:dyDescent="0.2">
      <c r="A510" s="188"/>
      <c r="B510" s="188"/>
      <c r="C510" s="188"/>
    </row>
    <row r="511" spans="1:3" s="183" customFormat="1" x14ac:dyDescent="0.2">
      <c r="A511" s="188"/>
      <c r="B511" s="188"/>
      <c r="C511" s="188"/>
    </row>
    <row r="512" spans="1:3" s="183" customFormat="1" x14ac:dyDescent="0.2">
      <c r="A512" s="188"/>
      <c r="B512" s="188"/>
      <c r="C512" s="188"/>
    </row>
    <row r="513" spans="1:3" s="183" customFormat="1" x14ac:dyDescent="0.2">
      <c r="A513" s="188"/>
      <c r="B513" s="188"/>
      <c r="C513" s="188"/>
    </row>
    <row r="514" spans="1:3" s="183" customFormat="1" x14ac:dyDescent="0.2">
      <c r="A514" s="188"/>
      <c r="B514" s="188"/>
      <c r="C514" s="188"/>
    </row>
    <row r="515" spans="1:3" s="183" customFormat="1" x14ac:dyDescent="0.2">
      <c r="A515" s="188"/>
      <c r="B515" s="188"/>
      <c r="C515" s="188"/>
    </row>
    <row r="516" spans="1:3" s="183" customFormat="1" x14ac:dyDescent="0.2">
      <c r="A516" s="188"/>
      <c r="B516" s="188"/>
      <c r="C516" s="188"/>
    </row>
    <row r="517" spans="1:3" s="183" customFormat="1" x14ac:dyDescent="0.2">
      <c r="A517" s="188"/>
      <c r="B517" s="188"/>
      <c r="C517" s="188"/>
    </row>
    <row r="518" spans="1:3" s="183" customFormat="1" x14ac:dyDescent="0.2">
      <c r="A518" s="188"/>
      <c r="B518" s="188"/>
      <c r="C518" s="188"/>
    </row>
    <row r="519" spans="1:3" s="183" customFormat="1" x14ac:dyDescent="0.2">
      <c r="A519" s="188"/>
      <c r="B519" s="188"/>
      <c r="C519" s="188"/>
    </row>
    <row r="520" spans="1:3" s="183" customFormat="1" x14ac:dyDescent="0.2">
      <c r="A520" s="188"/>
      <c r="B520" s="188"/>
      <c r="C520" s="188"/>
    </row>
    <row r="521" spans="1:3" s="183" customFormat="1" x14ac:dyDescent="0.2">
      <c r="A521" s="188"/>
      <c r="B521" s="188"/>
      <c r="C521" s="188"/>
    </row>
    <row r="522" spans="1:3" s="183" customFormat="1" x14ac:dyDescent="0.2">
      <c r="A522" s="188"/>
      <c r="B522" s="188"/>
      <c r="C522" s="188"/>
    </row>
    <row r="523" spans="1:3" s="183" customFormat="1" x14ac:dyDescent="0.2">
      <c r="A523" s="188"/>
      <c r="B523" s="188"/>
      <c r="C523" s="188"/>
    </row>
    <row r="524" spans="1:3" s="183" customFormat="1" x14ac:dyDescent="0.2">
      <c r="A524" s="188"/>
      <c r="B524" s="188"/>
      <c r="C524" s="188"/>
    </row>
    <row r="525" spans="1:3" s="183" customFormat="1" x14ac:dyDescent="0.2">
      <c r="A525" s="188"/>
      <c r="B525" s="188"/>
      <c r="C525" s="188"/>
    </row>
    <row r="526" spans="1:3" s="183" customFormat="1" x14ac:dyDescent="0.2">
      <c r="A526" s="188"/>
      <c r="B526" s="188"/>
      <c r="C526" s="188"/>
    </row>
    <row r="527" spans="1:3" s="183" customFormat="1" x14ac:dyDescent="0.2">
      <c r="A527" s="188"/>
      <c r="B527" s="188"/>
      <c r="C527" s="188"/>
    </row>
    <row r="528" spans="1:3" s="183" customFormat="1" x14ac:dyDescent="0.2">
      <c r="A528" s="188"/>
      <c r="B528" s="188"/>
      <c r="C528" s="188"/>
    </row>
    <row r="529" spans="1:3" s="183" customFormat="1" x14ac:dyDescent="0.2">
      <c r="A529" s="188"/>
      <c r="B529" s="188"/>
      <c r="C529" s="188"/>
    </row>
    <row r="530" spans="1:3" s="183" customFormat="1" x14ac:dyDescent="0.2">
      <c r="A530" s="188"/>
      <c r="B530" s="188"/>
      <c r="C530" s="188"/>
    </row>
    <row r="531" spans="1:3" s="183" customFormat="1" x14ac:dyDescent="0.2">
      <c r="A531" s="188"/>
      <c r="B531" s="188"/>
      <c r="C531" s="188"/>
    </row>
    <row r="532" spans="1:3" s="183" customFormat="1" x14ac:dyDescent="0.2">
      <c r="A532" s="188"/>
      <c r="B532" s="188"/>
      <c r="C532" s="188"/>
    </row>
    <row r="533" spans="1:3" s="183" customFormat="1" x14ac:dyDescent="0.2">
      <c r="A533" s="188"/>
      <c r="B533" s="188"/>
      <c r="C533" s="188"/>
    </row>
    <row r="534" spans="1:3" s="183" customFormat="1" x14ac:dyDescent="0.2">
      <c r="A534" s="188"/>
      <c r="B534" s="188"/>
      <c r="C534" s="188"/>
    </row>
    <row r="535" spans="1:3" s="183" customFormat="1" x14ac:dyDescent="0.2">
      <c r="A535" s="188"/>
      <c r="B535" s="188"/>
      <c r="C535" s="188"/>
    </row>
    <row r="536" spans="1:3" s="183" customFormat="1" x14ac:dyDescent="0.2">
      <c r="A536" s="188"/>
      <c r="B536" s="188"/>
      <c r="C536" s="188"/>
    </row>
    <row r="537" spans="1:3" s="183" customFormat="1" x14ac:dyDescent="0.2">
      <c r="A537" s="188"/>
      <c r="B537" s="188"/>
      <c r="C537" s="188"/>
    </row>
    <row r="538" spans="1:3" s="183" customFormat="1" x14ac:dyDescent="0.2">
      <c r="A538" s="188"/>
      <c r="B538" s="188"/>
      <c r="C538" s="188"/>
    </row>
    <row r="539" spans="1:3" s="183" customFormat="1" x14ac:dyDescent="0.2">
      <c r="A539" s="188"/>
      <c r="B539" s="188"/>
      <c r="C539" s="188"/>
    </row>
    <row r="540" spans="1:3" s="183" customFormat="1" x14ac:dyDescent="0.2">
      <c r="A540" s="188"/>
      <c r="B540" s="188"/>
      <c r="C540" s="188"/>
    </row>
    <row r="541" spans="1:3" s="183" customFormat="1" x14ac:dyDescent="0.2">
      <c r="A541" s="188"/>
      <c r="B541" s="188"/>
      <c r="C541" s="188"/>
    </row>
    <row r="542" spans="1:3" s="183" customFormat="1" x14ac:dyDescent="0.2">
      <c r="A542" s="188"/>
      <c r="B542" s="188"/>
      <c r="C542" s="188"/>
    </row>
    <row r="543" spans="1:3" s="183" customFormat="1" x14ac:dyDescent="0.2">
      <c r="A543" s="188"/>
      <c r="B543" s="188"/>
      <c r="C543" s="188"/>
    </row>
    <row r="544" spans="1:3" s="183" customFormat="1" x14ac:dyDescent="0.2">
      <c r="A544" s="188"/>
      <c r="B544" s="188"/>
      <c r="C544" s="188"/>
    </row>
    <row r="545" spans="1:3" s="183" customFormat="1" x14ac:dyDescent="0.2">
      <c r="A545" s="188"/>
      <c r="B545" s="188"/>
      <c r="C545" s="188"/>
    </row>
    <row r="546" spans="1:3" s="183" customFormat="1" x14ac:dyDescent="0.2">
      <c r="A546" s="188"/>
      <c r="B546" s="188"/>
      <c r="C546" s="188"/>
    </row>
    <row r="547" spans="1:3" s="183" customFormat="1" x14ac:dyDescent="0.2">
      <c r="A547" s="188"/>
      <c r="B547" s="188"/>
      <c r="C547" s="188"/>
    </row>
    <row r="548" spans="1:3" s="183" customFormat="1" x14ac:dyDescent="0.2">
      <c r="A548" s="188"/>
      <c r="B548" s="188"/>
      <c r="C548" s="188"/>
    </row>
    <row r="549" spans="1:3" s="183" customFormat="1" x14ac:dyDescent="0.2">
      <c r="A549" s="188"/>
      <c r="B549" s="188"/>
      <c r="C549" s="188"/>
    </row>
    <row r="550" spans="1:3" s="183" customFormat="1" x14ac:dyDescent="0.2">
      <c r="A550" s="188"/>
      <c r="B550" s="188"/>
      <c r="C550" s="188"/>
    </row>
    <row r="551" spans="1:3" s="183" customFormat="1" x14ac:dyDescent="0.2">
      <c r="A551" s="188"/>
      <c r="B551" s="188"/>
      <c r="C551" s="188"/>
    </row>
    <row r="552" spans="1:3" s="183" customFormat="1" x14ac:dyDescent="0.2">
      <c r="A552" s="188"/>
      <c r="B552" s="188"/>
      <c r="C552" s="188"/>
    </row>
    <row r="553" spans="1:3" s="183" customFormat="1" x14ac:dyDescent="0.2">
      <c r="A553" s="188"/>
      <c r="B553" s="188"/>
      <c r="C553" s="188"/>
    </row>
    <row r="554" spans="1:3" s="183" customFormat="1" x14ac:dyDescent="0.2">
      <c r="A554" s="188"/>
      <c r="B554" s="188"/>
      <c r="C554" s="188"/>
    </row>
    <row r="555" spans="1:3" s="183" customFormat="1" x14ac:dyDescent="0.2">
      <c r="A555" s="188"/>
      <c r="B555" s="188"/>
      <c r="C555" s="188"/>
    </row>
    <row r="556" spans="1:3" s="183" customFormat="1" x14ac:dyDescent="0.2">
      <c r="A556" s="188"/>
      <c r="B556" s="188"/>
      <c r="C556" s="188"/>
    </row>
    <row r="557" spans="1:3" s="183" customFormat="1" x14ac:dyDescent="0.2">
      <c r="A557" s="188"/>
      <c r="B557" s="188"/>
      <c r="C557" s="188"/>
    </row>
    <row r="558" spans="1:3" s="183" customFormat="1" x14ac:dyDescent="0.2">
      <c r="A558" s="188"/>
      <c r="B558" s="188"/>
      <c r="C558" s="188"/>
    </row>
    <row r="559" spans="1:3" s="183" customFormat="1" x14ac:dyDescent="0.2">
      <c r="A559" s="188"/>
      <c r="B559" s="188"/>
      <c r="C559" s="188"/>
    </row>
    <row r="560" spans="1:3" s="183" customFormat="1" x14ac:dyDescent="0.2">
      <c r="A560" s="188"/>
      <c r="B560" s="188"/>
      <c r="C560" s="188"/>
    </row>
    <row r="561" spans="1:3" s="183" customFormat="1" x14ac:dyDescent="0.2">
      <c r="A561" s="188"/>
      <c r="B561" s="188"/>
      <c r="C561" s="188"/>
    </row>
    <row r="562" spans="1:3" s="183" customFormat="1" x14ac:dyDescent="0.2">
      <c r="A562" s="188"/>
      <c r="B562" s="188"/>
      <c r="C562" s="188"/>
    </row>
    <row r="563" spans="1:3" s="183" customFormat="1" x14ac:dyDescent="0.2">
      <c r="A563" s="188"/>
      <c r="B563" s="188"/>
      <c r="C563" s="188"/>
    </row>
    <row r="564" spans="1:3" s="183" customFormat="1" x14ac:dyDescent="0.2">
      <c r="A564" s="188"/>
      <c r="B564" s="188"/>
      <c r="C564" s="188"/>
    </row>
    <row r="565" spans="1:3" s="183" customFormat="1" x14ac:dyDescent="0.2">
      <c r="A565" s="188"/>
      <c r="B565" s="188"/>
      <c r="C565" s="188"/>
    </row>
    <row r="566" spans="1:3" s="183" customFormat="1" x14ac:dyDescent="0.2">
      <c r="A566" s="188"/>
      <c r="B566" s="188"/>
      <c r="C566" s="188"/>
    </row>
    <row r="567" spans="1:3" s="183" customFormat="1" x14ac:dyDescent="0.2">
      <c r="A567" s="188"/>
      <c r="B567" s="188"/>
      <c r="C567" s="188"/>
    </row>
    <row r="568" spans="1:3" s="183" customFormat="1" x14ac:dyDescent="0.2">
      <c r="A568" s="188"/>
      <c r="B568" s="188"/>
      <c r="C568" s="188"/>
    </row>
    <row r="569" spans="1:3" s="183" customFormat="1" x14ac:dyDescent="0.2">
      <c r="A569" s="188"/>
      <c r="B569" s="188"/>
      <c r="C569" s="188"/>
    </row>
    <row r="570" spans="1:3" s="183" customFormat="1" x14ac:dyDescent="0.2">
      <c r="A570" s="188"/>
      <c r="B570" s="188"/>
      <c r="C570" s="188"/>
    </row>
    <row r="571" spans="1:3" s="183" customFormat="1" x14ac:dyDescent="0.2">
      <c r="A571" s="188"/>
      <c r="B571" s="188"/>
      <c r="C571" s="188"/>
    </row>
    <row r="572" spans="1:3" s="183" customFormat="1" x14ac:dyDescent="0.2">
      <c r="A572" s="188"/>
      <c r="B572" s="188"/>
      <c r="C572" s="188"/>
    </row>
    <row r="573" spans="1:3" s="183" customFormat="1" x14ac:dyDescent="0.2">
      <c r="A573" s="188"/>
      <c r="B573" s="188"/>
      <c r="C573" s="188"/>
    </row>
    <row r="574" spans="1:3" s="183" customFormat="1" x14ac:dyDescent="0.2">
      <c r="A574" s="188"/>
      <c r="B574" s="188"/>
      <c r="C574" s="188"/>
    </row>
    <row r="575" spans="1:3" s="183" customFormat="1" x14ac:dyDescent="0.2">
      <c r="A575" s="188"/>
      <c r="B575" s="188"/>
      <c r="C575" s="188"/>
    </row>
    <row r="576" spans="1:3" s="183" customFormat="1" x14ac:dyDescent="0.2">
      <c r="A576" s="188"/>
      <c r="B576" s="188"/>
      <c r="C576" s="188"/>
    </row>
    <row r="577" spans="1:3" s="183" customFormat="1" x14ac:dyDescent="0.2">
      <c r="A577" s="188"/>
      <c r="B577" s="188"/>
      <c r="C577" s="188"/>
    </row>
    <row r="578" spans="1:3" s="183" customFormat="1" x14ac:dyDescent="0.2">
      <c r="A578" s="188"/>
      <c r="B578" s="188"/>
      <c r="C578" s="188"/>
    </row>
    <row r="579" spans="1:3" s="183" customFormat="1" x14ac:dyDescent="0.2">
      <c r="A579" s="188"/>
      <c r="B579" s="188"/>
      <c r="C579" s="188"/>
    </row>
    <row r="580" spans="1:3" s="183" customFormat="1" x14ac:dyDescent="0.2">
      <c r="A580" s="188"/>
      <c r="B580" s="188"/>
      <c r="C580" s="188"/>
    </row>
    <row r="581" spans="1:3" s="183" customFormat="1" x14ac:dyDescent="0.2">
      <c r="A581" s="188"/>
      <c r="B581" s="188"/>
      <c r="C581" s="188"/>
    </row>
    <row r="582" spans="1:3" s="183" customFormat="1" x14ac:dyDescent="0.2">
      <c r="A582" s="188"/>
      <c r="B582" s="188"/>
      <c r="C582" s="188"/>
    </row>
    <row r="583" spans="1:3" s="183" customFormat="1" x14ac:dyDescent="0.2">
      <c r="A583" s="188"/>
      <c r="B583" s="188"/>
      <c r="C583" s="188"/>
    </row>
    <row r="584" spans="1:3" s="183" customFormat="1" x14ac:dyDescent="0.2">
      <c r="A584" s="188"/>
      <c r="B584" s="188"/>
      <c r="C584" s="188"/>
    </row>
    <row r="585" spans="1:3" s="183" customFormat="1" x14ac:dyDescent="0.2">
      <c r="A585" s="188"/>
      <c r="B585" s="188"/>
      <c r="C585" s="188"/>
    </row>
    <row r="586" spans="1:3" s="183" customFormat="1" x14ac:dyDescent="0.2">
      <c r="A586" s="188"/>
      <c r="B586" s="188"/>
      <c r="C586" s="188"/>
    </row>
    <row r="587" spans="1:3" s="183" customFormat="1" x14ac:dyDescent="0.2">
      <c r="A587" s="188"/>
      <c r="B587" s="188"/>
      <c r="C587" s="188"/>
    </row>
    <row r="588" spans="1:3" s="183" customFormat="1" x14ac:dyDescent="0.2">
      <c r="A588" s="188"/>
      <c r="B588" s="188"/>
      <c r="C588" s="188"/>
    </row>
    <row r="589" spans="1:3" s="183" customFormat="1" x14ac:dyDescent="0.2">
      <c r="A589" s="188"/>
      <c r="B589" s="188"/>
      <c r="C589" s="188"/>
    </row>
    <row r="590" spans="1:3" s="183" customFormat="1" x14ac:dyDescent="0.2">
      <c r="A590" s="188"/>
      <c r="B590" s="188"/>
      <c r="C590" s="188"/>
    </row>
    <row r="591" spans="1:3" s="183" customFormat="1" x14ac:dyDescent="0.2">
      <c r="A591" s="188"/>
      <c r="B591" s="188"/>
      <c r="C591" s="188"/>
    </row>
    <row r="592" spans="1:3" s="183" customFormat="1" x14ac:dyDescent="0.2">
      <c r="A592" s="188"/>
      <c r="B592" s="188"/>
      <c r="C592" s="188"/>
    </row>
    <row r="593" spans="1:3" s="183" customFormat="1" x14ac:dyDescent="0.2">
      <c r="A593" s="188"/>
      <c r="B593" s="188"/>
      <c r="C593" s="188"/>
    </row>
    <row r="594" spans="1:3" s="183" customFormat="1" x14ac:dyDescent="0.2">
      <c r="A594" s="188"/>
      <c r="B594" s="188"/>
      <c r="C594" s="188"/>
    </row>
    <row r="595" spans="1:3" s="183" customFormat="1" x14ac:dyDescent="0.2">
      <c r="A595" s="188"/>
      <c r="B595" s="188"/>
      <c r="C595" s="188"/>
    </row>
    <row r="596" spans="1:3" s="183" customFormat="1" x14ac:dyDescent="0.2">
      <c r="A596" s="188"/>
      <c r="B596" s="188"/>
      <c r="C596" s="188"/>
    </row>
    <row r="597" spans="1:3" s="183" customFormat="1" x14ac:dyDescent="0.2">
      <c r="A597" s="188"/>
      <c r="B597" s="188"/>
      <c r="C597" s="188"/>
    </row>
    <row r="598" spans="1:3" s="183" customFormat="1" x14ac:dyDescent="0.2">
      <c r="A598" s="188"/>
      <c r="B598" s="188"/>
      <c r="C598" s="188"/>
    </row>
    <row r="599" spans="1:3" s="183" customFormat="1" x14ac:dyDescent="0.2">
      <c r="A599" s="188"/>
      <c r="B599" s="188"/>
      <c r="C599" s="188"/>
    </row>
    <row r="600" spans="1:3" s="183" customFormat="1" x14ac:dyDescent="0.2">
      <c r="A600" s="188"/>
      <c r="B600" s="188"/>
      <c r="C600" s="188"/>
    </row>
    <row r="601" spans="1:3" s="183" customFormat="1" x14ac:dyDescent="0.2">
      <c r="A601" s="188"/>
      <c r="B601" s="188"/>
      <c r="C601" s="188"/>
    </row>
    <row r="602" spans="1:3" s="183" customFormat="1" x14ac:dyDescent="0.2">
      <c r="A602" s="188"/>
      <c r="B602" s="188"/>
      <c r="C602" s="188"/>
    </row>
    <row r="603" spans="1:3" s="183" customFormat="1" x14ac:dyDescent="0.2">
      <c r="A603" s="188"/>
      <c r="B603" s="188"/>
      <c r="C603" s="188"/>
    </row>
    <row r="604" spans="1:3" s="183" customFormat="1" x14ac:dyDescent="0.2">
      <c r="A604" s="188"/>
      <c r="B604" s="188"/>
      <c r="C604" s="188"/>
    </row>
    <row r="605" spans="1:3" s="183" customFormat="1" x14ac:dyDescent="0.2">
      <c r="A605" s="188"/>
      <c r="B605" s="188"/>
      <c r="C605" s="188"/>
    </row>
    <row r="606" spans="1:3" s="183" customFormat="1" x14ac:dyDescent="0.2">
      <c r="A606" s="188"/>
      <c r="B606" s="188"/>
      <c r="C606" s="188"/>
    </row>
    <row r="607" spans="1:3" s="183" customFormat="1" x14ac:dyDescent="0.2">
      <c r="A607" s="188"/>
      <c r="B607" s="188"/>
      <c r="C607" s="188"/>
    </row>
    <row r="608" spans="1:3" s="183" customFormat="1" x14ac:dyDescent="0.2">
      <c r="A608" s="188"/>
      <c r="B608" s="188"/>
      <c r="C608" s="188"/>
    </row>
    <row r="609" spans="1:3" s="183" customFormat="1" x14ac:dyDescent="0.2">
      <c r="A609" s="188"/>
      <c r="B609" s="188"/>
      <c r="C609" s="188"/>
    </row>
    <row r="610" spans="1:3" s="183" customFormat="1" x14ac:dyDescent="0.2">
      <c r="A610" s="188"/>
      <c r="B610" s="188"/>
      <c r="C610" s="188"/>
    </row>
    <row r="611" spans="1:3" s="183" customFormat="1" x14ac:dyDescent="0.2">
      <c r="A611" s="188"/>
      <c r="B611" s="188"/>
      <c r="C611" s="188"/>
    </row>
    <row r="612" spans="1:3" s="183" customFormat="1" x14ac:dyDescent="0.2">
      <c r="A612" s="188"/>
      <c r="B612" s="188"/>
      <c r="C612" s="188"/>
    </row>
    <row r="613" spans="1:3" s="183" customFormat="1" x14ac:dyDescent="0.2">
      <c r="A613" s="188"/>
      <c r="B613" s="188"/>
      <c r="C613" s="188"/>
    </row>
    <row r="614" spans="1:3" s="183" customFormat="1" x14ac:dyDescent="0.2">
      <c r="A614" s="188"/>
      <c r="B614" s="188"/>
      <c r="C614" s="188"/>
    </row>
    <row r="615" spans="1:3" s="183" customFormat="1" x14ac:dyDescent="0.2">
      <c r="A615" s="188"/>
      <c r="B615" s="188"/>
      <c r="C615" s="188"/>
    </row>
    <row r="616" spans="1:3" s="183" customFormat="1" x14ac:dyDescent="0.2">
      <c r="A616" s="188"/>
      <c r="B616" s="188"/>
      <c r="C616" s="188"/>
    </row>
    <row r="617" spans="1:3" s="183" customFormat="1" x14ac:dyDescent="0.2">
      <c r="A617" s="188"/>
      <c r="B617" s="188"/>
      <c r="C617" s="188"/>
    </row>
    <row r="618" spans="1:3" s="183" customFormat="1" x14ac:dyDescent="0.2">
      <c r="A618" s="188"/>
      <c r="B618" s="188"/>
      <c r="C618" s="188"/>
    </row>
    <row r="619" spans="1:3" s="183" customFormat="1" x14ac:dyDescent="0.2">
      <c r="A619" s="188"/>
      <c r="B619" s="188"/>
      <c r="C619" s="188"/>
    </row>
    <row r="620" spans="1:3" s="183" customFormat="1" x14ac:dyDescent="0.2">
      <c r="A620" s="188"/>
      <c r="B620" s="188"/>
      <c r="C620" s="188"/>
    </row>
    <row r="621" spans="1:3" s="183" customFormat="1" x14ac:dyDescent="0.2">
      <c r="A621" s="188"/>
      <c r="B621" s="188"/>
      <c r="C621" s="188"/>
    </row>
    <row r="622" spans="1:3" s="183" customFormat="1" x14ac:dyDescent="0.2">
      <c r="A622" s="188"/>
      <c r="B622" s="188"/>
      <c r="C622" s="188"/>
    </row>
    <row r="623" spans="1:3" s="183" customFormat="1" x14ac:dyDescent="0.2">
      <c r="A623" s="188"/>
      <c r="B623" s="188"/>
      <c r="C623" s="188"/>
    </row>
    <row r="624" spans="1:3" s="183" customFormat="1" x14ac:dyDescent="0.2">
      <c r="A624" s="188"/>
      <c r="B624" s="188"/>
      <c r="C624" s="188"/>
    </row>
    <row r="625" spans="1:3" s="183" customFormat="1" x14ac:dyDescent="0.2">
      <c r="A625" s="188"/>
      <c r="B625" s="188"/>
      <c r="C625" s="188"/>
    </row>
    <row r="626" spans="1:3" s="183" customFormat="1" x14ac:dyDescent="0.2">
      <c r="A626" s="188"/>
      <c r="B626" s="188"/>
      <c r="C626" s="188"/>
    </row>
    <row r="627" spans="1:3" s="183" customFormat="1" x14ac:dyDescent="0.2">
      <c r="A627" s="188"/>
      <c r="B627" s="188"/>
      <c r="C627" s="188"/>
    </row>
    <row r="628" spans="1:3" s="183" customFormat="1" x14ac:dyDescent="0.2">
      <c r="A628" s="188"/>
      <c r="B628" s="188"/>
      <c r="C628" s="188"/>
    </row>
    <row r="629" spans="1:3" s="183" customFormat="1" x14ac:dyDescent="0.2">
      <c r="A629" s="188"/>
      <c r="B629" s="188"/>
      <c r="C629" s="188"/>
    </row>
    <row r="630" spans="1:3" s="183" customFormat="1" x14ac:dyDescent="0.2">
      <c r="A630" s="188"/>
      <c r="B630" s="188"/>
      <c r="C630" s="188"/>
    </row>
    <row r="631" spans="1:3" s="183" customFormat="1" x14ac:dyDescent="0.2">
      <c r="A631" s="188"/>
      <c r="B631" s="188"/>
      <c r="C631" s="188"/>
    </row>
    <row r="632" spans="1:3" s="183" customFormat="1" x14ac:dyDescent="0.2">
      <c r="A632" s="188"/>
      <c r="B632" s="188"/>
      <c r="C632" s="188"/>
    </row>
    <row r="633" spans="1:3" s="183" customFormat="1" x14ac:dyDescent="0.2">
      <c r="A633" s="188"/>
      <c r="B633" s="188"/>
      <c r="C633" s="188"/>
    </row>
    <row r="634" spans="1:3" s="183" customFormat="1" x14ac:dyDescent="0.2">
      <c r="A634" s="188"/>
      <c r="B634" s="188"/>
      <c r="C634" s="188"/>
    </row>
    <row r="635" spans="1:3" s="183" customFormat="1" x14ac:dyDescent="0.2">
      <c r="A635" s="188"/>
      <c r="B635" s="188"/>
      <c r="C635" s="188"/>
    </row>
    <row r="636" spans="1:3" s="183" customFormat="1" x14ac:dyDescent="0.2">
      <c r="A636" s="188"/>
      <c r="B636" s="188"/>
      <c r="C636" s="188"/>
    </row>
    <row r="637" spans="1:3" s="183" customFormat="1" x14ac:dyDescent="0.2">
      <c r="A637" s="188"/>
      <c r="B637" s="188"/>
      <c r="C637" s="188"/>
    </row>
    <row r="638" spans="1:3" s="183" customFormat="1" x14ac:dyDescent="0.2">
      <c r="A638" s="188"/>
      <c r="B638" s="188"/>
      <c r="C638" s="188"/>
    </row>
    <row r="639" spans="1:3" s="183" customFormat="1" x14ac:dyDescent="0.2">
      <c r="A639" s="188"/>
      <c r="B639" s="188"/>
      <c r="C639" s="188"/>
    </row>
    <row r="640" spans="1:3" s="183" customFormat="1" x14ac:dyDescent="0.2">
      <c r="A640" s="188"/>
      <c r="B640" s="188"/>
      <c r="C640" s="188"/>
    </row>
    <row r="641" spans="1:3" s="183" customFormat="1" x14ac:dyDescent="0.2">
      <c r="A641" s="188"/>
      <c r="B641" s="188"/>
      <c r="C641" s="188"/>
    </row>
    <row r="642" spans="1:3" s="183" customFormat="1" x14ac:dyDescent="0.2">
      <c r="A642" s="188"/>
      <c r="B642" s="188"/>
      <c r="C642" s="188"/>
    </row>
    <row r="643" spans="1:3" s="183" customFormat="1" x14ac:dyDescent="0.2">
      <c r="A643" s="188"/>
      <c r="B643" s="188"/>
      <c r="C643" s="188"/>
    </row>
    <row r="644" spans="1:3" s="183" customFormat="1" x14ac:dyDescent="0.2">
      <c r="A644" s="188"/>
      <c r="B644" s="188"/>
      <c r="C644" s="188"/>
    </row>
    <row r="645" spans="1:3" s="183" customFormat="1" x14ac:dyDescent="0.2">
      <c r="A645" s="188"/>
      <c r="B645" s="188"/>
      <c r="C645" s="188"/>
    </row>
    <row r="646" spans="1:3" s="183" customFormat="1" x14ac:dyDescent="0.2">
      <c r="A646" s="188"/>
      <c r="B646" s="188"/>
      <c r="C646" s="188"/>
    </row>
    <row r="647" spans="1:3" s="183" customFormat="1" x14ac:dyDescent="0.2">
      <c r="A647" s="188"/>
      <c r="B647" s="188"/>
      <c r="C647" s="188"/>
    </row>
    <row r="648" spans="1:3" s="183" customFormat="1" x14ac:dyDescent="0.2">
      <c r="A648" s="188"/>
      <c r="B648" s="188"/>
      <c r="C648" s="188"/>
    </row>
    <row r="649" spans="1:3" s="183" customFormat="1" x14ac:dyDescent="0.2">
      <c r="A649" s="188"/>
      <c r="B649" s="188"/>
      <c r="C649" s="188"/>
    </row>
    <row r="650" spans="1:3" s="183" customFormat="1" x14ac:dyDescent="0.2">
      <c r="A650" s="188"/>
      <c r="B650" s="188"/>
      <c r="C650" s="188"/>
    </row>
    <row r="651" spans="1:3" s="183" customFormat="1" x14ac:dyDescent="0.2">
      <c r="A651" s="188"/>
      <c r="B651" s="188"/>
      <c r="C651" s="188"/>
    </row>
    <row r="652" spans="1:3" s="183" customFormat="1" x14ac:dyDescent="0.2">
      <c r="A652" s="188"/>
      <c r="B652" s="188"/>
      <c r="C652" s="188"/>
    </row>
    <row r="653" spans="1:3" s="183" customFormat="1" x14ac:dyDescent="0.2">
      <c r="A653" s="188"/>
      <c r="B653" s="188"/>
      <c r="C653" s="188"/>
    </row>
    <row r="654" spans="1:3" s="183" customFormat="1" x14ac:dyDescent="0.2">
      <c r="A654" s="188"/>
      <c r="B654" s="188"/>
      <c r="C654" s="188"/>
    </row>
    <row r="655" spans="1:3" s="183" customFormat="1" x14ac:dyDescent="0.2">
      <c r="A655" s="188"/>
      <c r="B655" s="188"/>
      <c r="C655" s="188"/>
    </row>
    <row r="656" spans="1:3" s="183" customFormat="1" x14ac:dyDescent="0.2">
      <c r="A656" s="188"/>
      <c r="B656" s="188"/>
      <c r="C656" s="188"/>
    </row>
    <row r="657" spans="1:3" s="183" customFormat="1" x14ac:dyDescent="0.2">
      <c r="A657" s="188"/>
      <c r="B657" s="188"/>
      <c r="C657" s="188"/>
    </row>
    <row r="658" spans="1:3" s="183" customFormat="1" x14ac:dyDescent="0.2">
      <c r="A658" s="188"/>
      <c r="B658" s="188"/>
      <c r="C658" s="188"/>
    </row>
    <row r="659" spans="1:3" s="183" customFormat="1" x14ac:dyDescent="0.2">
      <c r="A659" s="188"/>
      <c r="B659" s="188"/>
      <c r="C659" s="188"/>
    </row>
    <row r="660" spans="1:3" s="183" customFormat="1" x14ac:dyDescent="0.2">
      <c r="A660" s="188"/>
      <c r="B660" s="188"/>
      <c r="C660" s="188"/>
    </row>
    <row r="661" spans="1:3" s="183" customFormat="1" x14ac:dyDescent="0.2">
      <c r="A661" s="188"/>
      <c r="B661" s="188"/>
      <c r="C661" s="188"/>
    </row>
    <row r="662" spans="1:3" s="183" customFormat="1" x14ac:dyDescent="0.2">
      <c r="A662" s="188"/>
      <c r="B662" s="188"/>
      <c r="C662" s="188"/>
    </row>
    <row r="663" spans="1:3" s="183" customFormat="1" x14ac:dyDescent="0.2">
      <c r="A663" s="188"/>
      <c r="B663" s="188"/>
      <c r="C663" s="188"/>
    </row>
    <row r="664" spans="1:3" s="183" customFormat="1" x14ac:dyDescent="0.2">
      <c r="A664" s="188"/>
      <c r="B664" s="188"/>
      <c r="C664" s="188"/>
    </row>
    <row r="665" spans="1:3" s="183" customFormat="1" x14ac:dyDescent="0.2">
      <c r="A665" s="188"/>
      <c r="B665" s="188"/>
      <c r="C665" s="188"/>
    </row>
    <row r="666" spans="1:3" s="183" customFormat="1" x14ac:dyDescent="0.2">
      <c r="A666" s="188"/>
      <c r="B666" s="188"/>
      <c r="C666" s="188"/>
    </row>
    <row r="667" spans="1:3" s="183" customFormat="1" x14ac:dyDescent="0.2">
      <c r="A667" s="188"/>
      <c r="B667" s="188"/>
      <c r="C667" s="188"/>
    </row>
    <row r="668" spans="1:3" s="183" customFormat="1" x14ac:dyDescent="0.2">
      <c r="A668" s="188"/>
      <c r="B668" s="188"/>
      <c r="C668" s="188"/>
    </row>
    <row r="669" spans="1:3" s="183" customFormat="1" x14ac:dyDescent="0.2">
      <c r="A669" s="188"/>
      <c r="B669" s="188"/>
      <c r="C669" s="188"/>
    </row>
    <row r="670" spans="1:3" s="183" customFormat="1" x14ac:dyDescent="0.2">
      <c r="A670" s="188"/>
      <c r="B670" s="188"/>
      <c r="C670" s="188"/>
    </row>
    <row r="671" spans="1:3" s="183" customFormat="1" x14ac:dyDescent="0.2">
      <c r="A671" s="188"/>
      <c r="B671" s="188"/>
      <c r="C671" s="188"/>
    </row>
    <row r="672" spans="1:3" s="183" customFormat="1" x14ac:dyDescent="0.2">
      <c r="A672" s="188"/>
      <c r="B672" s="188"/>
      <c r="C672" s="188"/>
    </row>
    <row r="673" spans="1:3" s="183" customFormat="1" x14ac:dyDescent="0.2">
      <c r="A673" s="188"/>
      <c r="B673" s="188"/>
      <c r="C673" s="188"/>
    </row>
    <row r="674" spans="1:3" s="183" customFormat="1" x14ac:dyDescent="0.2">
      <c r="A674" s="188"/>
      <c r="B674" s="188"/>
      <c r="C674" s="188"/>
    </row>
    <row r="675" spans="1:3" s="183" customFormat="1" x14ac:dyDescent="0.2">
      <c r="A675" s="188"/>
      <c r="B675" s="188"/>
      <c r="C675" s="188"/>
    </row>
    <row r="676" spans="1:3" s="183" customFormat="1" x14ac:dyDescent="0.2">
      <c r="A676" s="188"/>
      <c r="B676" s="188"/>
      <c r="C676" s="188"/>
    </row>
    <row r="677" spans="1:3" s="183" customFormat="1" x14ac:dyDescent="0.2">
      <c r="A677" s="188"/>
      <c r="B677" s="188"/>
      <c r="C677" s="188"/>
    </row>
    <row r="678" spans="1:3" s="183" customFormat="1" x14ac:dyDescent="0.2">
      <c r="A678" s="188"/>
      <c r="B678" s="188"/>
      <c r="C678" s="188"/>
    </row>
    <row r="679" spans="1:3" s="183" customFormat="1" x14ac:dyDescent="0.2">
      <c r="A679" s="188"/>
      <c r="B679" s="188"/>
      <c r="C679" s="188"/>
    </row>
    <row r="680" spans="1:3" s="183" customFormat="1" x14ac:dyDescent="0.2">
      <c r="A680" s="188"/>
      <c r="B680" s="188"/>
      <c r="C680" s="188"/>
    </row>
    <row r="681" spans="1:3" s="183" customFormat="1" x14ac:dyDescent="0.2">
      <c r="A681" s="188"/>
      <c r="B681" s="188"/>
      <c r="C681" s="188"/>
    </row>
    <row r="682" spans="1:3" s="183" customFormat="1" x14ac:dyDescent="0.2">
      <c r="A682" s="188"/>
      <c r="B682" s="188"/>
      <c r="C682" s="188"/>
    </row>
    <row r="683" spans="1:3" s="183" customFormat="1" x14ac:dyDescent="0.2">
      <c r="A683" s="188"/>
      <c r="B683" s="188"/>
      <c r="C683" s="188"/>
    </row>
    <row r="684" spans="1:3" s="183" customFormat="1" x14ac:dyDescent="0.2">
      <c r="A684" s="188"/>
      <c r="B684" s="188"/>
      <c r="C684" s="188"/>
    </row>
    <row r="685" spans="1:3" s="183" customFormat="1" x14ac:dyDescent="0.2">
      <c r="A685" s="188"/>
      <c r="B685" s="188"/>
      <c r="C685" s="188"/>
    </row>
    <row r="686" spans="1:3" s="183" customFormat="1" x14ac:dyDescent="0.2">
      <c r="A686" s="188"/>
      <c r="B686" s="188"/>
      <c r="C686" s="188"/>
    </row>
    <row r="687" spans="1:3" s="183" customFormat="1" x14ac:dyDescent="0.2">
      <c r="A687" s="188"/>
      <c r="B687" s="188"/>
      <c r="C687" s="188"/>
    </row>
    <row r="688" spans="1:3" s="183" customFormat="1" x14ac:dyDescent="0.2">
      <c r="A688" s="188"/>
      <c r="B688" s="188"/>
      <c r="C688" s="188"/>
    </row>
    <row r="689" spans="1:3" s="183" customFormat="1" x14ac:dyDescent="0.2">
      <c r="A689" s="188"/>
      <c r="B689" s="188"/>
      <c r="C689" s="188"/>
    </row>
    <row r="690" spans="1:3" s="183" customFormat="1" x14ac:dyDescent="0.2">
      <c r="A690" s="188"/>
      <c r="B690" s="188"/>
      <c r="C690" s="188"/>
    </row>
    <row r="691" spans="1:3" s="183" customFormat="1" x14ac:dyDescent="0.2">
      <c r="A691" s="188"/>
      <c r="B691" s="188"/>
      <c r="C691" s="188"/>
    </row>
    <row r="692" spans="1:3" s="183" customFormat="1" x14ac:dyDescent="0.2">
      <c r="A692" s="188"/>
      <c r="B692" s="188"/>
      <c r="C692" s="188"/>
    </row>
    <row r="693" spans="1:3" s="183" customFormat="1" x14ac:dyDescent="0.2">
      <c r="A693" s="188"/>
      <c r="B693" s="188"/>
      <c r="C693" s="188"/>
    </row>
    <row r="694" spans="1:3" s="183" customFormat="1" x14ac:dyDescent="0.2">
      <c r="A694" s="188"/>
      <c r="B694" s="188"/>
      <c r="C694" s="188"/>
    </row>
    <row r="695" spans="1:3" s="183" customFormat="1" x14ac:dyDescent="0.2">
      <c r="A695" s="188"/>
      <c r="B695" s="188"/>
      <c r="C695" s="188"/>
    </row>
    <row r="696" spans="1:3" s="183" customFormat="1" x14ac:dyDescent="0.2">
      <c r="A696" s="188"/>
      <c r="B696" s="188"/>
      <c r="C696" s="188"/>
    </row>
    <row r="697" spans="1:3" s="183" customFormat="1" x14ac:dyDescent="0.2">
      <c r="A697" s="188"/>
      <c r="B697" s="188"/>
      <c r="C697" s="188"/>
    </row>
    <row r="698" spans="1:3" s="183" customFormat="1" x14ac:dyDescent="0.2">
      <c r="A698" s="188"/>
      <c r="B698" s="188"/>
      <c r="C698" s="188"/>
    </row>
    <row r="699" spans="1:3" s="183" customFormat="1" x14ac:dyDescent="0.2">
      <c r="A699" s="188"/>
      <c r="B699" s="188"/>
      <c r="C699" s="188"/>
    </row>
    <row r="700" spans="1:3" s="183" customFormat="1" x14ac:dyDescent="0.2">
      <c r="A700" s="188"/>
      <c r="B700" s="188"/>
      <c r="C700" s="188"/>
    </row>
    <row r="701" spans="1:3" s="183" customFormat="1" x14ac:dyDescent="0.2">
      <c r="A701" s="188"/>
      <c r="B701" s="188"/>
      <c r="C701" s="188"/>
    </row>
    <row r="702" spans="1:3" s="183" customFormat="1" x14ac:dyDescent="0.2">
      <c r="A702" s="188"/>
      <c r="B702" s="188"/>
      <c r="C702" s="188"/>
    </row>
    <row r="703" spans="1:3" s="183" customFormat="1" x14ac:dyDescent="0.2">
      <c r="A703" s="188"/>
      <c r="B703" s="188"/>
      <c r="C703" s="188"/>
    </row>
    <row r="704" spans="1:3" s="183" customFormat="1" x14ac:dyDescent="0.2">
      <c r="A704" s="188"/>
      <c r="B704" s="188"/>
      <c r="C704" s="188"/>
    </row>
    <row r="705" spans="1:3" s="183" customFormat="1" x14ac:dyDescent="0.2">
      <c r="A705" s="188"/>
      <c r="B705" s="188"/>
      <c r="C705" s="188"/>
    </row>
    <row r="706" spans="1:3" s="183" customFormat="1" x14ac:dyDescent="0.2">
      <c r="A706" s="188"/>
      <c r="B706" s="188"/>
      <c r="C706" s="188"/>
    </row>
    <row r="707" spans="1:3" s="183" customFormat="1" x14ac:dyDescent="0.2">
      <c r="A707" s="188"/>
      <c r="B707" s="188"/>
      <c r="C707" s="188"/>
    </row>
    <row r="708" spans="1:3" s="183" customFormat="1" x14ac:dyDescent="0.2">
      <c r="A708" s="188"/>
      <c r="B708" s="188"/>
      <c r="C708" s="188"/>
    </row>
    <row r="709" spans="1:3" s="183" customFormat="1" x14ac:dyDescent="0.2">
      <c r="A709" s="188"/>
      <c r="B709" s="188"/>
      <c r="C709" s="188"/>
    </row>
    <row r="710" spans="1:3" s="183" customFormat="1" x14ac:dyDescent="0.2">
      <c r="A710" s="188"/>
      <c r="B710" s="188"/>
      <c r="C710" s="188"/>
    </row>
    <row r="711" spans="1:3" s="183" customFormat="1" x14ac:dyDescent="0.2">
      <c r="A711" s="188"/>
      <c r="B711" s="188"/>
      <c r="C711" s="188"/>
    </row>
    <row r="712" spans="1:3" s="183" customFormat="1" x14ac:dyDescent="0.2">
      <c r="A712" s="188"/>
      <c r="B712" s="188"/>
      <c r="C712" s="188"/>
    </row>
    <row r="713" spans="1:3" s="183" customFormat="1" x14ac:dyDescent="0.2">
      <c r="A713" s="188"/>
      <c r="B713" s="188"/>
      <c r="C713" s="188"/>
    </row>
    <row r="714" spans="1:3" s="183" customFormat="1" x14ac:dyDescent="0.2">
      <c r="A714" s="188"/>
      <c r="B714" s="188"/>
      <c r="C714" s="188"/>
    </row>
    <row r="715" spans="1:3" s="183" customFormat="1" x14ac:dyDescent="0.2">
      <c r="A715" s="188"/>
      <c r="B715" s="188"/>
      <c r="C715" s="188"/>
    </row>
    <row r="716" spans="1:3" s="183" customFormat="1" x14ac:dyDescent="0.2">
      <c r="A716" s="188"/>
      <c r="B716" s="188"/>
      <c r="C716" s="188"/>
    </row>
    <row r="717" spans="1:3" s="183" customFormat="1" x14ac:dyDescent="0.2">
      <c r="A717" s="188"/>
      <c r="B717" s="188"/>
      <c r="C717" s="188"/>
    </row>
    <row r="718" spans="1:3" s="183" customFormat="1" x14ac:dyDescent="0.2">
      <c r="A718" s="188"/>
      <c r="B718" s="188"/>
      <c r="C718" s="188"/>
    </row>
    <row r="719" spans="1:3" s="183" customFormat="1" x14ac:dyDescent="0.2">
      <c r="A719" s="188"/>
      <c r="B719" s="188"/>
      <c r="C719" s="188"/>
    </row>
    <row r="720" spans="1:3" s="183" customFormat="1" x14ac:dyDescent="0.2">
      <c r="A720" s="188"/>
      <c r="B720" s="188"/>
      <c r="C720" s="188"/>
    </row>
    <row r="721" spans="1:3" s="183" customFormat="1" x14ac:dyDescent="0.2">
      <c r="A721" s="188"/>
      <c r="B721" s="188"/>
      <c r="C721" s="188"/>
    </row>
    <row r="722" spans="1:3" s="183" customFormat="1" x14ac:dyDescent="0.2">
      <c r="A722" s="188"/>
      <c r="B722" s="188"/>
      <c r="C722" s="188"/>
    </row>
    <row r="723" spans="1:3" s="183" customFormat="1" x14ac:dyDescent="0.2">
      <c r="A723" s="188"/>
      <c r="B723" s="188"/>
      <c r="C723" s="188"/>
    </row>
    <row r="724" spans="1:3" s="183" customFormat="1" x14ac:dyDescent="0.2">
      <c r="A724" s="188"/>
      <c r="B724" s="188"/>
      <c r="C724" s="188"/>
    </row>
    <row r="725" spans="1:3" s="183" customFormat="1" x14ac:dyDescent="0.2">
      <c r="A725" s="188"/>
      <c r="B725" s="188"/>
      <c r="C725" s="188"/>
    </row>
    <row r="726" spans="1:3" s="183" customFormat="1" x14ac:dyDescent="0.2">
      <c r="A726" s="188"/>
      <c r="B726" s="188"/>
      <c r="C726" s="188"/>
    </row>
    <row r="727" spans="1:3" s="183" customFormat="1" x14ac:dyDescent="0.2">
      <c r="A727" s="188"/>
      <c r="B727" s="188"/>
      <c r="C727" s="188"/>
    </row>
    <row r="728" spans="1:3" s="183" customFormat="1" x14ac:dyDescent="0.2">
      <c r="A728" s="188"/>
      <c r="B728" s="188"/>
      <c r="C728" s="188"/>
    </row>
    <row r="729" spans="1:3" s="183" customFormat="1" x14ac:dyDescent="0.2">
      <c r="A729" s="188"/>
      <c r="B729" s="188"/>
      <c r="C729" s="188"/>
    </row>
    <row r="730" spans="1:3" s="183" customFormat="1" x14ac:dyDescent="0.2">
      <c r="A730" s="188"/>
      <c r="B730" s="188"/>
      <c r="C730" s="188"/>
    </row>
    <row r="731" spans="1:3" s="183" customFormat="1" x14ac:dyDescent="0.2">
      <c r="A731" s="188"/>
      <c r="B731" s="188"/>
      <c r="C731" s="188"/>
    </row>
    <row r="732" spans="1:3" s="183" customFormat="1" x14ac:dyDescent="0.2">
      <c r="A732" s="188"/>
      <c r="B732" s="188"/>
      <c r="C732" s="188"/>
    </row>
    <row r="733" spans="1:3" s="183" customFormat="1" x14ac:dyDescent="0.2">
      <c r="A733" s="188"/>
      <c r="B733" s="188"/>
      <c r="C733" s="188"/>
    </row>
    <row r="734" spans="1:3" s="183" customFormat="1" x14ac:dyDescent="0.2">
      <c r="A734" s="188"/>
      <c r="B734" s="188"/>
      <c r="C734" s="188"/>
    </row>
    <row r="735" spans="1:3" s="183" customFormat="1" x14ac:dyDescent="0.2">
      <c r="A735" s="188"/>
      <c r="B735" s="188"/>
      <c r="C735" s="188"/>
    </row>
    <row r="736" spans="1:3" s="183" customFormat="1" x14ac:dyDescent="0.2">
      <c r="A736" s="188"/>
      <c r="B736" s="188"/>
      <c r="C736" s="188"/>
    </row>
    <row r="737" spans="1:3" s="183" customFormat="1" x14ac:dyDescent="0.2">
      <c r="A737" s="188"/>
      <c r="B737" s="188"/>
      <c r="C737" s="188"/>
    </row>
    <row r="738" spans="1:3" s="183" customFormat="1" x14ac:dyDescent="0.2">
      <c r="A738" s="188"/>
      <c r="B738" s="188"/>
      <c r="C738" s="188"/>
    </row>
    <row r="739" spans="1:3" s="183" customFormat="1" x14ac:dyDescent="0.2">
      <c r="A739" s="188"/>
      <c r="B739" s="188"/>
      <c r="C739" s="188"/>
    </row>
    <row r="740" spans="1:3" s="183" customFormat="1" x14ac:dyDescent="0.2">
      <c r="A740" s="188"/>
      <c r="B740" s="188"/>
      <c r="C740" s="188"/>
    </row>
    <row r="741" spans="1:3" s="183" customFormat="1" x14ac:dyDescent="0.2">
      <c r="A741" s="188"/>
      <c r="B741" s="188"/>
      <c r="C741" s="188"/>
    </row>
    <row r="742" spans="1:3" s="183" customFormat="1" x14ac:dyDescent="0.2">
      <c r="A742" s="188"/>
      <c r="B742" s="188"/>
      <c r="C742" s="188"/>
    </row>
    <row r="743" spans="1:3" s="183" customFormat="1" x14ac:dyDescent="0.2">
      <c r="A743" s="188"/>
      <c r="B743" s="188"/>
      <c r="C743" s="188"/>
    </row>
    <row r="744" spans="1:3" s="183" customFormat="1" x14ac:dyDescent="0.2">
      <c r="A744" s="188"/>
      <c r="B744" s="188"/>
      <c r="C744" s="188"/>
    </row>
    <row r="745" spans="1:3" s="183" customFormat="1" x14ac:dyDescent="0.2">
      <c r="A745" s="188"/>
      <c r="B745" s="188"/>
      <c r="C745" s="188"/>
    </row>
    <row r="746" spans="1:3" s="183" customFormat="1" x14ac:dyDescent="0.2">
      <c r="A746" s="188"/>
      <c r="B746" s="188"/>
      <c r="C746" s="188"/>
    </row>
    <row r="747" spans="1:3" s="183" customFormat="1" x14ac:dyDescent="0.2">
      <c r="A747" s="188"/>
      <c r="B747" s="188"/>
      <c r="C747" s="188"/>
    </row>
    <row r="748" spans="1:3" s="183" customFormat="1" x14ac:dyDescent="0.2">
      <c r="A748" s="188"/>
      <c r="B748" s="188"/>
      <c r="C748" s="188"/>
    </row>
    <row r="749" spans="1:3" s="183" customFormat="1" x14ac:dyDescent="0.2">
      <c r="A749" s="188"/>
      <c r="B749" s="188"/>
      <c r="C749" s="188"/>
    </row>
    <row r="750" spans="1:3" s="183" customFormat="1" x14ac:dyDescent="0.2">
      <c r="A750" s="188"/>
      <c r="B750" s="188"/>
      <c r="C750" s="188"/>
    </row>
    <row r="751" spans="1:3" s="183" customFormat="1" x14ac:dyDescent="0.2">
      <c r="A751" s="188"/>
      <c r="B751" s="188"/>
      <c r="C751" s="188"/>
    </row>
    <row r="752" spans="1:3" s="183" customFormat="1" x14ac:dyDescent="0.2">
      <c r="A752" s="188"/>
      <c r="B752" s="188"/>
      <c r="C752" s="188"/>
    </row>
    <row r="753" spans="1:3" s="183" customFormat="1" x14ac:dyDescent="0.2">
      <c r="A753" s="188"/>
      <c r="B753" s="188"/>
      <c r="C753" s="188"/>
    </row>
    <row r="754" spans="1:3" s="183" customFormat="1" x14ac:dyDescent="0.2">
      <c r="A754" s="188"/>
      <c r="B754" s="188"/>
      <c r="C754" s="188"/>
    </row>
    <row r="755" spans="1:3" s="183" customFormat="1" x14ac:dyDescent="0.2">
      <c r="A755" s="188"/>
      <c r="B755" s="188"/>
      <c r="C755" s="188"/>
    </row>
    <row r="756" spans="1:3" s="183" customFormat="1" x14ac:dyDescent="0.2">
      <c r="A756" s="188"/>
      <c r="B756" s="188"/>
      <c r="C756" s="188"/>
    </row>
    <row r="757" spans="1:3" s="183" customFormat="1" x14ac:dyDescent="0.2">
      <c r="A757" s="188"/>
      <c r="B757" s="188"/>
      <c r="C757" s="188"/>
    </row>
    <row r="758" spans="1:3" s="183" customFormat="1" x14ac:dyDescent="0.2">
      <c r="A758" s="188"/>
      <c r="B758" s="188"/>
      <c r="C758" s="188"/>
    </row>
    <row r="759" spans="1:3" s="183" customFormat="1" x14ac:dyDescent="0.2">
      <c r="A759" s="188"/>
      <c r="B759" s="188"/>
      <c r="C759" s="188"/>
    </row>
    <row r="760" spans="1:3" s="183" customFormat="1" x14ac:dyDescent="0.2">
      <c r="A760" s="188"/>
      <c r="B760" s="188"/>
      <c r="C760" s="188"/>
    </row>
    <row r="761" spans="1:3" s="183" customFormat="1" x14ac:dyDescent="0.2">
      <c r="A761" s="188"/>
      <c r="B761" s="188"/>
      <c r="C761" s="188"/>
    </row>
    <row r="762" spans="1:3" s="183" customFormat="1" x14ac:dyDescent="0.2">
      <c r="A762" s="188"/>
      <c r="B762" s="188"/>
      <c r="C762" s="188"/>
    </row>
    <row r="763" spans="1:3" s="183" customFormat="1" x14ac:dyDescent="0.2">
      <c r="A763" s="188"/>
      <c r="B763" s="188"/>
      <c r="C763" s="188"/>
    </row>
    <row r="764" spans="1:3" s="183" customFormat="1" x14ac:dyDescent="0.2">
      <c r="A764" s="188"/>
      <c r="B764" s="188"/>
      <c r="C764" s="188"/>
    </row>
    <row r="765" spans="1:3" s="183" customFormat="1" x14ac:dyDescent="0.2">
      <c r="A765" s="188"/>
      <c r="B765" s="188"/>
      <c r="C765" s="188"/>
    </row>
    <row r="766" spans="1:3" s="183" customFormat="1" x14ac:dyDescent="0.2">
      <c r="A766" s="188"/>
      <c r="B766" s="188"/>
      <c r="C766" s="188"/>
    </row>
    <row r="767" spans="1:3" s="183" customFormat="1" x14ac:dyDescent="0.2">
      <c r="A767" s="188"/>
      <c r="B767" s="188"/>
      <c r="C767" s="188"/>
    </row>
    <row r="768" spans="1:3" s="183" customFormat="1" x14ac:dyDescent="0.2">
      <c r="A768" s="188"/>
      <c r="B768" s="188"/>
      <c r="C768" s="188"/>
    </row>
    <row r="769" spans="1:3" s="183" customFormat="1" x14ac:dyDescent="0.2">
      <c r="A769" s="188"/>
      <c r="B769" s="188"/>
      <c r="C769" s="188"/>
    </row>
    <row r="770" spans="1:3" s="183" customFormat="1" x14ac:dyDescent="0.2">
      <c r="A770" s="188"/>
      <c r="B770" s="188"/>
      <c r="C770" s="188"/>
    </row>
    <row r="771" spans="1:3" s="183" customFormat="1" x14ac:dyDescent="0.2">
      <c r="A771" s="188"/>
      <c r="B771" s="188"/>
      <c r="C771" s="188"/>
    </row>
    <row r="772" spans="1:3" s="183" customFormat="1" x14ac:dyDescent="0.2">
      <c r="A772" s="188"/>
      <c r="B772" s="188"/>
      <c r="C772" s="188"/>
    </row>
    <row r="773" spans="1:3" s="183" customFormat="1" x14ac:dyDescent="0.2">
      <c r="A773" s="188"/>
      <c r="B773" s="188"/>
      <c r="C773" s="188"/>
    </row>
    <row r="774" spans="1:3" s="183" customFormat="1" x14ac:dyDescent="0.2">
      <c r="A774" s="188"/>
      <c r="B774" s="188"/>
      <c r="C774" s="188"/>
    </row>
    <row r="775" spans="1:3" s="183" customFormat="1" x14ac:dyDescent="0.2">
      <c r="A775" s="188"/>
      <c r="B775" s="188"/>
      <c r="C775" s="188"/>
    </row>
    <row r="776" spans="1:3" s="183" customFormat="1" x14ac:dyDescent="0.2">
      <c r="A776" s="188"/>
      <c r="B776" s="188"/>
      <c r="C776" s="188"/>
    </row>
    <row r="777" spans="1:3" s="183" customFormat="1" x14ac:dyDescent="0.2">
      <c r="A777" s="188"/>
      <c r="B777" s="188"/>
      <c r="C777" s="188"/>
    </row>
    <row r="778" spans="1:3" s="183" customFormat="1" x14ac:dyDescent="0.2">
      <c r="A778" s="188"/>
      <c r="B778" s="188"/>
      <c r="C778" s="188"/>
    </row>
    <row r="779" spans="1:3" s="183" customFormat="1" x14ac:dyDescent="0.2">
      <c r="A779" s="188"/>
      <c r="B779" s="188"/>
      <c r="C779" s="188"/>
    </row>
    <row r="780" spans="1:3" s="183" customFormat="1" x14ac:dyDescent="0.2">
      <c r="A780" s="188"/>
      <c r="B780" s="188"/>
      <c r="C780" s="188"/>
    </row>
    <row r="781" spans="1:3" s="183" customFormat="1" x14ac:dyDescent="0.2">
      <c r="A781" s="188"/>
      <c r="B781" s="188"/>
      <c r="C781" s="188"/>
    </row>
    <row r="782" spans="1:3" s="183" customFormat="1" x14ac:dyDescent="0.2">
      <c r="A782" s="188"/>
      <c r="B782" s="188"/>
      <c r="C782" s="188"/>
    </row>
    <row r="783" spans="1:3" s="183" customFormat="1" x14ac:dyDescent="0.2">
      <c r="A783" s="188"/>
      <c r="B783" s="188"/>
      <c r="C783" s="188"/>
    </row>
    <row r="784" spans="1:3" s="183" customFormat="1" x14ac:dyDescent="0.2">
      <c r="A784" s="188"/>
      <c r="B784" s="188"/>
      <c r="C784" s="188"/>
    </row>
    <row r="785" spans="1:3" s="183" customFormat="1" x14ac:dyDescent="0.2">
      <c r="A785" s="188"/>
      <c r="B785" s="188"/>
      <c r="C785" s="188"/>
    </row>
    <row r="786" spans="1:3" s="183" customFormat="1" x14ac:dyDescent="0.2">
      <c r="A786" s="188"/>
      <c r="B786" s="188"/>
      <c r="C786" s="188"/>
    </row>
    <row r="787" spans="1:3" s="183" customFormat="1" x14ac:dyDescent="0.2">
      <c r="A787" s="188"/>
      <c r="B787" s="188"/>
      <c r="C787" s="188"/>
    </row>
    <row r="788" spans="1:3" s="183" customFormat="1" x14ac:dyDescent="0.2">
      <c r="A788" s="188"/>
      <c r="B788" s="188"/>
      <c r="C788" s="188"/>
    </row>
    <row r="789" spans="1:3" s="183" customFormat="1" x14ac:dyDescent="0.2">
      <c r="A789" s="188"/>
      <c r="B789" s="188"/>
      <c r="C789" s="188"/>
    </row>
    <row r="790" spans="1:3" s="183" customFormat="1" x14ac:dyDescent="0.2">
      <c r="A790" s="188"/>
      <c r="B790" s="188"/>
      <c r="C790" s="188"/>
    </row>
    <row r="791" spans="1:3" s="183" customFormat="1" x14ac:dyDescent="0.2">
      <c r="A791" s="188"/>
      <c r="B791" s="188"/>
      <c r="C791" s="188"/>
    </row>
    <row r="792" spans="1:3" s="183" customFormat="1" x14ac:dyDescent="0.2">
      <c r="A792" s="188"/>
      <c r="B792" s="188"/>
      <c r="C792" s="188"/>
    </row>
    <row r="793" spans="1:3" s="183" customFormat="1" x14ac:dyDescent="0.2">
      <c r="A793" s="188"/>
      <c r="B793" s="188"/>
      <c r="C793" s="188"/>
    </row>
    <row r="794" spans="1:3" s="183" customFormat="1" x14ac:dyDescent="0.2">
      <c r="A794" s="188"/>
      <c r="B794" s="188"/>
      <c r="C794" s="188"/>
    </row>
    <row r="795" spans="1:3" s="183" customFormat="1" x14ac:dyDescent="0.2">
      <c r="A795" s="188"/>
      <c r="B795" s="188"/>
      <c r="C795" s="188"/>
    </row>
    <row r="796" spans="1:3" s="183" customFormat="1" x14ac:dyDescent="0.2">
      <c r="A796" s="188"/>
      <c r="B796" s="188"/>
      <c r="C796" s="188"/>
    </row>
    <row r="797" spans="1:3" s="183" customFormat="1" x14ac:dyDescent="0.2">
      <c r="A797" s="188"/>
      <c r="B797" s="188"/>
      <c r="C797" s="188"/>
    </row>
    <row r="798" spans="1:3" s="183" customFormat="1" x14ac:dyDescent="0.2">
      <c r="A798" s="188"/>
      <c r="B798" s="188"/>
      <c r="C798" s="188"/>
    </row>
    <row r="799" spans="1:3" s="183" customFormat="1" x14ac:dyDescent="0.2">
      <c r="A799" s="188"/>
      <c r="B799" s="188"/>
      <c r="C799" s="188"/>
    </row>
    <row r="800" spans="1:3" s="183" customFormat="1" x14ac:dyDescent="0.2">
      <c r="A800" s="188"/>
      <c r="B800" s="188"/>
      <c r="C800" s="188"/>
    </row>
    <row r="801" spans="1:3" s="183" customFormat="1" x14ac:dyDescent="0.2">
      <c r="A801" s="188"/>
      <c r="B801" s="188"/>
      <c r="C801" s="188"/>
    </row>
    <row r="802" spans="1:3" s="183" customFormat="1" x14ac:dyDescent="0.2">
      <c r="A802" s="188"/>
      <c r="B802" s="188"/>
      <c r="C802" s="188"/>
    </row>
    <row r="803" spans="1:3" s="183" customFormat="1" x14ac:dyDescent="0.2">
      <c r="A803" s="188"/>
      <c r="B803" s="188"/>
      <c r="C803" s="188"/>
    </row>
    <row r="804" spans="1:3" s="183" customFormat="1" x14ac:dyDescent="0.2">
      <c r="A804" s="188"/>
      <c r="B804" s="188"/>
      <c r="C804" s="188"/>
    </row>
    <row r="805" spans="1:3" s="183" customFormat="1" x14ac:dyDescent="0.2">
      <c r="A805" s="188"/>
      <c r="B805" s="188"/>
      <c r="C805" s="188"/>
    </row>
    <row r="806" spans="1:3" s="183" customFormat="1" x14ac:dyDescent="0.2">
      <c r="A806" s="188"/>
      <c r="B806" s="188"/>
      <c r="C806" s="188"/>
    </row>
    <row r="807" spans="1:3" s="183" customFormat="1" x14ac:dyDescent="0.2">
      <c r="A807" s="188"/>
      <c r="B807" s="188"/>
      <c r="C807" s="188"/>
    </row>
    <row r="808" spans="1:3" s="183" customFormat="1" x14ac:dyDescent="0.2">
      <c r="A808" s="188"/>
      <c r="B808" s="188"/>
      <c r="C808" s="188"/>
    </row>
    <row r="809" spans="1:3" s="183" customFormat="1" x14ac:dyDescent="0.2">
      <c r="A809" s="188"/>
      <c r="B809" s="188"/>
      <c r="C809" s="188"/>
    </row>
    <row r="810" spans="1:3" s="183" customFormat="1" x14ac:dyDescent="0.2">
      <c r="A810" s="188"/>
      <c r="B810" s="188"/>
      <c r="C810" s="188"/>
    </row>
    <row r="811" spans="1:3" s="183" customFormat="1" x14ac:dyDescent="0.2">
      <c r="A811" s="188"/>
      <c r="B811" s="188"/>
      <c r="C811" s="188"/>
    </row>
    <row r="812" spans="1:3" s="183" customFormat="1" x14ac:dyDescent="0.2">
      <c r="A812" s="188"/>
      <c r="B812" s="188"/>
      <c r="C812" s="188"/>
    </row>
    <row r="813" spans="1:3" s="183" customFormat="1" x14ac:dyDescent="0.2">
      <c r="A813" s="188"/>
      <c r="B813" s="188"/>
      <c r="C813" s="188"/>
    </row>
    <row r="814" spans="1:3" s="183" customFormat="1" x14ac:dyDescent="0.2">
      <c r="A814" s="188"/>
      <c r="B814" s="188"/>
      <c r="C814" s="188"/>
    </row>
    <row r="815" spans="1:3" s="183" customFormat="1" x14ac:dyDescent="0.2">
      <c r="A815" s="188"/>
      <c r="B815" s="188"/>
      <c r="C815" s="188"/>
    </row>
    <row r="816" spans="1:3" s="183" customFormat="1" x14ac:dyDescent="0.2">
      <c r="A816" s="188"/>
      <c r="B816" s="188"/>
      <c r="C816" s="188"/>
    </row>
    <row r="817" spans="1:3" s="183" customFormat="1" x14ac:dyDescent="0.2">
      <c r="A817" s="188"/>
      <c r="B817" s="188"/>
      <c r="C817" s="188"/>
    </row>
    <row r="818" spans="1:3" s="183" customFormat="1" x14ac:dyDescent="0.2">
      <c r="A818" s="188"/>
      <c r="B818" s="188"/>
      <c r="C818" s="188"/>
    </row>
    <row r="819" spans="1:3" s="183" customFormat="1" x14ac:dyDescent="0.2">
      <c r="A819" s="188"/>
      <c r="B819" s="188"/>
      <c r="C819" s="188"/>
    </row>
    <row r="820" spans="1:3" s="183" customFormat="1" x14ac:dyDescent="0.2">
      <c r="A820" s="188"/>
      <c r="B820" s="188"/>
      <c r="C820" s="188"/>
    </row>
    <row r="821" spans="1:3" s="183" customFormat="1" x14ac:dyDescent="0.2">
      <c r="A821" s="188"/>
      <c r="B821" s="188"/>
      <c r="C821" s="188"/>
    </row>
    <row r="822" spans="1:3" s="183" customFormat="1" x14ac:dyDescent="0.2">
      <c r="A822" s="188"/>
      <c r="B822" s="188"/>
      <c r="C822" s="188"/>
    </row>
    <row r="823" spans="1:3" s="183" customFormat="1" x14ac:dyDescent="0.2">
      <c r="A823" s="188"/>
      <c r="B823" s="188"/>
      <c r="C823" s="188"/>
    </row>
    <row r="824" spans="1:3" s="183" customFormat="1" x14ac:dyDescent="0.2">
      <c r="A824" s="188"/>
      <c r="B824" s="188"/>
      <c r="C824" s="188"/>
    </row>
    <row r="825" spans="1:3" s="183" customFormat="1" x14ac:dyDescent="0.2">
      <c r="A825" s="188"/>
      <c r="B825" s="188"/>
      <c r="C825" s="188"/>
    </row>
    <row r="826" spans="1:3" s="183" customFormat="1" x14ac:dyDescent="0.2">
      <c r="A826" s="188"/>
      <c r="B826" s="188"/>
      <c r="C826" s="188"/>
    </row>
    <row r="827" spans="1:3" s="183" customFormat="1" x14ac:dyDescent="0.2">
      <c r="A827" s="188"/>
      <c r="B827" s="188"/>
      <c r="C827" s="188"/>
    </row>
    <row r="828" spans="1:3" s="183" customFormat="1" x14ac:dyDescent="0.2">
      <c r="A828" s="188"/>
      <c r="B828" s="188"/>
      <c r="C828" s="188"/>
    </row>
    <row r="829" spans="1:3" s="183" customFormat="1" x14ac:dyDescent="0.2">
      <c r="A829" s="188"/>
      <c r="B829" s="188"/>
      <c r="C829" s="188"/>
    </row>
    <row r="830" spans="1:3" s="183" customFormat="1" x14ac:dyDescent="0.2">
      <c r="A830" s="188"/>
      <c r="B830" s="188"/>
      <c r="C830" s="188"/>
    </row>
    <row r="831" spans="1:3" s="183" customFormat="1" x14ac:dyDescent="0.2">
      <c r="A831" s="188"/>
      <c r="B831" s="188"/>
      <c r="C831" s="188"/>
    </row>
    <row r="832" spans="1:3" s="183" customFormat="1" x14ac:dyDescent="0.2">
      <c r="A832" s="188"/>
      <c r="B832" s="188"/>
      <c r="C832" s="188"/>
    </row>
    <row r="833" spans="1:3" s="183" customFormat="1" x14ac:dyDescent="0.2">
      <c r="A833" s="188"/>
      <c r="B833" s="188"/>
      <c r="C833" s="188"/>
    </row>
    <row r="834" spans="1:3" s="183" customFormat="1" x14ac:dyDescent="0.2">
      <c r="A834" s="188"/>
      <c r="B834" s="188"/>
      <c r="C834" s="188"/>
    </row>
    <row r="835" spans="1:3" s="183" customFormat="1" x14ac:dyDescent="0.2">
      <c r="A835" s="188"/>
      <c r="B835" s="188"/>
      <c r="C835" s="188"/>
    </row>
    <row r="836" spans="1:3" s="183" customFormat="1" x14ac:dyDescent="0.2">
      <c r="A836" s="188"/>
      <c r="B836" s="188"/>
      <c r="C836" s="188"/>
    </row>
    <row r="837" spans="1:3" s="183" customFormat="1" x14ac:dyDescent="0.2">
      <c r="A837" s="188"/>
      <c r="B837" s="188"/>
      <c r="C837" s="188"/>
    </row>
    <row r="838" spans="1:3" s="183" customFormat="1" x14ac:dyDescent="0.2">
      <c r="A838" s="188"/>
      <c r="B838" s="188"/>
      <c r="C838" s="188"/>
    </row>
    <row r="839" spans="1:3" s="183" customFormat="1" x14ac:dyDescent="0.2">
      <c r="A839" s="188"/>
      <c r="B839" s="188"/>
      <c r="C839" s="188"/>
    </row>
    <row r="840" spans="1:3" s="183" customFormat="1" x14ac:dyDescent="0.2">
      <c r="A840" s="188"/>
      <c r="B840" s="188"/>
      <c r="C840" s="188"/>
    </row>
    <row r="841" spans="1:3" s="183" customFormat="1" x14ac:dyDescent="0.2">
      <c r="A841" s="188"/>
      <c r="B841" s="188"/>
      <c r="C841" s="188"/>
    </row>
    <row r="842" spans="1:3" s="183" customFormat="1" x14ac:dyDescent="0.2">
      <c r="A842" s="188"/>
      <c r="B842" s="188"/>
      <c r="C842" s="188"/>
    </row>
    <row r="843" spans="1:3" s="183" customFormat="1" x14ac:dyDescent="0.2">
      <c r="A843" s="188"/>
      <c r="B843" s="188"/>
      <c r="C843" s="188"/>
    </row>
    <row r="844" spans="1:3" s="183" customFormat="1" x14ac:dyDescent="0.2">
      <c r="A844" s="188"/>
      <c r="B844" s="188"/>
      <c r="C844" s="188"/>
    </row>
    <row r="845" spans="1:3" s="183" customFormat="1" x14ac:dyDescent="0.2">
      <c r="A845" s="188"/>
      <c r="B845" s="188"/>
      <c r="C845" s="188"/>
    </row>
    <row r="846" spans="1:3" s="183" customFormat="1" x14ac:dyDescent="0.2">
      <c r="A846" s="188"/>
      <c r="B846" s="188"/>
      <c r="C846" s="188"/>
    </row>
    <row r="847" spans="1:3" s="183" customFormat="1" x14ac:dyDescent="0.2">
      <c r="A847" s="188"/>
      <c r="B847" s="188"/>
      <c r="C847" s="188"/>
    </row>
    <row r="848" spans="1:3" s="183" customFormat="1" x14ac:dyDescent="0.2">
      <c r="A848" s="188"/>
      <c r="B848" s="188"/>
      <c r="C848" s="188"/>
    </row>
    <row r="849" spans="1:3" s="183" customFormat="1" x14ac:dyDescent="0.2">
      <c r="A849" s="188"/>
      <c r="B849" s="188"/>
      <c r="C849" s="188"/>
    </row>
    <row r="850" spans="1:3" s="183" customFormat="1" x14ac:dyDescent="0.2">
      <c r="A850" s="188"/>
      <c r="B850" s="188"/>
      <c r="C850" s="188"/>
    </row>
    <row r="851" spans="1:3" s="183" customFormat="1" x14ac:dyDescent="0.2">
      <c r="A851" s="188"/>
      <c r="B851" s="188"/>
      <c r="C851" s="188"/>
    </row>
    <row r="852" spans="1:3" s="183" customFormat="1" x14ac:dyDescent="0.2">
      <c r="A852" s="188"/>
      <c r="B852" s="188"/>
      <c r="C852" s="188"/>
    </row>
    <row r="853" spans="1:3" s="183" customFormat="1" x14ac:dyDescent="0.2">
      <c r="A853" s="188"/>
      <c r="B853" s="188"/>
      <c r="C853" s="188"/>
    </row>
    <row r="854" spans="1:3" s="183" customFormat="1" x14ac:dyDescent="0.2">
      <c r="A854" s="188"/>
      <c r="B854" s="188"/>
      <c r="C854" s="188"/>
    </row>
    <row r="855" spans="1:3" s="183" customFormat="1" x14ac:dyDescent="0.2">
      <c r="A855" s="188"/>
      <c r="B855" s="188"/>
      <c r="C855" s="188"/>
    </row>
    <row r="856" spans="1:3" s="183" customFormat="1" x14ac:dyDescent="0.2">
      <c r="A856" s="188"/>
      <c r="B856" s="188"/>
      <c r="C856" s="188"/>
    </row>
    <row r="857" spans="1:3" s="183" customFormat="1" x14ac:dyDescent="0.2">
      <c r="A857" s="188"/>
      <c r="B857" s="188"/>
      <c r="C857" s="188"/>
    </row>
    <row r="858" spans="1:3" s="183" customFormat="1" x14ac:dyDescent="0.2">
      <c r="A858" s="188"/>
      <c r="B858" s="188"/>
      <c r="C858" s="188"/>
    </row>
    <row r="859" spans="1:3" s="183" customFormat="1" x14ac:dyDescent="0.2">
      <c r="A859" s="188"/>
      <c r="B859" s="188"/>
      <c r="C859" s="188"/>
    </row>
    <row r="860" spans="1:3" s="183" customFormat="1" x14ac:dyDescent="0.2">
      <c r="A860" s="188"/>
      <c r="B860" s="188"/>
      <c r="C860" s="188"/>
    </row>
    <row r="861" spans="1:3" s="183" customFormat="1" x14ac:dyDescent="0.2">
      <c r="A861" s="188"/>
      <c r="B861" s="188"/>
      <c r="C861" s="188"/>
    </row>
    <row r="862" spans="1:3" s="183" customFormat="1" x14ac:dyDescent="0.2">
      <c r="A862" s="188"/>
      <c r="B862" s="188"/>
      <c r="C862" s="188"/>
    </row>
    <row r="863" spans="1:3" s="183" customFormat="1" x14ac:dyDescent="0.2">
      <c r="A863" s="188"/>
      <c r="B863" s="188"/>
      <c r="C863" s="188"/>
    </row>
    <row r="864" spans="1:3" s="183" customFormat="1" x14ac:dyDescent="0.2">
      <c r="A864" s="188"/>
      <c r="B864" s="188"/>
      <c r="C864" s="188"/>
    </row>
    <row r="865" spans="1:3" s="183" customFormat="1" x14ac:dyDescent="0.2">
      <c r="A865" s="188"/>
      <c r="B865" s="188"/>
      <c r="C865" s="188"/>
    </row>
    <row r="866" spans="1:3" s="183" customFormat="1" x14ac:dyDescent="0.2">
      <c r="A866" s="188"/>
      <c r="B866" s="188"/>
      <c r="C866" s="188"/>
    </row>
    <row r="867" spans="1:3" s="183" customFormat="1" x14ac:dyDescent="0.2">
      <c r="A867" s="188"/>
      <c r="B867" s="188"/>
      <c r="C867" s="188"/>
    </row>
    <row r="868" spans="1:3" s="183" customFormat="1" x14ac:dyDescent="0.2">
      <c r="A868" s="188"/>
      <c r="B868" s="188"/>
      <c r="C868" s="188"/>
    </row>
    <row r="869" spans="1:3" s="183" customFormat="1" x14ac:dyDescent="0.2">
      <c r="A869" s="188"/>
      <c r="B869" s="188"/>
      <c r="C869" s="188"/>
    </row>
    <row r="870" spans="1:3" s="183" customFormat="1" x14ac:dyDescent="0.2">
      <c r="A870" s="188"/>
      <c r="B870" s="188"/>
      <c r="C870" s="188"/>
    </row>
    <row r="871" spans="1:3" s="183" customFormat="1" x14ac:dyDescent="0.2">
      <c r="A871" s="188"/>
      <c r="B871" s="188"/>
      <c r="C871" s="188"/>
    </row>
    <row r="872" spans="1:3" s="183" customFormat="1" x14ac:dyDescent="0.2">
      <c r="A872" s="188"/>
      <c r="B872" s="188"/>
      <c r="C872" s="188"/>
    </row>
    <row r="873" spans="1:3" s="183" customFormat="1" x14ac:dyDescent="0.2">
      <c r="A873" s="188"/>
      <c r="B873" s="188"/>
      <c r="C873" s="188"/>
    </row>
    <row r="874" spans="1:3" s="183" customFormat="1" x14ac:dyDescent="0.2">
      <c r="A874" s="188"/>
      <c r="B874" s="188"/>
      <c r="C874" s="188"/>
    </row>
    <row r="875" spans="1:3" s="183" customFormat="1" x14ac:dyDescent="0.2">
      <c r="A875" s="188"/>
      <c r="B875" s="188"/>
      <c r="C875" s="188"/>
    </row>
    <row r="876" spans="1:3" s="183" customFormat="1" x14ac:dyDescent="0.2">
      <c r="A876" s="188"/>
      <c r="B876" s="188"/>
      <c r="C876" s="188"/>
    </row>
    <row r="877" spans="1:3" s="183" customFormat="1" x14ac:dyDescent="0.2">
      <c r="A877" s="188"/>
      <c r="B877" s="188"/>
      <c r="C877" s="188"/>
    </row>
    <row r="878" spans="1:3" s="183" customFormat="1" x14ac:dyDescent="0.2">
      <c r="A878" s="188"/>
      <c r="B878" s="188"/>
      <c r="C878" s="188"/>
    </row>
    <row r="879" spans="1:3" s="183" customFormat="1" x14ac:dyDescent="0.2">
      <c r="A879" s="188"/>
      <c r="B879" s="188"/>
      <c r="C879" s="188"/>
    </row>
    <row r="880" spans="1:3" s="183" customFormat="1" x14ac:dyDescent="0.2">
      <c r="A880" s="188"/>
      <c r="B880" s="188"/>
      <c r="C880" s="188"/>
    </row>
    <row r="881" spans="1:3" s="183" customFormat="1" x14ac:dyDescent="0.2">
      <c r="A881" s="188"/>
      <c r="B881" s="188"/>
      <c r="C881" s="188"/>
    </row>
    <row r="882" spans="1:3" s="183" customFormat="1" x14ac:dyDescent="0.2">
      <c r="A882" s="188"/>
      <c r="B882" s="188"/>
      <c r="C882" s="188"/>
    </row>
    <row r="883" spans="1:3" s="183" customFormat="1" x14ac:dyDescent="0.2">
      <c r="A883" s="188"/>
      <c r="B883" s="188"/>
      <c r="C883" s="188"/>
    </row>
    <row r="884" spans="1:3" s="183" customFormat="1" x14ac:dyDescent="0.2">
      <c r="A884" s="188"/>
      <c r="B884" s="188"/>
      <c r="C884" s="188"/>
    </row>
    <row r="885" spans="1:3" s="183" customFormat="1" x14ac:dyDescent="0.2">
      <c r="A885" s="188"/>
      <c r="B885" s="188"/>
      <c r="C885" s="188"/>
    </row>
    <row r="886" spans="1:3" s="183" customFormat="1" x14ac:dyDescent="0.2">
      <c r="A886" s="188"/>
      <c r="B886" s="188"/>
      <c r="C886" s="188"/>
    </row>
    <row r="887" spans="1:3" s="183" customFormat="1" x14ac:dyDescent="0.2">
      <c r="A887" s="188"/>
      <c r="B887" s="188"/>
      <c r="C887" s="188"/>
    </row>
    <row r="888" spans="1:3" s="183" customFormat="1" x14ac:dyDescent="0.2">
      <c r="A888" s="188"/>
      <c r="B888" s="188"/>
      <c r="C888" s="188"/>
    </row>
    <row r="889" spans="1:3" s="183" customFormat="1" x14ac:dyDescent="0.2">
      <c r="A889" s="188"/>
      <c r="B889" s="188"/>
      <c r="C889" s="188"/>
    </row>
    <row r="890" spans="1:3" s="183" customFormat="1" x14ac:dyDescent="0.2">
      <c r="A890" s="188"/>
      <c r="B890" s="188"/>
      <c r="C890" s="188"/>
    </row>
    <row r="891" spans="1:3" s="183" customFormat="1" x14ac:dyDescent="0.2">
      <c r="A891" s="188"/>
      <c r="B891" s="188"/>
      <c r="C891" s="188"/>
    </row>
    <row r="892" spans="1:3" s="183" customFormat="1" x14ac:dyDescent="0.2">
      <c r="A892" s="188"/>
      <c r="B892" s="188"/>
      <c r="C892" s="188"/>
    </row>
    <row r="893" spans="1:3" s="183" customFormat="1" x14ac:dyDescent="0.2">
      <c r="A893" s="188"/>
      <c r="B893" s="188"/>
      <c r="C893" s="188"/>
    </row>
    <row r="894" spans="1:3" s="183" customFormat="1" x14ac:dyDescent="0.2">
      <c r="A894" s="188"/>
      <c r="B894" s="188"/>
      <c r="C894" s="188"/>
    </row>
    <row r="895" spans="1:3" s="183" customFormat="1" x14ac:dyDescent="0.2">
      <c r="A895" s="188"/>
      <c r="B895" s="188"/>
      <c r="C895" s="188"/>
    </row>
    <row r="896" spans="1:3" s="183" customFormat="1" x14ac:dyDescent="0.2">
      <c r="A896" s="188"/>
      <c r="B896" s="188"/>
      <c r="C896" s="188"/>
    </row>
    <row r="897" spans="1:3" s="183" customFormat="1" x14ac:dyDescent="0.2">
      <c r="A897" s="188"/>
      <c r="B897" s="188"/>
      <c r="C897" s="188"/>
    </row>
    <row r="898" spans="1:3" s="183" customFormat="1" x14ac:dyDescent="0.2">
      <c r="A898" s="188"/>
      <c r="B898" s="188"/>
      <c r="C898" s="188"/>
    </row>
    <row r="899" spans="1:3" s="183" customFormat="1" x14ac:dyDescent="0.2">
      <c r="A899" s="188"/>
      <c r="B899" s="188"/>
      <c r="C899" s="188"/>
    </row>
    <row r="900" spans="1:3" s="183" customFormat="1" x14ac:dyDescent="0.2">
      <c r="A900" s="188"/>
      <c r="B900" s="188"/>
      <c r="C900" s="188"/>
    </row>
    <row r="901" spans="1:3" s="183" customFormat="1" x14ac:dyDescent="0.2">
      <c r="A901" s="188"/>
      <c r="B901" s="188"/>
      <c r="C901" s="188"/>
    </row>
    <row r="902" spans="1:3" s="183" customFormat="1" x14ac:dyDescent="0.2">
      <c r="A902" s="188"/>
      <c r="B902" s="188"/>
      <c r="C902" s="188"/>
    </row>
    <row r="903" spans="1:3" s="183" customFormat="1" x14ac:dyDescent="0.2">
      <c r="A903" s="188"/>
      <c r="B903" s="188"/>
      <c r="C903" s="188"/>
    </row>
    <row r="904" spans="1:3" s="183" customFormat="1" x14ac:dyDescent="0.2">
      <c r="A904" s="188"/>
      <c r="B904" s="188"/>
      <c r="C904" s="188"/>
    </row>
    <row r="905" spans="1:3" s="183" customFormat="1" x14ac:dyDescent="0.2">
      <c r="A905" s="188"/>
      <c r="B905" s="188"/>
      <c r="C905" s="188"/>
    </row>
    <row r="906" spans="1:3" s="183" customFormat="1" x14ac:dyDescent="0.2">
      <c r="A906" s="188"/>
      <c r="B906" s="188"/>
      <c r="C906" s="188"/>
    </row>
    <row r="907" spans="1:3" s="183" customFormat="1" x14ac:dyDescent="0.2">
      <c r="A907" s="188"/>
      <c r="B907" s="188"/>
      <c r="C907" s="188"/>
    </row>
    <row r="908" spans="1:3" s="183" customFormat="1" x14ac:dyDescent="0.2">
      <c r="A908" s="188"/>
      <c r="B908" s="188"/>
      <c r="C908" s="188"/>
    </row>
    <row r="909" spans="1:3" s="183" customFormat="1" x14ac:dyDescent="0.2">
      <c r="A909" s="188"/>
      <c r="B909" s="188"/>
      <c r="C909" s="188"/>
    </row>
    <row r="910" spans="1:3" s="183" customFormat="1" x14ac:dyDescent="0.2">
      <c r="A910" s="188"/>
      <c r="B910" s="188"/>
      <c r="C910" s="188"/>
    </row>
    <row r="911" spans="1:3" s="183" customFormat="1" x14ac:dyDescent="0.2">
      <c r="A911" s="188"/>
      <c r="B911" s="188"/>
      <c r="C911" s="188"/>
    </row>
    <row r="912" spans="1:3" s="183" customFormat="1" x14ac:dyDescent="0.2">
      <c r="A912" s="188"/>
      <c r="B912" s="188"/>
      <c r="C912" s="188"/>
    </row>
    <row r="913" spans="1:3" s="183" customFormat="1" x14ac:dyDescent="0.2">
      <c r="A913" s="188"/>
      <c r="B913" s="188"/>
      <c r="C913" s="188"/>
    </row>
    <row r="914" spans="1:3" s="183" customFormat="1" x14ac:dyDescent="0.2">
      <c r="A914" s="188"/>
      <c r="B914" s="188"/>
      <c r="C914" s="188"/>
    </row>
    <row r="915" spans="1:3" s="183" customFormat="1" x14ac:dyDescent="0.2">
      <c r="A915" s="188"/>
      <c r="B915" s="188"/>
      <c r="C915" s="188"/>
    </row>
    <row r="916" spans="1:3" s="183" customFormat="1" x14ac:dyDescent="0.2">
      <c r="A916" s="188"/>
      <c r="B916" s="188"/>
      <c r="C916" s="188"/>
    </row>
    <row r="917" spans="1:3" s="183" customFormat="1" x14ac:dyDescent="0.2">
      <c r="A917" s="188"/>
      <c r="B917" s="188"/>
      <c r="C917" s="188"/>
    </row>
    <row r="918" spans="1:3" s="183" customFormat="1" x14ac:dyDescent="0.2">
      <c r="A918" s="188"/>
      <c r="B918" s="188"/>
      <c r="C918" s="188"/>
    </row>
    <row r="919" spans="1:3" s="183" customFormat="1" x14ac:dyDescent="0.2">
      <c r="A919" s="188"/>
      <c r="B919" s="188"/>
      <c r="C919" s="188"/>
    </row>
    <row r="920" spans="1:3" s="183" customFormat="1" x14ac:dyDescent="0.2">
      <c r="A920" s="188"/>
      <c r="B920" s="188"/>
      <c r="C920" s="188"/>
    </row>
    <row r="921" spans="1:3" s="183" customFormat="1" x14ac:dyDescent="0.2">
      <c r="A921" s="188"/>
      <c r="B921" s="188"/>
      <c r="C921" s="188"/>
    </row>
    <row r="922" spans="1:3" s="183" customFormat="1" x14ac:dyDescent="0.2">
      <c r="A922" s="188"/>
      <c r="B922" s="188"/>
      <c r="C922" s="188"/>
    </row>
    <row r="923" spans="1:3" s="183" customFormat="1" x14ac:dyDescent="0.2">
      <c r="A923" s="188"/>
      <c r="B923" s="188"/>
      <c r="C923" s="188"/>
    </row>
    <row r="924" spans="1:3" s="183" customFormat="1" x14ac:dyDescent="0.2">
      <c r="A924" s="188"/>
      <c r="B924" s="188"/>
      <c r="C924" s="188"/>
    </row>
    <row r="925" spans="1:3" s="183" customFormat="1" x14ac:dyDescent="0.2">
      <c r="A925" s="188"/>
      <c r="B925" s="188"/>
      <c r="C925" s="188"/>
    </row>
    <row r="926" spans="1:3" s="183" customFormat="1" x14ac:dyDescent="0.2">
      <c r="A926" s="188"/>
      <c r="B926" s="188"/>
      <c r="C926" s="188"/>
    </row>
    <row r="927" spans="1:3" s="183" customFormat="1" x14ac:dyDescent="0.2">
      <c r="A927" s="188"/>
      <c r="B927" s="188"/>
      <c r="C927" s="188"/>
    </row>
    <row r="928" spans="1:3" s="183" customFormat="1" x14ac:dyDescent="0.2">
      <c r="A928" s="188"/>
      <c r="B928" s="188"/>
      <c r="C928" s="188"/>
    </row>
    <row r="929" spans="1:3" s="183" customFormat="1" x14ac:dyDescent="0.2">
      <c r="A929" s="188"/>
      <c r="B929" s="188"/>
      <c r="C929" s="188"/>
    </row>
    <row r="930" spans="1:3" s="183" customFormat="1" x14ac:dyDescent="0.2">
      <c r="A930" s="188"/>
      <c r="B930" s="188"/>
      <c r="C930" s="188"/>
    </row>
    <row r="931" spans="1:3" s="183" customFormat="1" x14ac:dyDescent="0.2">
      <c r="A931" s="188"/>
      <c r="B931" s="188"/>
      <c r="C931" s="188"/>
    </row>
    <row r="932" spans="1:3" s="183" customFormat="1" x14ac:dyDescent="0.2">
      <c r="A932" s="188"/>
      <c r="B932" s="188"/>
      <c r="C932" s="188"/>
    </row>
    <row r="933" spans="1:3" s="183" customFormat="1" x14ac:dyDescent="0.2">
      <c r="A933" s="188"/>
      <c r="B933" s="188"/>
      <c r="C933" s="188"/>
    </row>
    <row r="934" spans="1:3" s="183" customFormat="1" x14ac:dyDescent="0.2">
      <c r="A934" s="188"/>
      <c r="B934" s="188"/>
      <c r="C934" s="188"/>
    </row>
    <row r="935" spans="1:3" s="183" customFormat="1" x14ac:dyDescent="0.2">
      <c r="A935" s="188"/>
      <c r="B935" s="188"/>
      <c r="C935" s="188"/>
    </row>
    <row r="936" spans="1:3" s="183" customFormat="1" x14ac:dyDescent="0.2">
      <c r="A936" s="188"/>
      <c r="B936" s="188"/>
      <c r="C936" s="188"/>
    </row>
    <row r="937" spans="1:3" s="183" customFormat="1" x14ac:dyDescent="0.2">
      <c r="A937" s="188"/>
      <c r="B937" s="188"/>
      <c r="C937" s="188"/>
    </row>
    <row r="938" spans="1:3" s="183" customFormat="1" x14ac:dyDescent="0.2">
      <c r="A938" s="188"/>
      <c r="B938" s="188"/>
      <c r="C938" s="188"/>
    </row>
    <row r="939" spans="1:3" s="183" customFormat="1" x14ac:dyDescent="0.2">
      <c r="A939" s="188"/>
      <c r="B939" s="188"/>
      <c r="C939" s="188"/>
    </row>
    <row r="940" spans="1:3" s="183" customFormat="1" x14ac:dyDescent="0.2">
      <c r="A940" s="188"/>
      <c r="B940" s="188"/>
      <c r="C940" s="188"/>
    </row>
    <row r="941" spans="1:3" s="183" customFormat="1" x14ac:dyDescent="0.2">
      <c r="A941" s="188"/>
      <c r="B941" s="188"/>
      <c r="C941" s="188"/>
    </row>
    <row r="942" spans="1:3" s="183" customFormat="1" x14ac:dyDescent="0.2">
      <c r="A942" s="188"/>
      <c r="B942" s="188"/>
      <c r="C942" s="188"/>
    </row>
    <row r="943" spans="1:3" s="183" customFormat="1" x14ac:dyDescent="0.2">
      <c r="A943" s="188"/>
      <c r="B943" s="188"/>
      <c r="C943" s="188"/>
    </row>
    <row r="944" spans="1:3" s="183" customFormat="1" x14ac:dyDescent="0.2">
      <c r="A944" s="188"/>
      <c r="B944" s="188"/>
      <c r="C944" s="188"/>
    </row>
    <row r="945" spans="1:3" s="183" customFormat="1" x14ac:dyDescent="0.2">
      <c r="A945" s="188"/>
      <c r="B945" s="188"/>
      <c r="C945" s="188"/>
    </row>
    <row r="946" spans="1:3" s="183" customFormat="1" x14ac:dyDescent="0.2">
      <c r="A946" s="188"/>
      <c r="B946" s="188"/>
      <c r="C946" s="188"/>
    </row>
    <row r="947" spans="1:3" s="183" customFormat="1" x14ac:dyDescent="0.2">
      <c r="A947" s="188"/>
      <c r="B947" s="188"/>
      <c r="C947" s="188"/>
    </row>
    <row r="948" spans="1:3" s="183" customFormat="1" x14ac:dyDescent="0.2">
      <c r="A948" s="188"/>
      <c r="B948" s="188"/>
      <c r="C948" s="188"/>
    </row>
    <row r="949" spans="1:3" s="183" customFormat="1" x14ac:dyDescent="0.2">
      <c r="A949" s="188"/>
      <c r="B949" s="188"/>
      <c r="C949" s="188"/>
    </row>
    <row r="950" spans="1:3" s="183" customFormat="1" x14ac:dyDescent="0.2">
      <c r="A950" s="188"/>
      <c r="B950" s="188"/>
      <c r="C950" s="188"/>
    </row>
    <row r="951" spans="1:3" s="183" customFormat="1" x14ac:dyDescent="0.2">
      <c r="A951" s="188"/>
      <c r="B951" s="188"/>
      <c r="C951" s="188"/>
    </row>
    <row r="952" spans="1:3" s="183" customFormat="1" x14ac:dyDescent="0.2">
      <c r="A952" s="188"/>
      <c r="B952" s="188"/>
      <c r="C952" s="188"/>
    </row>
    <row r="953" spans="1:3" s="183" customFormat="1" x14ac:dyDescent="0.2">
      <c r="A953" s="188"/>
      <c r="B953" s="188"/>
      <c r="C953" s="188"/>
    </row>
    <row r="954" spans="1:3" s="183" customFormat="1" x14ac:dyDescent="0.2">
      <c r="A954" s="188"/>
      <c r="B954" s="188"/>
      <c r="C954" s="188"/>
    </row>
    <row r="955" spans="1:3" s="183" customFormat="1" x14ac:dyDescent="0.2">
      <c r="A955" s="188"/>
      <c r="B955" s="188"/>
      <c r="C955" s="188"/>
    </row>
    <row r="956" spans="1:3" s="183" customFormat="1" x14ac:dyDescent="0.2">
      <c r="A956" s="188"/>
      <c r="B956" s="188"/>
      <c r="C956" s="188"/>
    </row>
    <row r="957" spans="1:3" s="183" customFormat="1" x14ac:dyDescent="0.2">
      <c r="A957" s="188"/>
      <c r="B957" s="188"/>
      <c r="C957" s="188"/>
    </row>
    <row r="958" spans="1:3" s="183" customFormat="1" x14ac:dyDescent="0.2">
      <c r="A958" s="188"/>
      <c r="B958" s="188"/>
      <c r="C958" s="188"/>
    </row>
    <row r="959" spans="1:3" s="183" customFormat="1" x14ac:dyDescent="0.2">
      <c r="A959" s="188"/>
      <c r="B959" s="188"/>
      <c r="C959" s="188"/>
    </row>
    <row r="960" spans="1:3" s="183" customFormat="1" x14ac:dyDescent="0.2">
      <c r="A960" s="188"/>
      <c r="B960" s="188"/>
      <c r="C960" s="188"/>
    </row>
    <row r="961" spans="1:3" s="183" customFormat="1" x14ac:dyDescent="0.2">
      <c r="A961" s="188"/>
      <c r="B961" s="188"/>
      <c r="C961" s="188"/>
    </row>
    <row r="962" spans="1:3" s="183" customFormat="1" x14ac:dyDescent="0.2">
      <c r="A962" s="188"/>
      <c r="B962" s="188"/>
      <c r="C962" s="188"/>
    </row>
    <row r="963" spans="1:3" s="183" customFormat="1" x14ac:dyDescent="0.2">
      <c r="A963" s="188"/>
      <c r="B963" s="188"/>
      <c r="C963" s="188"/>
    </row>
    <row r="964" spans="1:3" s="183" customFormat="1" x14ac:dyDescent="0.2">
      <c r="A964" s="188"/>
      <c r="B964" s="188"/>
      <c r="C964" s="188"/>
    </row>
    <row r="965" spans="1:3" s="183" customFormat="1" x14ac:dyDescent="0.2">
      <c r="A965" s="188"/>
      <c r="B965" s="188"/>
      <c r="C965" s="188"/>
    </row>
    <row r="966" spans="1:3" s="183" customFormat="1" x14ac:dyDescent="0.2">
      <c r="A966" s="188"/>
      <c r="B966" s="188"/>
      <c r="C966" s="188"/>
    </row>
    <row r="967" spans="1:3" s="183" customFormat="1" x14ac:dyDescent="0.2">
      <c r="A967" s="188"/>
      <c r="B967" s="188"/>
      <c r="C967" s="188"/>
    </row>
    <row r="968" spans="1:3" s="183" customFormat="1" x14ac:dyDescent="0.2">
      <c r="A968" s="188"/>
      <c r="B968" s="188"/>
      <c r="C968" s="188"/>
    </row>
    <row r="969" spans="1:3" s="183" customFormat="1" x14ac:dyDescent="0.2">
      <c r="A969" s="188"/>
      <c r="B969" s="188"/>
      <c r="C969" s="188"/>
    </row>
    <row r="970" spans="1:3" s="183" customFormat="1" x14ac:dyDescent="0.2">
      <c r="A970" s="188"/>
      <c r="B970" s="188"/>
      <c r="C970" s="188"/>
    </row>
    <row r="971" spans="1:3" s="183" customFormat="1" x14ac:dyDescent="0.2">
      <c r="A971" s="188"/>
      <c r="B971" s="188"/>
      <c r="C971" s="188"/>
    </row>
    <row r="972" spans="1:3" s="183" customFormat="1" x14ac:dyDescent="0.2">
      <c r="A972" s="188"/>
      <c r="B972" s="188"/>
      <c r="C972" s="188"/>
    </row>
    <row r="973" spans="1:3" s="183" customFormat="1" x14ac:dyDescent="0.2">
      <c r="A973" s="188"/>
      <c r="B973" s="188"/>
      <c r="C973" s="188"/>
    </row>
    <row r="974" spans="1:3" s="183" customFormat="1" x14ac:dyDescent="0.2">
      <c r="A974" s="188"/>
      <c r="B974" s="188"/>
      <c r="C974" s="188"/>
    </row>
    <row r="975" spans="1:3" s="183" customFormat="1" x14ac:dyDescent="0.2">
      <c r="A975" s="188"/>
      <c r="B975" s="188"/>
      <c r="C975" s="188"/>
    </row>
    <row r="976" spans="1:3" s="183" customFormat="1" x14ac:dyDescent="0.2">
      <c r="A976" s="188"/>
      <c r="B976" s="188"/>
      <c r="C976" s="188"/>
    </row>
    <row r="977" spans="1:3" s="183" customFormat="1" x14ac:dyDescent="0.2">
      <c r="A977" s="188"/>
      <c r="B977" s="188"/>
      <c r="C977" s="188"/>
    </row>
    <row r="978" spans="1:3" s="183" customFormat="1" x14ac:dyDescent="0.2">
      <c r="A978" s="188"/>
      <c r="B978" s="188"/>
      <c r="C978" s="188"/>
    </row>
    <row r="979" spans="1:3" s="183" customFormat="1" x14ac:dyDescent="0.2">
      <c r="A979" s="188"/>
      <c r="B979" s="188"/>
      <c r="C979" s="188"/>
    </row>
    <row r="980" spans="1:3" s="183" customFormat="1" x14ac:dyDescent="0.2">
      <c r="A980" s="188"/>
      <c r="B980" s="188"/>
      <c r="C980" s="188"/>
    </row>
    <row r="981" spans="1:3" s="183" customFormat="1" x14ac:dyDescent="0.2">
      <c r="A981" s="188"/>
      <c r="B981" s="188"/>
      <c r="C981" s="188"/>
    </row>
    <row r="982" spans="1:3" s="183" customFormat="1" x14ac:dyDescent="0.2">
      <c r="A982" s="188"/>
      <c r="B982" s="188"/>
      <c r="C982" s="188"/>
    </row>
    <row r="983" spans="1:3" s="183" customFormat="1" x14ac:dyDescent="0.2">
      <c r="A983" s="188"/>
      <c r="B983" s="188"/>
      <c r="C983" s="188"/>
    </row>
    <row r="984" spans="1:3" s="183" customFormat="1" x14ac:dyDescent="0.2">
      <c r="A984" s="188"/>
      <c r="B984" s="188"/>
      <c r="C984" s="188"/>
    </row>
    <row r="985" spans="1:3" s="183" customFormat="1" x14ac:dyDescent="0.2">
      <c r="A985" s="188"/>
      <c r="B985" s="188"/>
      <c r="C985" s="188"/>
    </row>
    <row r="986" spans="1:3" s="183" customFormat="1" x14ac:dyDescent="0.2">
      <c r="A986" s="188"/>
      <c r="B986" s="188"/>
      <c r="C986" s="188"/>
    </row>
    <row r="987" spans="1:3" s="183" customFormat="1" x14ac:dyDescent="0.2">
      <c r="A987" s="188"/>
      <c r="B987" s="188"/>
      <c r="C987" s="188"/>
    </row>
    <row r="988" spans="1:3" s="183" customFormat="1" x14ac:dyDescent="0.2">
      <c r="A988" s="188"/>
      <c r="B988" s="188"/>
      <c r="C988" s="188"/>
    </row>
    <row r="989" spans="1:3" s="183" customFormat="1" x14ac:dyDescent="0.2">
      <c r="A989" s="188"/>
      <c r="B989" s="188"/>
      <c r="C989" s="188"/>
    </row>
    <row r="990" spans="1:3" s="183" customFormat="1" x14ac:dyDescent="0.2">
      <c r="A990" s="188"/>
      <c r="B990" s="188"/>
      <c r="C990" s="188"/>
    </row>
    <row r="991" spans="1:3" s="183" customFormat="1" x14ac:dyDescent="0.2">
      <c r="A991" s="188"/>
      <c r="B991" s="188"/>
      <c r="C991" s="188"/>
    </row>
    <row r="992" spans="1:3" s="183" customFormat="1" x14ac:dyDescent="0.2">
      <c r="A992" s="188"/>
      <c r="B992" s="188"/>
      <c r="C992" s="188"/>
    </row>
    <row r="993" spans="1:3" s="183" customFormat="1" x14ac:dyDescent="0.2">
      <c r="A993" s="188"/>
      <c r="B993" s="188"/>
      <c r="C993" s="188"/>
    </row>
    <row r="994" spans="1:3" s="183" customFormat="1" x14ac:dyDescent="0.2">
      <c r="A994" s="188"/>
      <c r="B994" s="188"/>
      <c r="C994" s="188"/>
    </row>
    <row r="995" spans="1:3" s="183" customFormat="1" x14ac:dyDescent="0.2">
      <c r="A995" s="188"/>
      <c r="B995" s="188"/>
      <c r="C995" s="188"/>
    </row>
    <row r="996" spans="1:3" s="183" customFormat="1" x14ac:dyDescent="0.2">
      <c r="A996" s="188"/>
      <c r="B996" s="188"/>
      <c r="C996" s="188"/>
    </row>
    <row r="997" spans="1:3" s="183" customFormat="1" x14ac:dyDescent="0.2">
      <c r="A997" s="188"/>
      <c r="B997" s="188"/>
      <c r="C997" s="188"/>
    </row>
    <row r="998" spans="1:3" s="183" customFormat="1" x14ac:dyDescent="0.2">
      <c r="A998" s="188"/>
      <c r="B998" s="188"/>
      <c r="C998" s="188"/>
    </row>
    <row r="999" spans="1:3" s="183" customFormat="1" x14ac:dyDescent="0.2">
      <c r="A999" s="188"/>
      <c r="B999" s="188"/>
      <c r="C999" s="188"/>
    </row>
    <row r="1000" spans="1:3" s="183" customFormat="1" x14ac:dyDescent="0.2">
      <c r="A1000" s="188"/>
      <c r="B1000" s="188"/>
      <c r="C1000" s="188"/>
    </row>
    <row r="1001" spans="1:3" s="183" customFormat="1" x14ac:dyDescent="0.2">
      <c r="A1001" s="188"/>
      <c r="B1001" s="188"/>
      <c r="C1001" s="188"/>
    </row>
    <row r="1002" spans="1:3" s="183" customFormat="1" x14ac:dyDescent="0.2">
      <c r="A1002" s="188"/>
      <c r="B1002" s="188"/>
      <c r="C1002" s="188"/>
    </row>
    <row r="1003" spans="1:3" s="183" customFormat="1" x14ac:dyDescent="0.2">
      <c r="A1003" s="188"/>
      <c r="B1003" s="188"/>
      <c r="C1003" s="188"/>
    </row>
    <row r="1004" spans="1:3" s="183" customFormat="1" x14ac:dyDescent="0.2">
      <c r="A1004" s="188"/>
      <c r="B1004" s="188"/>
      <c r="C1004" s="188"/>
    </row>
    <row r="1005" spans="1:3" s="183" customFormat="1" x14ac:dyDescent="0.2">
      <c r="A1005" s="188"/>
      <c r="B1005" s="188"/>
      <c r="C1005" s="188"/>
    </row>
    <row r="1006" spans="1:3" s="183" customFormat="1" x14ac:dyDescent="0.2">
      <c r="A1006" s="188"/>
      <c r="B1006" s="188"/>
      <c r="C1006" s="188"/>
    </row>
    <row r="1007" spans="1:3" s="183" customFormat="1" x14ac:dyDescent="0.2">
      <c r="A1007" s="188"/>
      <c r="B1007" s="188"/>
      <c r="C1007" s="188"/>
    </row>
    <row r="1008" spans="1:3" s="183" customFormat="1" x14ac:dyDescent="0.2">
      <c r="A1008" s="188"/>
      <c r="B1008" s="188"/>
      <c r="C1008" s="188"/>
    </row>
    <row r="1009" spans="1:3" s="183" customFormat="1" x14ac:dyDescent="0.2">
      <c r="A1009" s="188"/>
      <c r="B1009" s="188"/>
      <c r="C1009" s="188"/>
    </row>
    <row r="1010" spans="1:3" s="183" customFormat="1" x14ac:dyDescent="0.2">
      <c r="A1010" s="188"/>
      <c r="B1010" s="188"/>
      <c r="C1010" s="188"/>
    </row>
    <row r="1011" spans="1:3" s="183" customFormat="1" x14ac:dyDescent="0.2">
      <c r="A1011" s="188"/>
      <c r="B1011" s="188"/>
      <c r="C1011" s="188"/>
    </row>
    <row r="1012" spans="1:3" s="183" customFormat="1" x14ac:dyDescent="0.2">
      <c r="A1012" s="188"/>
      <c r="B1012" s="188"/>
      <c r="C1012" s="188"/>
    </row>
    <row r="1013" spans="1:3" s="183" customFormat="1" x14ac:dyDescent="0.2">
      <c r="A1013" s="188"/>
      <c r="B1013" s="188"/>
      <c r="C1013" s="188"/>
    </row>
    <row r="1014" spans="1:3" s="183" customFormat="1" x14ac:dyDescent="0.2">
      <c r="A1014" s="188"/>
      <c r="B1014" s="188"/>
      <c r="C1014" s="188"/>
    </row>
    <row r="1015" spans="1:3" s="183" customFormat="1" x14ac:dyDescent="0.2">
      <c r="A1015" s="188"/>
      <c r="B1015" s="188"/>
      <c r="C1015" s="188"/>
    </row>
    <row r="1016" spans="1:3" s="183" customFormat="1" x14ac:dyDescent="0.2">
      <c r="A1016" s="188"/>
      <c r="B1016" s="188"/>
      <c r="C1016" s="188"/>
    </row>
    <row r="1017" spans="1:3" s="183" customFormat="1" x14ac:dyDescent="0.2">
      <c r="A1017" s="188"/>
      <c r="B1017" s="188"/>
      <c r="C1017" s="188"/>
    </row>
    <row r="1018" spans="1:3" s="183" customFormat="1" x14ac:dyDescent="0.2">
      <c r="A1018" s="188"/>
      <c r="B1018" s="188"/>
      <c r="C1018" s="188"/>
    </row>
    <row r="1019" spans="1:3" s="183" customFormat="1" x14ac:dyDescent="0.2">
      <c r="A1019" s="188"/>
      <c r="B1019" s="188"/>
      <c r="C1019" s="188"/>
    </row>
    <row r="1020" spans="1:3" s="183" customFormat="1" x14ac:dyDescent="0.2">
      <c r="A1020" s="188"/>
      <c r="B1020" s="188"/>
      <c r="C1020" s="188"/>
    </row>
    <row r="1021" spans="1:3" s="183" customFormat="1" x14ac:dyDescent="0.2">
      <c r="A1021" s="188"/>
      <c r="B1021" s="188"/>
      <c r="C1021" s="188"/>
    </row>
    <row r="1022" spans="1:3" s="183" customFormat="1" x14ac:dyDescent="0.2">
      <c r="A1022" s="188"/>
      <c r="B1022" s="188"/>
      <c r="C1022" s="188"/>
    </row>
    <row r="1023" spans="1:3" s="183" customFormat="1" x14ac:dyDescent="0.2">
      <c r="A1023" s="188"/>
      <c r="B1023" s="188"/>
      <c r="C1023" s="188"/>
    </row>
    <row r="1024" spans="1:3" s="183" customFormat="1" x14ac:dyDescent="0.2">
      <c r="A1024" s="188"/>
      <c r="B1024" s="188"/>
      <c r="C1024" s="188"/>
    </row>
    <row r="1025" spans="1:3" s="183" customFormat="1" x14ac:dyDescent="0.2">
      <c r="A1025" s="188"/>
      <c r="B1025" s="188"/>
      <c r="C1025" s="188"/>
    </row>
    <row r="1026" spans="1:3" s="183" customFormat="1" x14ac:dyDescent="0.2">
      <c r="A1026" s="188"/>
      <c r="B1026" s="188"/>
      <c r="C1026" s="188"/>
    </row>
    <row r="1027" spans="1:3" s="183" customFormat="1" x14ac:dyDescent="0.2">
      <c r="A1027" s="188"/>
      <c r="B1027" s="188"/>
      <c r="C1027" s="188"/>
    </row>
    <row r="1028" spans="1:3" s="183" customFormat="1" x14ac:dyDescent="0.2">
      <c r="A1028" s="188"/>
      <c r="B1028" s="188"/>
      <c r="C1028" s="188"/>
    </row>
    <row r="1029" spans="1:3" s="183" customFormat="1" x14ac:dyDescent="0.2">
      <c r="A1029" s="188"/>
      <c r="B1029" s="188"/>
      <c r="C1029" s="188"/>
    </row>
    <row r="1030" spans="1:3" s="183" customFormat="1" x14ac:dyDescent="0.2">
      <c r="A1030" s="188"/>
      <c r="B1030" s="188"/>
      <c r="C1030" s="188"/>
    </row>
    <row r="1031" spans="1:3" s="183" customFormat="1" x14ac:dyDescent="0.2">
      <c r="A1031" s="188"/>
      <c r="B1031" s="188"/>
      <c r="C1031" s="188"/>
    </row>
    <row r="1032" spans="1:3" s="183" customFormat="1" x14ac:dyDescent="0.2">
      <c r="A1032" s="188"/>
      <c r="B1032" s="188"/>
      <c r="C1032" s="188"/>
    </row>
    <row r="1033" spans="1:3" s="183" customFormat="1" x14ac:dyDescent="0.2">
      <c r="A1033" s="188"/>
      <c r="B1033" s="188"/>
      <c r="C1033" s="188"/>
    </row>
    <row r="1034" spans="1:3" s="183" customFormat="1" x14ac:dyDescent="0.2">
      <c r="A1034" s="188"/>
      <c r="B1034" s="188"/>
      <c r="C1034" s="188"/>
    </row>
    <row r="1035" spans="1:3" s="183" customFormat="1" x14ac:dyDescent="0.2">
      <c r="A1035" s="188"/>
      <c r="B1035" s="188"/>
      <c r="C1035" s="188"/>
    </row>
    <row r="1036" spans="1:3" s="183" customFormat="1" x14ac:dyDescent="0.2">
      <c r="A1036" s="188"/>
      <c r="B1036" s="188"/>
      <c r="C1036" s="188"/>
    </row>
    <row r="1037" spans="1:3" s="183" customFormat="1" x14ac:dyDescent="0.2">
      <c r="A1037" s="188"/>
      <c r="B1037" s="188"/>
      <c r="C1037" s="188"/>
    </row>
    <row r="1038" spans="1:3" s="183" customFormat="1" x14ac:dyDescent="0.2">
      <c r="A1038" s="188"/>
      <c r="B1038" s="188"/>
      <c r="C1038" s="188"/>
    </row>
    <row r="1039" spans="1:3" s="183" customFormat="1" x14ac:dyDescent="0.2">
      <c r="A1039" s="188"/>
      <c r="B1039" s="188"/>
      <c r="C1039" s="188"/>
    </row>
    <row r="1040" spans="1:3" s="183" customFormat="1" x14ac:dyDescent="0.2">
      <c r="A1040" s="188"/>
      <c r="B1040" s="188"/>
      <c r="C1040" s="188"/>
    </row>
    <row r="1041" spans="1:3" s="183" customFormat="1" x14ac:dyDescent="0.2">
      <c r="A1041" s="188"/>
      <c r="B1041" s="188"/>
      <c r="C1041" s="188"/>
    </row>
    <row r="1042" spans="1:3" s="183" customFormat="1" x14ac:dyDescent="0.2">
      <c r="A1042" s="188"/>
      <c r="B1042" s="188"/>
      <c r="C1042" s="188"/>
    </row>
    <row r="1043" spans="1:3" s="183" customFormat="1" x14ac:dyDescent="0.2">
      <c r="A1043" s="188"/>
      <c r="B1043" s="188"/>
      <c r="C1043" s="188"/>
    </row>
    <row r="1044" spans="1:3" s="183" customFormat="1" x14ac:dyDescent="0.2">
      <c r="A1044" s="188"/>
      <c r="B1044" s="188"/>
      <c r="C1044" s="188"/>
    </row>
    <row r="1045" spans="1:3" s="183" customFormat="1" x14ac:dyDescent="0.2">
      <c r="A1045" s="188"/>
      <c r="B1045" s="188"/>
      <c r="C1045" s="188"/>
    </row>
    <row r="1046" spans="1:3" s="183" customFormat="1" x14ac:dyDescent="0.2">
      <c r="A1046" s="188"/>
      <c r="B1046" s="188"/>
      <c r="C1046" s="188"/>
    </row>
    <row r="1047" spans="1:3" s="183" customFormat="1" x14ac:dyDescent="0.2">
      <c r="A1047" s="188"/>
      <c r="B1047" s="188"/>
      <c r="C1047" s="188"/>
    </row>
    <row r="1048" spans="1:3" s="183" customFormat="1" x14ac:dyDescent="0.2">
      <c r="A1048" s="188"/>
      <c r="B1048" s="188"/>
      <c r="C1048" s="188"/>
    </row>
    <row r="1049" spans="1:3" s="183" customFormat="1" x14ac:dyDescent="0.2">
      <c r="A1049" s="188"/>
      <c r="B1049" s="188"/>
      <c r="C1049" s="188"/>
    </row>
    <row r="1050" spans="1:3" s="183" customFormat="1" x14ac:dyDescent="0.2">
      <c r="A1050" s="188"/>
      <c r="B1050" s="188"/>
      <c r="C1050" s="188"/>
    </row>
    <row r="1051" spans="1:3" s="183" customFormat="1" x14ac:dyDescent="0.2">
      <c r="A1051" s="188"/>
      <c r="B1051" s="188"/>
      <c r="C1051" s="188"/>
    </row>
    <row r="1052" spans="1:3" s="183" customFormat="1" x14ac:dyDescent="0.2">
      <c r="A1052" s="188"/>
      <c r="B1052" s="188"/>
      <c r="C1052" s="188"/>
    </row>
    <row r="1053" spans="1:3" s="183" customFormat="1" x14ac:dyDescent="0.2">
      <c r="A1053" s="188"/>
      <c r="B1053" s="188"/>
      <c r="C1053" s="188"/>
    </row>
    <row r="1054" spans="1:3" s="183" customFormat="1" x14ac:dyDescent="0.2">
      <c r="A1054" s="188"/>
      <c r="B1054" s="188"/>
      <c r="C1054" s="188"/>
    </row>
    <row r="1055" spans="1:3" s="183" customFormat="1" x14ac:dyDescent="0.2">
      <c r="A1055" s="188"/>
      <c r="B1055" s="188"/>
      <c r="C1055" s="188"/>
    </row>
    <row r="1056" spans="1:3" s="183" customFormat="1" x14ac:dyDescent="0.2">
      <c r="A1056" s="188"/>
      <c r="B1056" s="188"/>
      <c r="C1056" s="188"/>
    </row>
    <row r="1057" spans="1:3" s="183" customFormat="1" x14ac:dyDescent="0.2">
      <c r="A1057" s="188"/>
      <c r="B1057" s="188"/>
      <c r="C1057" s="188"/>
    </row>
    <row r="1058" spans="1:3" s="183" customFormat="1" x14ac:dyDescent="0.2">
      <c r="A1058" s="188"/>
      <c r="B1058" s="188"/>
      <c r="C1058" s="188"/>
    </row>
    <row r="1059" spans="1:3" s="183" customFormat="1" x14ac:dyDescent="0.2">
      <c r="A1059" s="188"/>
      <c r="B1059" s="188"/>
      <c r="C1059" s="188"/>
    </row>
    <row r="1060" spans="1:3" s="183" customFormat="1" x14ac:dyDescent="0.2">
      <c r="A1060" s="188"/>
      <c r="B1060" s="188"/>
      <c r="C1060" s="188"/>
    </row>
    <row r="1061" spans="1:3" s="183" customFormat="1" x14ac:dyDescent="0.2">
      <c r="A1061" s="188"/>
      <c r="B1061" s="188"/>
      <c r="C1061" s="188"/>
    </row>
    <row r="1062" spans="1:3" s="183" customFormat="1" x14ac:dyDescent="0.2">
      <c r="A1062" s="188"/>
      <c r="B1062" s="188"/>
      <c r="C1062" s="188"/>
    </row>
    <row r="1063" spans="1:3" s="183" customFormat="1" x14ac:dyDescent="0.2">
      <c r="A1063" s="188"/>
      <c r="B1063" s="188"/>
      <c r="C1063" s="188"/>
    </row>
    <row r="1064" spans="1:3" s="183" customFormat="1" x14ac:dyDescent="0.2">
      <c r="A1064" s="188"/>
      <c r="B1064" s="188"/>
      <c r="C1064" s="188"/>
    </row>
    <row r="1065" spans="1:3" s="183" customFormat="1" x14ac:dyDescent="0.2">
      <c r="A1065" s="188"/>
      <c r="B1065" s="188"/>
      <c r="C1065" s="188"/>
    </row>
    <row r="1066" spans="1:3" s="183" customFormat="1" x14ac:dyDescent="0.2">
      <c r="A1066" s="188"/>
      <c r="B1066" s="188"/>
      <c r="C1066" s="188"/>
    </row>
    <row r="1067" spans="1:3" s="183" customFormat="1" x14ac:dyDescent="0.2">
      <c r="A1067" s="188"/>
      <c r="B1067" s="188"/>
      <c r="C1067" s="188"/>
    </row>
    <row r="1068" spans="1:3" s="183" customFormat="1" x14ac:dyDescent="0.2">
      <c r="A1068" s="188"/>
      <c r="B1068" s="188"/>
      <c r="C1068" s="188"/>
    </row>
    <row r="1069" spans="1:3" s="183" customFormat="1" x14ac:dyDescent="0.2">
      <c r="A1069" s="188"/>
      <c r="B1069" s="188"/>
      <c r="C1069" s="188"/>
    </row>
    <row r="1070" spans="1:3" s="183" customFormat="1" x14ac:dyDescent="0.2">
      <c r="A1070" s="188"/>
      <c r="B1070" s="188"/>
      <c r="C1070" s="188"/>
    </row>
    <row r="1071" spans="1:3" s="183" customFormat="1" x14ac:dyDescent="0.2">
      <c r="A1071" s="188"/>
      <c r="B1071" s="188"/>
      <c r="C1071" s="188"/>
    </row>
    <row r="1072" spans="1:3" s="183" customFormat="1" x14ac:dyDescent="0.2">
      <c r="A1072" s="188"/>
      <c r="B1072" s="188"/>
      <c r="C1072" s="188"/>
    </row>
    <row r="1073" spans="1:3" s="183" customFormat="1" x14ac:dyDescent="0.2">
      <c r="A1073" s="188"/>
      <c r="B1073" s="188"/>
      <c r="C1073" s="188"/>
    </row>
    <row r="1074" spans="1:3" s="183" customFormat="1" x14ac:dyDescent="0.2">
      <c r="A1074" s="188"/>
      <c r="B1074" s="188"/>
      <c r="C1074" s="188"/>
    </row>
    <row r="1075" spans="1:3" s="183" customFormat="1" x14ac:dyDescent="0.2">
      <c r="A1075" s="188"/>
      <c r="B1075" s="188"/>
      <c r="C1075" s="188"/>
    </row>
    <row r="1076" spans="1:3" s="183" customFormat="1" x14ac:dyDescent="0.2">
      <c r="A1076" s="188"/>
      <c r="B1076" s="188"/>
      <c r="C1076" s="188"/>
    </row>
    <row r="1077" spans="1:3" s="183" customFormat="1" x14ac:dyDescent="0.2">
      <c r="A1077" s="188"/>
      <c r="B1077" s="188"/>
      <c r="C1077" s="188"/>
    </row>
    <row r="1078" spans="1:3" s="183" customFormat="1" x14ac:dyDescent="0.2">
      <c r="A1078" s="188"/>
      <c r="B1078" s="188"/>
      <c r="C1078" s="188"/>
    </row>
    <row r="1079" spans="1:3" s="183" customFormat="1" x14ac:dyDescent="0.2">
      <c r="A1079" s="188"/>
      <c r="B1079" s="188"/>
      <c r="C1079" s="188"/>
    </row>
    <row r="1080" spans="1:3" s="183" customFormat="1" x14ac:dyDescent="0.2">
      <c r="A1080" s="188"/>
      <c r="B1080" s="188"/>
      <c r="C1080" s="188"/>
    </row>
    <row r="1081" spans="1:3" s="183" customFormat="1" x14ac:dyDescent="0.2">
      <c r="A1081" s="188"/>
      <c r="B1081" s="188"/>
      <c r="C1081" s="188"/>
    </row>
    <row r="1082" spans="1:3" s="183" customFormat="1" x14ac:dyDescent="0.2">
      <c r="A1082" s="188"/>
      <c r="B1082" s="188"/>
      <c r="C1082" s="188"/>
    </row>
    <row r="1083" spans="1:3" s="183" customFormat="1" x14ac:dyDescent="0.2">
      <c r="A1083" s="188"/>
      <c r="B1083" s="188"/>
      <c r="C1083" s="188"/>
    </row>
    <row r="1084" spans="1:3" s="183" customFormat="1" x14ac:dyDescent="0.2">
      <c r="A1084" s="188"/>
      <c r="B1084" s="188"/>
      <c r="C1084" s="188"/>
    </row>
    <row r="1085" spans="1:3" s="183" customFormat="1" x14ac:dyDescent="0.2">
      <c r="A1085" s="188"/>
      <c r="B1085" s="188"/>
      <c r="C1085" s="188"/>
    </row>
    <row r="1086" spans="1:3" s="183" customFormat="1" x14ac:dyDescent="0.2">
      <c r="A1086" s="188"/>
      <c r="B1086" s="188"/>
      <c r="C1086" s="188"/>
    </row>
    <row r="1087" spans="1:3" s="183" customFormat="1" x14ac:dyDescent="0.2">
      <c r="A1087" s="188"/>
      <c r="B1087" s="188"/>
      <c r="C1087" s="188"/>
    </row>
    <row r="1088" spans="1:3" s="183" customFormat="1" x14ac:dyDescent="0.2">
      <c r="A1088" s="188"/>
      <c r="B1088" s="188"/>
      <c r="C1088" s="188"/>
    </row>
    <row r="1089" spans="1:3" s="183" customFormat="1" x14ac:dyDescent="0.2">
      <c r="A1089" s="188"/>
      <c r="B1089" s="188"/>
      <c r="C1089" s="188"/>
    </row>
    <row r="1090" spans="1:3" s="183" customFormat="1" x14ac:dyDescent="0.2">
      <c r="A1090" s="188"/>
      <c r="B1090" s="188"/>
      <c r="C1090" s="188"/>
    </row>
    <row r="1091" spans="1:3" s="183" customFormat="1" x14ac:dyDescent="0.2">
      <c r="A1091" s="188"/>
      <c r="B1091" s="188"/>
      <c r="C1091" s="188"/>
    </row>
    <row r="1092" spans="1:3" s="183" customFormat="1" x14ac:dyDescent="0.2">
      <c r="A1092" s="188"/>
      <c r="B1092" s="188"/>
      <c r="C1092" s="188"/>
    </row>
    <row r="1093" spans="1:3" s="183" customFormat="1" x14ac:dyDescent="0.2">
      <c r="A1093" s="188"/>
      <c r="B1093" s="188"/>
      <c r="C1093" s="188"/>
    </row>
    <row r="1094" spans="1:3" s="183" customFormat="1" x14ac:dyDescent="0.2">
      <c r="A1094" s="188"/>
      <c r="B1094" s="188"/>
      <c r="C1094" s="188"/>
    </row>
    <row r="1095" spans="1:3" s="183" customFormat="1" x14ac:dyDescent="0.2">
      <c r="A1095" s="188"/>
      <c r="B1095" s="188"/>
      <c r="C1095" s="188"/>
    </row>
    <row r="1096" spans="1:3" s="183" customFormat="1" x14ac:dyDescent="0.2">
      <c r="A1096" s="188"/>
      <c r="B1096" s="188"/>
      <c r="C1096" s="188"/>
    </row>
    <row r="1097" spans="1:3" s="183" customFormat="1" x14ac:dyDescent="0.2">
      <c r="A1097" s="188"/>
      <c r="B1097" s="188"/>
      <c r="C1097" s="188"/>
    </row>
    <row r="1098" spans="1:3" s="183" customFormat="1" x14ac:dyDescent="0.2">
      <c r="A1098" s="188"/>
      <c r="B1098" s="188"/>
      <c r="C1098" s="188"/>
    </row>
    <row r="1099" spans="1:3" s="183" customFormat="1" x14ac:dyDescent="0.2">
      <c r="A1099" s="188"/>
      <c r="B1099" s="188"/>
      <c r="C1099" s="188"/>
    </row>
    <row r="1100" spans="1:3" s="183" customFormat="1" x14ac:dyDescent="0.2">
      <c r="A1100" s="188"/>
      <c r="B1100" s="188"/>
      <c r="C1100" s="188"/>
    </row>
    <row r="1101" spans="1:3" s="183" customFormat="1" x14ac:dyDescent="0.2">
      <c r="A1101" s="188"/>
      <c r="B1101" s="188"/>
      <c r="C1101" s="188"/>
    </row>
    <row r="1102" spans="1:3" s="183" customFormat="1" x14ac:dyDescent="0.2">
      <c r="A1102" s="188"/>
      <c r="B1102" s="188"/>
      <c r="C1102" s="188"/>
    </row>
    <row r="1103" spans="1:3" s="183" customFormat="1" x14ac:dyDescent="0.2">
      <c r="A1103" s="188"/>
      <c r="B1103" s="188"/>
      <c r="C1103" s="188"/>
    </row>
    <row r="1104" spans="1:3" s="183" customFormat="1" x14ac:dyDescent="0.2">
      <c r="A1104" s="188"/>
      <c r="B1104" s="188"/>
      <c r="C1104" s="188"/>
    </row>
    <row r="1105" spans="1:3" s="183" customFormat="1" x14ac:dyDescent="0.2">
      <c r="A1105" s="188"/>
      <c r="B1105" s="188"/>
      <c r="C1105" s="188"/>
    </row>
    <row r="1106" spans="1:3" s="183" customFormat="1" x14ac:dyDescent="0.2">
      <c r="A1106" s="188"/>
      <c r="B1106" s="188"/>
      <c r="C1106" s="188"/>
    </row>
    <row r="1107" spans="1:3" s="183" customFormat="1" x14ac:dyDescent="0.2">
      <c r="A1107" s="188"/>
      <c r="B1107" s="188"/>
      <c r="C1107" s="188"/>
    </row>
    <row r="1108" spans="1:3" s="183" customFormat="1" x14ac:dyDescent="0.2">
      <c r="A1108" s="188"/>
      <c r="B1108" s="188"/>
      <c r="C1108" s="188"/>
    </row>
    <row r="1109" spans="1:3" s="183" customFormat="1" x14ac:dyDescent="0.2">
      <c r="A1109" s="188"/>
      <c r="B1109" s="188"/>
      <c r="C1109" s="188"/>
    </row>
    <row r="1110" spans="1:3" s="183" customFormat="1" x14ac:dyDescent="0.2">
      <c r="A1110" s="188"/>
      <c r="B1110" s="188"/>
      <c r="C1110" s="188"/>
    </row>
    <row r="1111" spans="1:3" s="183" customFormat="1" x14ac:dyDescent="0.2">
      <c r="A1111" s="188"/>
      <c r="B1111" s="188"/>
      <c r="C1111" s="188"/>
    </row>
    <row r="1112" spans="1:3" s="183" customFormat="1" x14ac:dyDescent="0.2">
      <c r="A1112" s="188"/>
      <c r="B1112" s="188"/>
      <c r="C1112" s="188"/>
    </row>
    <row r="1113" spans="1:3" s="183" customFormat="1" x14ac:dyDescent="0.2">
      <c r="A1113" s="188"/>
      <c r="B1113" s="188"/>
      <c r="C1113" s="188"/>
    </row>
    <row r="1114" spans="1:3" s="183" customFormat="1" x14ac:dyDescent="0.2">
      <c r="A1114" s="188"/>
      <c r="B1114" s="188"/>
      <c r="C1114" s="188"/>
    </row>
    <row r="1115" spans="1:3" s="183" customFormat="1" x14ac:dyDescent="0.2">
      <c r="A1115" s="188"/>
      <c r="B1115" s="188"/>
      <c r="C1115" s="188"/>
    </row>
    <row r="1116" spans="1:3" s="183" customFormat="1" x14ac:dyDescent="0.2">
      <c r="A1116" s="188"/>
      <c r="B1116" s="188"/>
      <c r="C1116" s="188"/>
    </row>
    <row r="1117" spans="1:3" s="183" customFormat="1" x14ac:dyDescent="0.2">
      <c r="A1117" s="188"/>
      <c r="B1117" s="188"/>
      <c r="C1117" s="188"/>
    </row>
    <row r="1118" spans="1:3" s="183" customFormat="1" x14ac:dyDescent="0.2">
      <c r="A1118" s="188"/>
      <c r="B1118" s="188"/>
      <c r="C1118" s="188"/>
    </row>
    <row r="1119" spans="1:3" s="183" customFormat="1" x14ac:dyDescent="0.2">
      <c r="A1119" s="188"/>
      <c r="B1119" s="188"/>
      <c r="C1119" s="188"/>
    </row>
    <row r="1120" spans="1:3" s="183" customFormat="1" x14ac:dyDescent="0.2">
      <c r="A1120" s="188"/>
      <c r="B1120" s="188"/>
      <c r="C1120" s="188"/>
    </row>
    <row r="1121" spans="1:3" s="183" customFormat="1" x14ac:dyDescent="0.2">
      <c r="A1121" s="188"/>
      <c r="B1121" s="188"/>
      <c r="C1121" s="188"/>
    </row>
    <row r="1122" spans="1:3" s="183" customFormat="1" x14ac:dyDescent="0.2">
      <c r="A1122" s="188"/>
      <c r="B1122" s="188"/>
      <c r="C1122" s="188"/>
    </row>
    <row r="1123" spans="1:3" s="183" customFormat="1" x14ac:dyDescent="0.2">
      <c r="A1123" s="188"/>
      <c r="B1123" s="188"/>
      <c r="C1123" s="188"/>
    </row>
    <row r="1124" spans="1:3" s="183" customFormat="1" x14ac:dyDescent="0.2">
      <c r="A1124" s="188"/>
      <c r="B1124" s="188"/>
      <c r="C1124" s="188"/>
    </row>
    <row r="1125" spans="1:3" s="183" customFormat="1" x14ac:dyDescent="0.2">
      <c r="A1125" s="188"/>
      <c r="B1125" s="188"/>
      <c r="C1125" s="188"/>
    </row>
    <row r="1126" spans="1:3" s="183" customFormat="1" x14ac:dyDescent="0.2">
      <c r="A1126" s="188"/>
      <c r="B1126" s="188"/>
      <c r="C1126" s="188"/>
    </row>
    <row r="1127" spans="1:3" s="183" customFormat="1" x14ac:dyDescent="0.2">
      <c r="A1127" s="188"/>
      <c r="B1127" s="188"/>
      <c r="C1127" s="188"/>
    </row>
    <row r="1128" spans="1:3" s="183" customFormat="1" x14ac:dyDescent="0.2">
      <c r="A1128" s="188"/>
      <c r="B1128" s="188"/>
      <c r="C1128" s="188"/>
    </row>
    <row r="1129" spans="1:3" s="183" customFormat="1" x14ac:dyDescent="0.2">
      <c r="A1129" s="188"/>
      <c r="B1129" s="188"/>
      <c r="C1129" s="188"/>
    </row>
    <row r="1130" spans="1:3" s="183" customFormat="1" x14ac:dyDescent="0.2">
      <c r="A1130" s="188"/>
      <c r="B1130" s="188"/>
      <c r="C1130" s="188"/>
    </row>
    <row r="1131" spans="1:3" s="183" customFormat="1" x14ac:dyDescent="0.2">
      <c r="A1131" s="188"/>
      <c r="B1131" s="188"/>
      <c r="C1131" s="188"/>
    </row>
    <row r="1132" spans="1:3" s="183" customFormat="1" x14ac:dyDescent="0.2">
      <c r="A1132" s="188"/>
      <c r="B1132" s="188"/>
      <c r="C1132" s="188"/>
    </row>
    <row r="1133" spans="1:3" s="183" customFormat="1" x14ac:dyDescent="0.2">
      <c r="A1133" s="188"/>
      <c r="B1133" s="188"/>
      <c r="C1133" s="188"/>
    </row>
    <row r="1134" spans="1:3" s="183" customFormat="1" x14ac:dyDescent="0.2">
      <c r="A1134" s="188"/>
      <c r="B1134" s="188"/>
      <c r="C1134" s="188"/>
    </row>
    <row r="1135" spans="1:3" s="183" customFormat="1" x14ac:dyDescent="0.2">
      <c r="A1135" s="188"/>
      <c r="B1135" s="188"/>
      <c r="C1135" s="188"/>
    </row>
    <row r="1136" spans="1:3" s="183" customFormat="1" x14ac:dyDescent="0.2">
      <c r="A1136" s="188"/>
      <c r="B1136" s="188"/>
      <c r="C1136" s="188"/>
    </row>
    <row r="1137" spans="1:3" s="183" customFormat="1" x14ac:dyDescent="0.2">
      <c r="A1137" s="188"/>
      <c r="B1137" s="188"/>
      <c r="C1137" s="188"/>
    </row>
    <row r="1138" spans="1:3" s="183" customFormat="1" x14ac:dyDescent="0.2">
      <c r="A1138" s="188"/>
      <c r="B1138" s="188"/>
      <c r="C1138" s="188"/>
    </row>
    <row r="1139" spans="1:3" s="183" customFormat="1" x14ac:dyDescent="0.2">
      <c r="A1139" s="188"/>
      <c r="B1139" s="188"/>
      <c r="C1139" s="188"/>
    </row>
    <row r="1140" spans="1:3" s="183" customFormat="1" x14ac:dyDescent="0.2">
      <c r="A1140" s="188"/>
      <c r="B1140" s="188"/>
      <c r="C1140" s="188"/>
    </row>
    <row r="1141" spans="1:3" s="183" customFormat="1" x14ac:dyDescent="0.2">
      <c r="A1141" s="188"/>
      <c r="B1141" s="188"/>
      <c r="C1141" s="188"/>
    </row>
    <row r="1142" spans="1:3" s="183" customFormat="1" x14ac:dyDescent="0.2">
      <c r="A1142" s="188"/>
      <c r="B1142" s="188"/>
      <c r="C1142" s="188"/>
    </row>
    <row r="1143" spans="1:3" s="183" customFormat="1" x14ac:dyDescent="0.2">
      <c r="A1143" s="188"/>
      <c r="B1143" s="188"/>
      <c r="C1143" s="188"/>
    </row>
    <row r="1144" spans="1:3" s="183" customFormat="1" x14ac:dyDescent="0.2">
      <c r="A1144" s="188"/>
      <c r="B1144" s="188"/>
      <c r="C1144" s="188"/>
    </row>
    <row r="1145" spans="1:3" s="183" customFormat="1" x14ac:dyDescent="0.2">
      <c r="A1145" s="188"/>
      <c r="B1145" s="188"/>
      <c r="C1145" s="188"/>
    </row>
    <row r="1146" spans="1:3" s="183" customFormat="1" x14ac:dyDescent="0.2">
      <c r="A1146" s="188"/>
      <c r="B1146" s="188"/>
      <c r="C1146" s="188"/>
    </row>
    <row r="1147" spans="1:3" s="183" customFormat="1" x14ac:dyDescent="0.2">
      <c r="A1147" s="188"/>
      <c r="B1147" s="188"/>
      <c r="C1147" s="188"/>
    </row>
    <row r="1148" spans="1:3" s="183" customFormat="1" x14ac:dyDescent="0.2">
      <c r="A1148" s="188"/>
      <c r="B1148" s="188"/>
      <c r="C1148" s="188"/>
    </row>
    <row r="1149" spans="1:3" s="183" customFormat="1" x14ac:dyDescent="0.2">
      <c r="A1149" s="188"/>
      <c r="B1149" s="188"/>
      <c r="C1149" s="188"/>
    </row>
    <row r="1150" spans="1:3" s="183" customFormat="1" x14ac:dyDescent="0.2">
      <c r="A1150" s="188"/>
      <c r="B1150" s="188"/>
      <c r="C1150" s="188"/>
    </row>
    <row r="1151" spans="1:3" s="183" customFormat="1" x14ac:dyDescent="0.2">
      <c r="A1151" s="188"/>
      <c r="B1151" s="188"/>
      <c r="C1151" s="188"/>
    </row>
    <row r="1152" spans="1:3" s="183" customFormat="1" x14ac:dyDescent="0.2">
      <c r="A1152" s="188"/>
      <c r="B1152" s="188"/>
      <c r="C1152" s="188"/>
    </row>
    <row r="1153" spans="1:3" s="183" customFormat="1" x14ac:dyDescent="0.2">
      <c r="A1153" s="188"/>
      <c r="B1153" s="188"/>
      <c r="C1153" s="188"/>
    </row>
    <row r="1154" spans="1:3" s="183" customFormat="1" x14ac:dyDescent="0.2">
      <c r="A1154" s="188"/>
      <c r="B1154" s="188"/>
      <c r="C1154" s="188"/>
    </row>
    <row r="1155" spans="1:3" s="183" customFormat="1" x14ac:dyDescent="0.2">
      <c r="A1155" s="188"/>
      <c r="B1155" s="188"/>
      <c r="C1155" s="188"/>
    </row>
    <row r="1156" spans="1:3" s="183" customFormat="1" x14ac:dyDescent="0.2">
      <c r="A1156" s="188"/>
      <c r="B1156" s="188"/>
      <c r="C1156" s="188"/>
    </row>
    <row r="1157" spans="1:3" s="183" customFormat="1" x14ac:dyDescent="0.2">
      <c r="A1157" s="188"/>
      <c r="B1157" s="188"/>
      <c r="C1157" s="188"/>
    </row>
    <row r="1158" spans="1:3" s="183" customFormat="1" x14ac:dyDescent="0.2">
      <c r="A1158" s="188"/>
      <c r="B1158" s="188"/>
      <c r="C1158" s="188"/>
    </row>
    <row r="1159" spans="1:3" s="183" customFormat="1" x14ac:dyDescent="0.2">
      <c r="A1159" s="188"/>
      <c r="B1159" s="188"/>
      <c r="C1159" s="188"/>
    </row>
    <row r="1160" spans="1:3" s="183" customFormat="1" x14ac:dyDescent="0.2">
      <c r="A1160" s="188"/>
      <c r="B1160" s="188"/>
      <c r="C1160" s="188"/>
    </row>
    <row r="1161" spans="1:3" s="183" customFormat="1" x14ac:dyDescent="0.2">
      <c r="A1161" s="188"/>
      <c r="B1161" s="188"/>
      <c r="C1161" s="188"/>
    </row>
    <row r="1162" spans="1:3" s="183" customFormat="1" x14ac:dyDescent="0.2">
      <c r="A1162" s="188"/>
      <c r="B1162" s="188"/>
      <c r="C1162" s="188"/>
    </row>
    <row r="1163" spans="1:3" s="183" customFormat="1" x14ac:dyDescent="0.2">
      <c r="A1163" s="188"/>
      <c r="B1163" s="188"/>
      <c r="C1163" s="188"/>
    </row>
    <row r="1164" spans="1:3" s="183" customFormat="1" x14ac:dyDescent="0.2">
      <c r="A1164" s="188"/>
      <c r="B1164" s="188"/>
      <c r="C1164" s="188"/>
    </row>
    <row r="1165" spans="1:3" s="183" customFormat="1" x14ac:dyDescent="0.2">
      <c r="A1165" s="188"/>
      <c r="B1165" s="188"/>
      <c r="C1165" s="188"/>
    </row>
    <row r="1166" spans="1:3" s="183" customFormat="1" x14ac:dyDescent="0.2">
      <c r="A1166" s="188"/>
      <c r="B1166" s="188"/>
      <c r="C1166" s="188"/>
    </row>
    <row r="1167" spans="1:3" s="183" customFormat="1" x14ac:dyDescent="0.2">
      <c r="A1167" s="188"/>
      <c r="B1167" s="188"/>
      <c r="C1167" s="188"/>
    </row>
    <row r="1168" spans="1:3" s="183" customFormat="1" x14ac:dyDescent="0.2">
      <c r="A1168" s="188"/>
      <c r="B1168" s="188"/>
      <c r="C1168" s="188"/>
    </row>
    <row r="1169" spans="1:3" s="183" customFormat="1" x14ac:dyDescent="0.2">
      <c r="A1169" s="188"/>
      <c r="B1169" s="188"/>
      <c r="C1169" s="188"/>
    </row>
    <row r="1170" spans="1:3" s="183" customFormat="1" x14ac:dyDescent="0.2">
      <c r="A1170" s="188"/>
      <c r="B1170" s="188"/>
      <c r="C1170" s="188"/>
    </row>
    <row r="1171" spans="1:3" s="183" customFormat="1" x14ac:dyDescent="0.2">
      <c r="A1171" s="188"/>
      <c r="B1171" s="188"/>
      <c r="C1171" s="188"/>
    </row>
    <row r="1172" spans="1:3" s="183" customFormat="1" x14ac:dyDescent="0.2">
      <c r="A1172" s="188"/>
      <c r="B1172" s="188"/>
      <c r="C1172" s="188"/>
    </row>
    <row r="1173" spans="1:3" s="183" customFormat="1" x14ac:dyDescent="0.2">
      <c r="A1173" s="188"/>
      <c r="B1173" s="188"/>
      <c r="C1173" s="188"/>
    </row>
    <row r="1174" spans="1:3" s="183" customFormat="1" x14ac:dyDescent="0.2">
      <c r="A1174" s="188"/>
      <c r="B1174" s="188"/>
      <c r="C1174" s="188"/>
    </row>
    <row r="1175" spans="1:3" s="183" customFormat="1" x14ac:dyDescent="0.2">
      <c r="A1175" s="188"/>
      <c r="B1175" s="188"/>
      <c r="C1175" s="188"/>
    </row>
    <row r="1176" spans="1:3" s="183" customFormat="1" x14ac:dyDescent="0.2">
      <c r="A1176" s="188"/>
      <c r="B1176" s="188"/>
      <c r="C1176" s="188"/>
    </row>
    <row r="1177" spans="1:3" s="183" customFormat="1" x14ac:dyDescent="0.2">
      <c r="A1177" s="188"/>
      <c r="B1177" s="188"/>
      <c r="C1177" s="188"/>
    </row>
    <row r="1178" spans="1:3" s="183" customFormat="1" x14ac:dyDescent="0.2">
      <c r="A1178" s="188"/>
      <c r="B1178" s="188"/>
      <c r="C1178" s="188"/>
    </row>
    <row r="1179" spans="1:3" s="183" customFormat="1" x14ac:dyDescent="0.2">
      <c r="A1179" s="188"/>
      <c r="B1179" s="188"/>
      <c r="C1179" s="188"/>
    </row>
    <row r="1180" spans="1:3" s="183" customFormat="1" x14ac:dyDescent="0.2">
      <c r="A1180" s="188"/>
      <c r="B1180" s="188"/>
      <c r="C1180" s="188"/>
    </row>
    <row r="1181" spans="1:3" s="183" customFormat="1" x14ac:dyDescent="0.2">
      <c r="A1181" s="188"/>
      <c r="B1181" s="188"/>
      <c r="C1181" s="188"/>
    </row>
    <row r="1182" spans="1:3" s="183" customFormat="1" x14ac:dyDescent="0.2">
      <c r="A1182" s="188"/>
      <c r="B1182" s="188"/>
      <c r="C1182" s="188"/>
    </row>
    <row r="1183" spans="1:3" s="183" customFormat="1" x14ac:dyDescent="0.2">
      <c r="A1183" s="188"/>
      <c r="B1183" s="188"/>
      <c r="C1183" s="188"/>
    </row>
    <row r="1184" spans="1:3" s="183" customFormat="1" x14ac:dyDescent="0.2">
      <c r="A1184" s="188"/>
      <c r="B1184" s="188"/>
      <c r="C1184" s="188"/>
    </row>
    <row r="1185" spans="1:3" s="183" customFormat="1" x14ac:dyDescent="0.2">
      <c r="A1185" s="188"/>
      <c r="B1185" s="188"/>
      <c r="C1185" s="188"/>
    </row>
    <row r="1186" spans="1:3" s="183" customFormat="1" x14ac:dyDescent="0.2">
      <c r="A1186" s="188"/>
      <c r="B1186" s="188"/>
      <c r="C1186" s="188"/>
    </row>
    <row r="1187" spans="1:3" s="183" customFormat="1" x14ac:dyDescent="0.2">
      <c r="A1187" s="188"/>
      <c r="B1187" s="188"/>
      <c r="C1187" s="188"/>
    </row>
    <row r="1188" spans="1:3" s="183" customFormat="1" x14ac:dyDescent="0.2">
      <c r="A1188" s="188"/>
      <c r="B1188" s="188"/>
      <c r="C1188" s="188"/>
    </row>
    <row r="1189" spans="1:3" s="183" customFormat="1" x14ac:dyDescent="0.2">
      <c r="A1189" s="188"/>
      <c r="B1189" s="188"/>
      <c r="C1189" s="188"/>
    </row>
    <row r="1190" spans="1:3" s="183" customFormat="1" x14ac:dyDescent="0.2">
      <c r="A1190" s="188"/>
      <c r="B1190" s="188"/>
      <c r="C1190" s="188"/>
    </row>
    <row r="1191" spans="1:3" s="183" customFormat="1" x14ac:dyDescent="0.2">
      <c r="A1191" s="188"/>
      <c r="B1191" s="188"/>
      <c r="C1191" s="188"/>
    </row>
    <row r="1192" spans="1:3" s="183" customFormat="1" x14ac:dyDescent="0.2">
      <c r="A1192" s="188"/>
      <c r="B1192" s="188"/>
      <c r="C1192" s="188"/>
    </row>
    <row r="1193" spans="1:3" s="183" customFormat="1" x14ac:dyDescent="0.2">
      <c r="A1193" s="188"/>
      <c r="B1193" s="188"/>
      <c r="C1193" s="188"/>
    </row>
    <row r="1194" spans="1:3" s="183" customFormat="1" x14ac:dyDescent="0.2">
      <c r="A1194" s="188"/>
      <c r="B1194" s="188"/>
      <c r="C1194" s="188"/>
    </row>
    <row r="1195" spans="1:3" s="183" customFormat="1" x14ac:dyDescent="0.2">
      <c r="A1195" s="188"/>
      <c r="B1195" s="188"/>
      <c r="C1195" s="188"/>
    </row>
    <row r="1196" spans="1:3" s="183" customFormat="1" x14ac:dyDescent="0.2">
      <c r="A1196" s="188"/>
      <c r="B1196" s="188"/>
      <c r="C1196" s="188"/>
    </row>
    <row r="1197" spans="1:3" s="183" customFormat="1" x14ac:dyDescent="0.2">
      <c r="A1197" s="188"/>
      <c r="B1197" s="188"/>
      <c r="C1197" s="188"/>
    </row>
    <row r="1198" spans="1:3" s="183" customFormat="1" x14ac:dyDescent="0.2">
      <c r="A1198" s="188"/>
      <c r="B1198" s="188"/>
      <c r="C1198" s="188"/>
    </row>
    <row r="1199" spans="1:3" s="183" customFormat="1" x14ac:dyDescent="0.2">
      <c r="A1199" s="188"/>
      <c r="B1199" s="188"/>
      <c r="C1199" s="188"/>
    </row>
    <row r="1200" spans="1:3" s="183" customFormat="1" x14ac:dyDescent="0.2">
      <c r="A1200" s="188"/>
      <c r="B1200" s="188"/>
      <c r="C1200" s="188"/>
    </row>
    <row r="1201" spans="1:3" s="183" customFormat="1" x14ac:dyDescent="0.2">
      <c r="A1201" s="188"/>
      <c r="B1201" s="188"/>
      <c r="C1201" s="188"/>
    </row>
    <row r="1202" spans="1:3" s="183" customFormat="1" x14ac:dyDescent="0.2">
      <c r="A1202" s="188"/>
      <c r="B1202" s="188"/>
      <c r="C1202" s="188"/>
    </row>
    <row r="1203" spans="1:3" s="183" customFormat="1" x14ac:dyDescent="0.2">
      <c r="A1203" s="188"/>
      <c r="B1203" s="188"/>
      <c r="C1203" s="188"/>
    </row>
    <row r="1204" spans="1:3" s="183" customFormat="1" x14ac:dyDescent="0.2">
      <c r="A1204" s="188"/>
      <c r="B1204" s="188"/>
      <c r="C1204" s="188"/>
    </row>
    <row r="1205" spans="1:3" s="183" customFormat="1" x14ac:dyDescent="0.2">
      <c r="A1205" s="188"/>
      <c r="B1205" s="188"/>
      <c r="C1205" s="188"/>
    </row>
    <row r="1206" spans="1:3" s="183" customFormat="1" x14ac:dyDescent="0.2">
      <c r="A1206" s="188"/>
      <c r="B1206" s="188"/>
      <c r="C1206" s="188"/>
    </row>
    <row r="1207" spans="1:3" s="183" customFormat="1" x14ac:dyDescent="0.2">
      <c r="A1207" s="188"/>
      <c r="B1207" s="188"/>
      <c r="C1207" s="188"/>
    </row>
    <row r="1208" spans="1:3" s="183" customFormat="1" x14ac:dyDescent="0.2">
      <c r="A1208" s="188"/>
      <c r="B1208" s="188"/>
      <c r="C1208" s="188"/>
    </row>
    <row r="1209" spans="1:3" s="183" customFormat="1" x14ac:dyDescent="0.2">
      <c r="A1209" s="188"/>
      <c r="B1209" s="188"/>
      <c r="C1209" s="188"/>
    </row>
    <row r="1210" spans="1:3" s="183" customFormat="1" x14ac:dyDescent="0.2">
      <c r="A1210" s="188"/>
      <c r="B1210" s="188"/>
      <c r="C1210" s="188"/>
    </row>
    <row r="1211" spans="1:3" s="183" customFormat="1" x14ac:dyDescent="0.2">
      <c r="A1211" s="188"/>
      <c r="B1211" s="188"/>
      <c r="C1211" s="188"/>
    </row>
    <row r="1212" spans="1:3" s="183" customFormat="1" x14ac:dyDescent="0.2">
      <c r="A1212" s="188"/>
      <c r="B1212" s="188"/>
      <c r="C1212" s="188"/>
    </row>
    <row r="1213" spans="1:3" s="183" customFormat="1" x14ac:dyDescent="0.2">
      <c r="A1213" s="188"/>
      <c r="B1213" s="188"/>
      <c r="C1213" s="188"/>
    </row>
    <row r="1214" spans="1:3" s="183" customFormat="1" x14ac:dyDescent="0.2">
      <c r="A1214" s="188"/>
      <c r="B1214" s="188"/>
      <c r="C1214" s="188"/>
    </row>
    <row r="1215" spans="1:3" s="183" customFormat="1" x14ac:dyDescent="0.2">
      <c r="A1215" s="188"/>
      <c r="B1215" s="188"/>
      <c r="C1215" s="188"/>
    </row>
    <row r="1216" spans="1:3" s="183" customFormat="1" x14ac:dyDescent="0.2">
      <c r="A1216" s="188"/>
      <c r="B1216" s="188"/>
      <c r="C1216" s="188"/>
    </row>
    <row r="1217" spans="1:3" s="183" customFormat="1" x14ac:dyDescent="0.2">
      <c r="A1217" s="188"/>
      <c r="B1217" s="188"/>
      <c r="C1217" s="188"/>
    </row>
    <row r="1218" spans="1:3" s="183" customFormat="1" x14ac:dyDescent="0.2">
      <c r="A1218" s="188"/>
      <c r="B1218" s="188"/>
      <c r="C1218" s="188"/>
    </row>
    <row r="1219" spans="1:3" s="183" customFormat="1" x14ac:dyDescent="0.2">
      <c r="A1219" s="188"/>
      <c r="B1219" s="188"/>
      <c r="C1219" s="188"/>
    </row>
    <row r="1220" spans="1:3" s="183" customFormat="1" x14ac:dyDescent="0.2">
      <c r="A1220" s="188"/>
      <c r="B1220" s="188"/>
      <c r="C1220" s="188"/>
    </row>
    <row r="1221" spans="1:3" s="183" customFormat="1" x14ac:dyDescent="0.2">
      <c r="A1221" s="188"/>
      <c r="B1221" s="188"/>
      <c r="C1221" s="188"/>
    </row>
    <row r="1222" spans="1:3" s="183" customFormat="1" x14ac:dyDescent="0.2">
      <c r="A1222" s="188"/>
      <c r="B1222" s="188"/>
      <c r="C1222" s="188"/>
    </row>
    <row r="1223" spans="1:3" s="183" customFormat="1" x14ac:dyDescent="0.2">
      <c r="A1223" s="188"/>
      <c r="B1223" s="188"/>
      <c r="C1223" s="188"/>
    </row>
    <row r="1224" spans="1:3" s="183" customFormat="1" x14ac:dyDescent="0.2">
      <c r="A1224" s="188"/>
      <c r="B1224" s="188"/>
      <c r="C1224" s="188"/>
    </row>
    <row r="1225" spans="1:3" s="183" customFormat="1" x14ac:dyDescent="0.2">
      <c r="A1225" s="188"/>
      <c r="B1225" s="188"/>
      <c r="C1225" s="188"/>
    </row>
    <row r="1226" spans="1:3" s="183" customFormat="1" x14ac:dyDescent="0.2">
      <c r="A1226" s="188"/>
      <c r="B1226" s="188"/>
      <c r="C1226" s="188"/>
    </row>
    <row r="1227" spans="1:3" s="183" customFormat="1" x14ac:dyDescent="0.2">
      <c r="A1227" s="188"/>
      <c r="B1227" s="188"/>
      <c r="C1227" s="188"/>
    </row>
    <row r="1228" spans="1:3" s="183" customFormat="1" x14ac:dyDescent="0.2">
      <c r="A1228" s="188"/>
      <c r="B1228" s="188"/>
      <c r="C1228" s="188"/>
    </row>
    <row r="1229" spans="1:3" s="183" customFormat="1" x14ac:dyDescent="0.2">
      <c r="A1229" s="188"/>
      <c r="B1229" s="188"/>
      <c r="C1229" s="188"/>
    </row>
    <row r="1230" spans="1:3" s="183" customFormat="1" x14ac:dyDescent="0.2">
      <c r="A1230" s="188"/>
      <c r="B1230" s="188"/>
      <c r="C1230" s="188"/>
    </row>
    <row r="1231" spans="1:3" s="183" customFormat="1" x14ac:dyDescent="0.2">
      <c r="A1231" s="188"/>
      <c r="B1231" s="188"/>
      <c r="C1231" s="188"/>
    </row>
    <row r="1232" spans="1:3" s="183" customFormat="1" x14ac:dyDescent="0.2">
      <c r="A1232" s="188"/>
      <c r="B1232" s="188"/>
      <c r="C1232" s="188"/>
    </row>
    <row r="1233" spans="1:3" s="183" customFormat="1" x14ac:dyDescent="0.2">
      <c r="A1233" s="188"/>
      <c r="B1233" s="188"/>
      <c r="C1233" s="188"/>
    </row>
    <row r="1234" spans="1:3" s="183" customFormat="1" x14ac:dyDescent="0.2">
      <c r="A1234" s="188"/>
      <c r="B1234" s="188"/>
      <c r="C1234" s="188"/>
    </row>
    <row r="1235" spans="1:3" s="183" customFormat="1" x14ac:dyDescent="0.2">
      <c r="A1235" s="188"/>
      <c r="B1235" s="188"/>
      <c r="C1235" s="188"/>
    </row>
    <row r="1236" spans="1:3" s="183" customFormat="1" x14ac:dyDescent="0.2">
      <c r="A1236" s="188"/>
      <c r="B1236" s="188"/>
      <c r="C1236" s="188"/>
    </row>
    <row r="1237" spans="1:3" s="183" customFormat="1" x14ac:dyDescent="0.2">
      <c r="A1237" s="188"/>
      <c r="B1237" s="188"/>
      <c r="C1237" s="188"/>
    </row>
    <row r="1238" spans="1:3" s="183" customFormat="1" x14ac:dyDescent="0.2">
      <c r="A1238" s="188"/>
      <c r="B1238" s="188"/>
      <c r="C1238" s="188"/>
    </row>
    <row r="1239" spans="1:3" s="183" customFormat="1" x14ac:dyDescent="0.2">
      <c r="A1239" s="188"/>
      <c r="B1239" s="188"/>
      <c r="C1239" s="188"/>
    </row>
    <row r="1240" spans="1:3" s="183" customFormat="1" x14ac:dyDescent="0.2">
      <c r="A1240" s="188"/>
      <c r="B1240" s="188"/>
      <c r="C1240" s="188"/>
    </row>
    <row r="1241" spans="1:3" s="183" customFormat="1" x14ac:dyDescent="0.2"/>
    <row r="1242" spans="1:3" s="183" customFormat="1" x14ac:dyDescent="0.2"/>
    <row r="1243" spans="1:3" s="183" customFormat="1" x14ac:dyDescent="0.2"/>
    <row r="1244" spans="1:3" s="183" customFormat="1" x14ac:dyDescent="0.2"/>
    <row r="1245" spans="1:3" s="183" customFormat="1" x14ac:dyDescent="0.2"/>
    <row r="1246" spans="1:3" s="183" customFormat="1" x14ac:dyDescent="0.2"/>
    <row r="1247" spans="1:3" s="183" customFormat="1" x14ac:dyDescent="0.2"/>
    <row r="1248" spans="1:3" s="183" customFormat="1" x14ac:dyDescent="0.2"/>
    <row r="1249" s="183" customFormat="1" x14ac:dyDescent="0.2"/>
    <row r="1250" s="183" customFormat="1" x14ac:dyDescent="0.2"/>
    <row r="1251" s="183" customFormat="1" x14ac:dyDescent="0.2"/>
    <row r="1252" s="183" customFormat="1" x14ac:dyDescent="0.2"/>
    <row r="1253" s="183" customFormat="1" x14ac:dyDescent="0.2"/>
    <row r="1254" s="183" customFormat="1" x14ac:dyDescent="0.2"/>
    <row r="1255" s="183" customFormat="1" x14ac:dyDescent="0.2"/>
    <row r="1256" s="183" customFormat="1" x14ac:dyDescent="0.2"/>
    <row r="1257" s="183" customFormat="1" x14ac:dyDescent="0.2"/>
    <row r="1258" s="183" customFormat="1" x14ac:dyDescent="0.2"/>
    <row r="1259" s="183" customFormat="1" x14ac:dyDescent="0.2"/>
    <row r="1260" s="183" customFormat="1" x14ac:dyDescent="0.2"/>
    <row r="1261" s="183" customFormat="1" x14ac:dyDescent="0.2"/>
    <row r="1262" s="183" customFormat="1" x14ac:dyDescent="0.2"/>
    <row r="1263" s="183" customFormat="1" x14ac:dyDescent="0.2"/>
    <row r="1264" s="183" customFormat="1" x14ac:dyDescent="0.2"/>
    <row r="1265" s="183" customFormat="1" x14ac:dyDescent="0.2"/>
    <row r="1266" s="183" customFormat="1" x14ac:dyDescent="0.2"/>
    <row r="1267" s="183" customFormat="1" x14ac:dyDescent="0.2"/>
    <row r="1268" s="183" customFormat="1" x14ac:dyDescent="0.2"/>
    <row r="1269" s="183" customFormat="1" x14ac:dyDescent="0.2"/>
    <row r="1270" s="183" customFormat="1" x14ac:dyDescent="0.2"/>
    <row r="1271" s="183" customFormat="1" x14ac:dyDescent="0.2"/>
    <row r="1272" s="183" customFormat="1" x14ac:dyDescent="0.2"/>
    <row r="1273" s="183" customFormat="1" x14ac:dyDescent="0.2"/>
    <row r="1274" s="183" customFormat="1" x14ac:dyDescent="0.2"/>
    <row r="1275" s="183" customFormat="1" x14ac:dyDescent="0.2"/>
    <row r="1276" s="183" customFormat="1" x14ac:dyDescent="0.2"/>
    <row r="1277" s="183" customFormat="1" x14ac:dyDescent="0.2"/>
    <row r="1278" s="183" customFormat="1" x14ac:dyDescent="0.2"/>
    <row r="1279" s="183" customFormat="1" x14ac:dyDescent="0.2"/>
    <row r="1280" s="183" customFormat="1" x14ac:dyDescent="0.2"/>
    <row r="1281" s="183" customFormat="1" x14ac:dyDescent="0.2"/>
    <row r="1282" s="183" customFormat="1" x14ac:dyDescent="0.2"/>
    <row r="1283" s="183" customFormat="1" x14ac:dyDescent="0.2"/>
    <row r="1284" s="183" customFormat="1" x14ac:dyDescent="0.2"/>
    <row r="1285" s="183" customFormat="1" x14ac:dyDescent="0.2"/>
    <row r="1286" s="183" customFormat="1" x14ac:dyDescent="0.2"/>
    <row r="1287" s="183" customFormat="1" x14ac:dyDescent="0.2"/>
    <row r="1288" s="183" customFormat="1" x14ac:dyDescent="0.2"/>
    <row r="1289" s="183" customFormat="1" x14ac:dyDescent="0.2"/>
    <row r="1290" s="183" customFormat="1" x14ac:dyDescent="0.2"/>
    <row r="1291" s="183" customFormat="1" x14ac:dyDescent="0.2"/>
    <row r="1292" s="183" customFormat="1" x14ac:dyDescent="0.2"/>
    <row r="1293" s="183" customFormat="1" x14ac:dyDescent="0.2"/>
    <row r="1294" s="183" customFormat="1" x14ac:dyDescent="0.2"/>
    <row r="1295" s="183" customFormat="1" x14ac:dyDescent="0.2"/>
    <row r="1296" s="183" customFormat="1" x14ac:dyDescent="0.2"/>
    <row r="1297" s="183" customFormat="1" x14ac:dyDescent="0.2"/>
    <row r="1298" s="183" customFormat="1" x14ac:dyDescent="0.2"/>
    <row r="1299" s="183" customFormat="1" x14ac:dyDescent="0.2"/>
    <row r="1300" s="183" customFormat="1" x14ac:dyDescent="0.2"/>
    <row r="1301" s="183" customFormat="1" x14ac:dyDescent="0.2"/>
    <row r="1302" s="183" customFormat="1" x14ac:dyDescent="0.2"/>
    <row r="1303" s="183" customFormat="1" x14ac:dyDescent="0.2"/>
    <row r="1304" s="183" customFormat="1" x14ac:dyDescent="0.2"/>
    <row r="1305" s="183" customFormat="1" x14ac:dyDescent="0.2"/>
    <row r="1306" s="183" customFormat="1" x14ac:dyDescent="0.2"/>
    <row r="1307" s="183" customFormat="1" x14ac:dyDescent="0.2"/>
    <row r="1308" s="183" customFormat="1" x14ac:dyDescent="0.2"/>
    <row r="1309" s="183" customFormat="1" x14ac:dyDescent="0.2"/>
    <row r="1310" s="183" customFormat="1" x14ac:dyDescent="0.2"/>
    <row r="1311" s="183" customFormat="1" x14ac:dyDescent="0.2"/>
    <row r="1312" s="183" customFormat="1" x14ac:dyDescent="0.2"/>
    <row r="1313" s="183" customFormat="1" x14ac:dyDescent="0.2"/>
    <row r="1314" s="183" customFormat="1" x14ac:dyDescent="0.2"/>
    <row r="1315" s="183" customFormat="1" x14ac:dyDescent="0.2"/>
    <row r="1316" s="183" customFormat="1" x14ac:dyDescent="0.2"/>
    <row r="1317" s="183" customFormat="1" x14ac:dyDescent="0.2"/>
    <row r="1318" s="183" customFormat="1" x14ac:dyDescent="0.2"/>
    <row r="1319" s="183" customFormat="1" x14ac:dyDescent="0.2"/>
    <row r="1320" s="183" customFormat="1" x14ac:dyDescent="0.2"/>
    <row r="1321" s="183" customFormat="1" x14ac:dyDescent="0.2"/>
    <row r="1322" s="183" customFormat="1" x14ac:dyDescent="0.2"/>
    <row r="1323" s="183" customFormat="1" x14ac:dyDescent="0.2"/>
    <row r="1324" s="183" customFormat="1" x14ac:dyDescent="0.2"/>
    <row r="1325" s="183" customFormat="1" x14ac:dyDescent="0.2"/>
    <row r="1326" s="183" customFormat="1" x14ac:dyDescent="0.2"/>
    <row r="1327" s="183" customFormat="1" x14ac:dyDescent="0.2"/>
    <row r="1328" s="183" customFormat="1" x14ac:dyDescent="0.2"/>
    <row r="1329" s="183" customFormat="1" x14ac:dyDescent="0.2"/>
    <row r="1330" s="183" customFormat="1" x14ac:dyDescent="0.2"/>
    <row r="1331" s="183" customFormat="1" x14ac:dyDescent="0.2"/>
    <row r="1332" s="183" customFormat="1" x14ac:dyDescent="0.2"/>
    <row r="1333" s="183" customFormat="1" x14ac:dyDescent="0.2"/>
    <row r="1334" s="183" customFormat="1" x14ac:dyDescent="0.2"/>
    <row r="1335" s="183" customFormat="1" x14ac:dyDescent="0.2"/>
    <row r="1336" s="183" customFormat="1" x14ac:dyDescent="0.2"/>
    <row r="1337" s="183" customFormat="1" x14ac:dyDescent="0.2"/>
    <row r="1338" s="183" customFormat="1" x14ac:dyDescent="0.2"/>
    <row r="1339" s="183" customFormat="1" x14ac:dyDescent="0.2"/>
    <row r="1340" s="183" customFormat="1" x14ac:dyDescent="0.2"/>
    <row r="1341" s="183" customFormat="1" x14ac:dyDescent="0.2"/>
    <row r="1342" s="183" customFormat="1" x14ac:dyDescent="0.2"/>
    <row r="1343" s="183" customFormat="1" x14ac:dyDescent="0.2"/>
    <row r="1344" s="183" customFormat="1" x14ac:dyDescent="0.2"/>
    <row r="1345" s="183" customFormat="1" x14ac:dyDescent="0.2"/>
    <row r="1346" s="183" customFormat="1" x14ac:dyDescent="0.2"/>
    <row r="1347" s="183" customFormat="1" x14ac:dyDescent="0.2"/>
    <row r="1348" s="183" customFormat="1" x14ac:dyDescent="0.2"/>
    <row r="1349" s="183" customFormat="1" x14ac:dyDescent="0.2"/>
    <row r="1350" s="183" customFormat="1" x14ac:dyDescent="0.2"/>
    <row r="1351" s="183" customFormat="1" x14ac:dyDescent="0.2"/>
    <row r="1352" s="183" customFormat="1" x14ac:dyDescent="0.2"/>
    <row r="1353" s="183" customFormat="1" x14ac:dyDescent="0.2"/>
    <row r="1354" s="183" customFormat="1" x14ac:dyDescent="0.2"/>
    <row r="1355" s="183" customFormat="1" x14ac:dyDescent="0.2"/>
    <row r="1356" s="183" customFormat="1" x14ac:dyDescent="0.2"/>
    <row r="1357" s="183" customFormat="1" x14ac:dyDescent="0.2"/>
    <row r="1358" s="183" customFormat="1" x14ac:dyDescent="0.2"/>
    <row r="1359" s="183" customFormat="1" x14ac:dyDescent="0.2"/>
    <row r="1360" s="183" customFormat="1" x14ac:dyDescent="0.2"/>
    <row r="1361" s="183" customFormat="1" x14ac:dyDescent="0.2"/>
    <row r="1362" s="183" customFormat="1" x14ac:dyDescent="0.2"/>
    <row r="1363" s="183" customFormat="1" x14ac:dyDescent="0.2"/>
    <row r="1364" s="183" customFormat="1" x14ac:dyDescent="0.2"/>
    <row r="1365" s="183" customFormat="1" x14ac:dyDescent="0.2"/>
    <row r="1366" s="183" customFormat="1" x14ac:dyDescent="0.2"/>
    <row r="1367" s="183" customFormat="1" x14ac:dyDescent="0.2"/>
    <row r="1368" s="183" customFormat="1" x14ac:dyDescent="0.2"/>
    <row r="1369" s="183" customFormat="1" x14ac:dyDescent="0.2"/>
    <row r="1370" s="183" customFormat="1" x14ac:dyDescent="0.2"/>
    <row r="1371" s="183" customFormat="1" x14ac:dyDescent="0.2"/>
    <row r="1372" s="183" customFormat="1" x14ac:dyDescent="0.2"/>
    <row r="1373" s="183" customFormat="1" x14ac:dyDescent="0.2"/>
    <row r="1374" s="183" customFormat="1" x14ac:dyDescent="0.2"/>
    <row r="1375" s="183" customFormat="1" x14ac:dyDescent="0.2"/>
    <row r="1376" s="183" customFormat="1" x14ac:dyDescent="0.2"/>
    <row r="1377" spans="5:6" s="183" customFormat="1" x14ac:dyDescent="0.2"/>
    <row r="1378" spans="5:6" s="183" customFormat="1" x14ac:dyDescent="0.2"/>
    <row r="1379" spans="5:6" s="183" customFormat="1" x14ac:dyDescent="0.2"/>
    <row r="1380" spans="5:6" s="183" customFormat="1" x14ac:dyDescent="0.2"/>
    <row r="1381" spans="5:6" s="183" customFormat="1" x14ac:dyDescent="0.2"/>
    <row r="1382" spans="5:6" s="183" customFormat="1" x14ac:dyDescent="0.2"/>
    <row r="1383" spans="5:6" s="183" customFormat="1" x14ac:dyDescent="0.2"/>
    <row r="1384" spans="5:6" s="183" customFormat="1" x14ac:dyDescent="0.2"/>
    <row r="1385" spans="5:6" s="183" customFormat="1" x14ac:dyDescent="0.2"/>
    <row r="1386" spans="5:6" s="183" customFormat="1" x14ac:dyDescent="0.2"/>
    <row r="1387" spans="5:6" s="183" customFormat="1" x14ac:dyDescent="0.2"/>
    <row r="1388" spans="5:6" s="183" customFormat="1" x14ac:dyDescent="0.2"/>
    <row r="1389" spans="5:6" s="183" customFormat="1" x14ac:dyDescent="0.2"/>
    <row r="1390" spans="5:6" s="3" customFormat="1" x14ac:dyDescent="0.2">
      <c r="E1390" s="183"/>
      <c r="F1390" s="183"/>
    </row>
    <row r="1391" spans="5:6" s="3" customFormat="1" x14ac:dyDescent="0.2">
      <c r="E1391" s="183"/>
      <c r="F1391" s="183"/>
    </row>
    <row r="1392" spans="5:6" s="3" customFormat="1" x14ac:dyDescent="0.2">
      <c r="E1392" s="183"/>
      <c r="F1392" s="183"/>
    </row>
    <row r="1393" spans="5:6" s="3" customFormat="1" x14ac:dyDescent="0.2">
      <c r="E1393" s="183"/>
      <c r="F1393" s="183"/>
    </row>
    <row r="1394" spans="5:6" s="3" customFormat="1" x14ac:dyDescent="0.2">
      <c r="E1394" s="183"/>
      <c r="F1394" s="183"/>
    </row>
    <row r="1395" spans="5:6" s="3" customFormat="1" x14ac:dyDescent="0.2">
      <c r="E1395" s="183"/>
      <c r="F1395" s="183"/>
    </row>
    <row r="1396" spans="5:6" s="3" customFormat="1" x14ac:dyDescent="0.2">
      <c r="E1396" s="183"/>
    </row>
    <row r="1397" spans="5:6" s="3" customFormat="1" x14ac:dyDescent="0.2">
      <c r="E1397" s="183"/>
    </row>
    <row r="1398" spans="5:6" s="3" customFormat="1" x14ac:dyDescent="0.2">
      <c r="E1398" s="183"/>
    </row>
    <row r="1399" spans="5:6" s="3" customFormat="1" x14ac:dyDescent="0.2">
      <c r="E1399" s="183"/>
    </row>
    <row r="1400" spans="5:6" s="3" customFormat="1" x14ac:dyDescent="0.2">
      <c r="E1400" s="183"/>
    </row>
    <row r="1401" spans="5:6" s="3" customFormat="1" x14ac:dyDescent="0.2">
      <c r="E1401" s="183"/>
    </row>
    <row r="1402" spans="5:6" s="3" customFormat="1" x14ac:dyDescent="0.2">
      <c r="E1402" s="183"/>
    </row>
    <row r="1403" spans="5:6" s="3" customFormat="1" x14ac:dyDescent="0.2">
      <c r="E1403" s="183"/>
    </row>
    <row r="1404" spans="5:6" s="3" customFormat="1" x14ac:dyDescent="0.2">
      <c r="E1404" s="183"/>
    </row>
    <row r="1405" spans="5:6" s="3" customFormat="1" x14ac:dyDescent="0.2">
      <c r="E1405" s="183"/>
    </row>
    <row r="1406" spans="5:6" s="3" customFormat="1" x14ac:dyDescent="0.2">
      <c r="E1406" s="183"/>
    </row>
    <row r="1407" spans="5:6" s="3" customFormat="1" x14ac:dyDescent="0.2">
      <c r="E1407" s="183"/>
    </row>
    <row r="1408" spans="5:6" s="3" customFormat="1" x14ac:dyDescent="0.2"/>
    <row r="1409" s="3" customFormat="1" x14ac:dyDescent="0.2"/>
    <row r="1410" s="3" customFormat="1" x14ac:dyDescent="0.2"/>
    <row r="1411" s="3" customFormat="1" x14ac:dyDescent="0.2"/>
    <row r="1412" s="3" customFormat="1" x14ac:dyDescent="0.2"/>
    <row r="1413" s="3" customFormat="1" x14ac:dyDescent="0.2"/>
    <row r="1414" s="3" customFormat="1" x14ac:dyDescent="0.2"/>
    <row r="1415" s="3" customFormat="1" x14ac:dyDescent="0.2"/>
    <row r="1416" s="3" customFormat="1" x14ac:dyDescent="0.2"/>
    <row r="1417" s="3" customFormat="1" x14ac:dyDescent="0.2"/>
    <row r="1418" s="3" customFormat="1" x14ac:dyDescent="0.2"/>
    <row r="1419" s="3" customFormat="1" x14ac:dyDescent="0.2"/>
    <row r="1420" s="3" customFormat="1" x14ac:dyDescent="0.2"/>
    <row r="1421" s="3" customFormat="1" x14ac:dyDescent="0.2"/>
    <row r="1422" s="3" customFormat="1" x14ac:dyDescent="0.2"/>
    <row r="1423" s="3" customFormat="1" x14ac:dyDescent="0.2"/>
    <row r="1424" s="3" customFormat="1" x14ac:dyDescent="0.2"/>
    <row r="1425" s="3" customFormat="1" x14ac:dyDescent="0.2"/>
    <row r="1426" s="3" customFormat="1" x14ac:dyDescent="0.2"/>
    <row r="1427" s="3" customFormat="1" x14ac:dyDescent="0.2"/>
    <row r="1428" s="3" customFormat="1" x14ac:dyDescent="0.2"/>
    <row r="1429" s="3" customFormat="1" x14ac:dyDescent="0.2"/>
    <row r="1430" s="3" customFormat="1" x14ac:dyDescent="0.2"/>
    <row r="1431" s="3" customFormat="1" x14ac:dyDescent="0.2"/>
    <row r="1432" s="3" customFormat="1" x14ac:dyDescent="0.2"/>
    <row r="1433" s="3" customFormat="1" x14ac:dyDescent="0.2"/>
    <row r="1434" s="3" customFormat="1" x14ac:dyDescent="0.2"/>
    <row r="1435" s="3" customFormat="1" x14ac:dyDescent="0.2"/>
    <row r="1436" s="3" customFormat="1" x14ac:dyDescent="0.2"/>
    <row r="1437" s="3" customFormat="1" x14ac:dyDescent="0.2"/>
    <row r="1438" s="3" customFormat="1" x14ac:dyDescent="0.2"/>
    <row r="1439" s="3" customFormat="1" x14ac:dyDescent="0.2"/>
    <row r="1440" s="3" customFormat="1" x14ac:dyDescent="0.2"/>
    <row r="1441" s="3" customFormat="1" x14ac:dyDescent="0.2"/>
    <row r="1442" s="3" customFormat="1" x14ac:dyDescent="0.2"/>
    <row r="1443" s="3" customFormat="1" x14ac:dyDescent="0.2"/>
    <row r="1444" s="3" customFormat="1" x14ac:dyDescent="0.2"/>
    <row r="1445" s="3" customFormat="1" x14ac:dyDescent="0.2"/>
    <row r="1446" s="3" customFormat="1" x14ac:dyDescent="0.2"/>
    <row r="1447" s="3" customFormat="1" x14ac:dyDescent="0.2"/>
    <row r="1448" s="3" customFormat="1" x14ac:dyDescent="0.2"/>
    <row r="1449" s="3" customFormat="1" x14ac:dyDescent="0.2"/>
    <row r="1450" s="3" customFormat="1" x14ac:dyDescent="0.2"/>
    <row r="1451" s="3" customFormat="1" x14ac:dyDescent="0.2"/>
    <row r="1452" s="3" customFormat="1" x14ac:dyDescent="0.2"/>
    <row r="1453" s="3" customFormat="1" x14ac:dyDescent="0.2"/>
    <row r="1454" s="3" customFormat="1" x14ac:dyDescent="0.2"/>
    <row r="1455" s="3" customFormat="1" x14ac:dyDescent="0.2"/>
    <row r="1456" s="3" customFormat="1" x14ac:dyDescent="0.2"/>
    <row r="1457" s="3" customFormat="1" x14ac:dyDescent="0.2"/>
    <row r="1458" s="3" customFormat="1" x14ac:dyDescent="0.2"/>
    <row r="1459" s="3" customFormat="1" x14ac:dyDescent="0.2"/>
    <row r="1460" s="3" customFormat="1" x14ac:dyDescent="0.2"/>
    <row r="1461" s="3" customFormat="1" x14ac:dyDescent="0.2"/>
    <row r="1462" s="3" customFormat="1" x14ac:dyDescent="0.2"/>
    <row r="1463" s="3" customFormat="1" x14ac:dyDescent="0.2"/>
    <row r="1464" s="3" customFormat="1" x14ac:dyDescent="0.2"/>
    <row r="1465" s="3" customFormat="1" x14ac:dyDescent="0.2"/>
    <row r="1466" s="3" customFormat="1" x14ac:dyDescent="0.2"/>
    <row r="1467" s="3" customFormat="1" x14ac:dyDescent="0.2"/>
    <row r="1468" s="3" customFormat="1" x14ac:dyDescent="0.2"/>
    <row r="1469" s="3" customFormat="1" x14ac:dyDescent="0.2"/>
    <row r="1470" s="3" customFormat="1" x14ac:dyDescent="0.2"/>
    <row r="1471" s="3" customFormat="1" x14ac:dyDescent="0.2"/>
    <row r="1472" s="3" customFormat="1" x14ac:dyDescent="0.2"/>
    <row r="1473" s="3" customFormat="1" x14ac:dyDescent="0.2"/>
    <row r="1474" s="3" customFormat="1" x14ac:dyDescent="0.2"/>
    <row r="1475" s="3" customFormat="1" x14ac:dyDescent="0.2"/>
    <row r="1476" s="3" customFormat="1" x14ac:dyDescent="0.2"/>
    <row r="1477" s="3" customFormat="1" x14ac:dyDescent="0.2"/>
    <row r="1478" s="3" customFormat="1" x14ac:dyDescent="0.2"/>
    <row r="1479" s="3" customFormat="1" x14ac:dyDescent="0.2"/>
    <row r="1480" s="3" customFormat="1" x14ac:dyDescent="0.2"/>
    <row r="1481" s="3" customFormat="1" x14ac:dyDescent="0.2"/>
    <row r="1482" s="3" customFormat="1" x14ac:dyDescent="0.2"/>
    <row r="1483" s="3" customFormat="1" x14ac:dyDescent="0.2"/>
    <row r="1484" s="3" customFormat="1" x14ac:dyDescent="0.2"/>
    <row r="1485" s="3" customFormat="1" x14ac:dyDescent="0.2"/>
    <row r="1486" s="3" customFormat="1" x14ac:dyDescent="0.2"/>
    <row r="1487" s="3" customFormat="1" x14ac:dyDescent="0.2"/>
    <row r="1488" s="3" customFormat="1" x14ac:dyDescent="0.2"/>
    <row r="1489" s="3" customFormat="1" x14ac:dyDescent="0.2"/>
    <row r="1490" s="3" customFormat="1" x14ac:dyDescent="0.2"/>
    <row r="1491" s="3" customFormat="1" x14ac:dyDescent="0.2"/>
    <row r="1492" s="3" customFormat="1" x14ac:dyDescent="0.2"/>
    <row r="1493" s="3" customFormat="1" x14ac:dyDescent="0.2"/>
    <row r="1494" s="3" customFormat="1" x14ac:dyDescent="0.2"/>
    <row r="1495" s="3" customFormat="1" x14ac:dyDescent="0.2"/>
    <row r="1496" s="3" customFormat="1" x14ac:dyDescent="0.2"/>
    <row r="1497" s="3" customFormat="1" x14ac:dyDescent="0.2"/>
    <row r="1498" s="3" customFormat="1" x14ac:dyDescent="0.2"/>
    <row r="1499" s="3" customFormat="1" x14ac:dyDescent="0.2"/>
    <row r="1500" s="3" customFormat="1" x14ac:dyDescent="0.2"/>
    <row r="1501" s="3" customFormat="1" x14ac:dyDescent="0.2"/>
    <row r="1502" s="3" customFormat="1" x14ac:dyDescent="0.2"/>
    <row r="1503" s="3" customFormat="1" x14ac:dyDescent="0.2"/>
    <row r="1504" s="3" customFormat="1" x14ac:dyDescent="0.2"/>
    <row r="1505" s="3" customFormat="1" x14ac:dyDescent="0.2"/>
    <row r="1506" s="3" customFormat="1" x14ac:dyDescent="0.2"/>
    <row r="1507" s="3" customFormat="1" x14ac:dyDescent="0.2"/>
    <row r="1508" s="3" customFormat="1" x14ac:dyDescent="0.2"/>
    <row r="1509" s="3" customFormat="1" x14ac:dyDescent="0.2"/>
    <row r="1510" s="3" customFormat="1" x14ac:dyDescent="0.2"/>
    <row r="1511" s="3" customFormat="1" x14ac:dyDescent="0.2"/>
    <row r="1512" s="3" customFormat="1" x14ac:dyDescent="0.2"/>
    <row r="1513" s="3" customFormat="1" x14ac:dyDescent="0.2"/>
    <row r="1514" s="3" customFormat="1" x14ac:dyDescent="0.2"/>
    <row r="1515" s="3" customFormat="1" x14ac:dyDescent="0.2"/>
    <row r="1516" s="3" customFormat="1" x14ac:dyDescent="0.2"/>
    <row r="1517" s="3" customFormat="1" x14ac:dyDescent="0.2"/>
    <row r="1518" s="3" customFormat="1" x14ac:dyDescent="0.2"/>
    <row r="1519" s="3" customFormat="1" x14ac:dyDescent="0.2"/>
    <row r="1520" s="3" customFormat="1" x14ac:dyDescent="0.2"/>
    <row r="1521" s="3" customFormat="1" x14ac:dyDescent="0.2"/>
    <row r="1522" s="3" customFormat="1" x14ac:dyDescent="0.2"/>
    <row r="1523" s="3" customFormat="1" x14ac:dyDescent="0.2"/>
    <row r="1524" s="3" customFormat="1" x14ac:dyDescent="0.2"/>
    <row r="1525" s="3" customFormat="1" x14ac:dyDescent="0.2"/>
    <row r="1526" s="3" customFormat="1" x14ac:dyDescent="0.2"/>
    <row r="1527" s="3" customFormat="1" x14ac:dyDescent="0.2"/>
    <row r="1528" s="3" customFormat="1" x14ac:dyDescent="0.2"/>
    <row r="1529" s="3" customFormat="1" x14ac:dyDescent="0.2"/>
    <row r="1530" s="3" customFormat="1" x14ac:dyDescent="0.2"/>
    <row r="1531" s="3" customFormat="1" x14ac:dyDescent="0.2"/>
    <row r="1532" s="3" customFormat="1" x14ac:dyDescent="0.2"/>
    <row r="1533" s="3" customFormat="1" x14ac:dyDescent="0.2"/>
    <row r="1534" s="3" customFormat="1" x14ac:dyDescent="0.2"/>
    <row r="1535" s="3" customFormat="1" x14ac:dyDescent="0.2"/>
    <row r="1536" s="3" customFormat="1" x14ac:dyDescent="0.2"/>
    <row r="1537" s="3" customFormat="1" x14ac:dyDescent="0.2"/>
    <row r="1538" s="3" customFormat="1" x14ac:dyDescent="0.2"/>
    <row r="1539" s="3" customFormat="1" x14ac:dyDescent="0.2"/>
    <row r="1540" s="3" customFormat="1" x14ac:dyDescent="0.2"/>
    <row r="1541" s="3" customFormat="1" x14ac:dyDescent="0.2"/>
    <row r="1542" s="3" customFormat="1" x14ac:dyDescent="0.2"/>
    <row r="1543" s="3" customFormat="1" x14ac:dyDescent="0.2"/>
    <row r="1544" s="3" customFormat="1" x14ac:dyDescent="0.2"/>
    <row r="1545" s="3" customFormat="1" x14ac:dyDescent="0.2"/>
    <row r="1546" s="3" customFormat="1" x14ac:dyDescent="0.2"/>
    <row r="1547" s="3" customFormat="1" x14ac:dyDescent="0.2"/>
    <row r="1548" s="3" customFormat="1" x14ac:dyDescent="0.2"/>
    <row r="1549" s="3" customFormat="1" x14ac:dyDescent="0.2"/>
    <row r="1550" s="3" customFormat="1" x14ac:dyDescent="0.2"/>
    <row r="1551" s="3" customFormat="1" x14ac:dyDescent="0.2"/>
    <row r="1552" s="3" customFormat="1" x14ac:dyDescent="0.2"/>
    <row r="1553" s="3" customFormat="1" x14ac:dyDescent="0.2"/>
    <row r="1554" s="3" customFormat="1" x14ac:dyDescent="0.2"/>
    <row r="1555" s="3" customFormat="1" x14ac:dyDescent="0.2"/>
    <row r="1556" s="3" customFormat="1" x14ac:dyDescent="0.2"/>
    <row r="1557" s="3" customFormat="1" x14ac:dyDescent="0.2"/>
    <row r="1558" s="3" customFormat="1" x14ac:dyDescent="0.2"/>
    <row r="1559" s="3" customFormat="1" x14ac:dyDescent="0.2"/>
    <row r="1560" s="3" customFormat="1" x14ac:dyDescent="0.2"/>
    <row r="1561" s="3" customFormat="1" x14ac:dyDescent="0.2"/>
    <row r="1562" s="3" customFormat="1" x14ac:dyDescent="0.2"/>
    <row r="1563" s="3" customFormat="1" x14ac:dyDescent="0.2"/>
    <row r="1564" s="3" customFormat="1" x14ac:dyDescent="0.2"/>
    <row r="1565" s="3" customFormat="1" x14ac:dyDescent="0.2"/>
    <row r="1566" s="3" customFormat="1" x14ac:dyDescent="0.2"/>
    <row r="1567" s="3" customFormat="1" x14ac:dyDescent="0.2"/>
    <row r="1568" s="3" customFormat="1" x14ac:dyDescent="0.2"/>
    <row r="1569" s="3" customFormat="1" x14ac:dyDescent="0.2"/>
    <row r="1570" s="3" customFormat="1" x14ac:dyDescent="0.2"/>
    <row r="1571" s="3" customFormat="1" x14ac:dyDescent="0.2"/>
    <row r="1572" s="3" customFormat="1" x14ac:dyDescent="0.2"/>
    <row r="1573" s="3" customFormat="1" x14ac:dyDescent="0.2"/>
    <row r="1574" s="3" customFormat="1" x14ac:dyDescent="0.2"/>
    <row r="1575" s="3" customFormat="1" x14ac:dyDescent="0.2"/>
    <row r="1576" s="3" customFormat="1" x14ac:dyDescent="0.2"/>
    <row r="1577" s="3" customFormat="1" x14ac:dyDescent="0.2"/>
    <row r="1578" s="3" customFormat="1" x14ac:dyDescent="0.2"/>
    <row r="1579" s="3" customFormat="1" x14ac:dyDescent="0.2"/>
    <row r="1580" s="3" customFormat="1" x14ac:dyDescent="0.2"/>
    <row r="1581" s="3" customFormat="1" x14ac:dyDescent="0.2"/>
    <row r="1582" s="3" customFormat="1" x14ac:dyDescent="0.2"/>
    <row r="1583" s="3" customFormat="1" x14ac:dyDescent="0.2"/>
    <row r="1584" s="3" customFormat="1" x14ac:dyDescent="0.2"/>
    <row r="1585" s="3" customFormat="1" x14ac:dyDescent="0.2"/>
    <row r="1586" s="3" customFormat="1" x14ac:dyDescent="0.2"/>
    <row r="1587" s="3" customFormat="1" x14ac:dyDescent="0.2"/>
    <row r="1588" s="3" customFormat="1" x14ac:dyDescent="0.2"/>
    <row r="1589" s="3" customFormat="1" x14ac:dyDescent="0.2"/>
    <row r="1590" s="3" customFormat="1" x14ac:dyDescent="0.2"/>
    <row r="1591" s="3" customFormat="1" x14ac:dyDescent="0.2"/>
    <row r="1592" s="3" customFormat="1" x14ac:dyDescent="0.2"/>
    <row r="1593" s="3" customFormat="1" x14ac:dyDescent="0.2"/>
    <row r="1594" s="3" customFormat="1" x14ac:dyDescent="0.2"/>
    <row r="1595" s="3" customFormat="1" x14ac:dyDescent="0.2"/>
    <row r="1596" s="3" customFormat="1" x14ac:dyDescent="0.2"/>
    <row r="1597" s="3" customFormat="1" x14ac:dyDescent="0.2"/>
    <row r="1598" s="3" customFormat="1" x14ac:dyDescent="0.2"/>
    <row r="1599" s="3" customFormat="1" x14ac:dyDescent="0.2"/>
    <row r="1600" s="3" customFormat="1" x14ac:dyDescent="0.2"/>
    <row r="1601" s="3" customFormat="1" x14ac:dyDescent="0.2"/>
    <row r="1602" s="3" customFormat="1" x14ac:dyDescent="0.2"/>
    <row r="1603" s="3" customFormat="1" x14ac:dyDescent="0.2"/>
    <row r="1604" s="3" customFormat="1" x14ac:dyDescent="0.2"/>
    <row r="1605" s="3" customFormat="1" x14ac:dyDescent="0.2"/>
    <row r="1606" s="3" customFormat="1" x14ac:dyDescent="0.2"/>
    <row r="1607" s="3" customFormat="1" x14ac:dyDescent="0.2"/>
    <row r="1608" s="3" customFormat="1" x14ac:dyDescent="0.2"/>
    <row r="1609" s="3" customFormat="1" x14ac:dyDescent="0.2"/>
    <row r="1610" s="3" customFormat="1" x14ac:dyDescent="0.2"/>
    <row r="1611" s="3" customFormat="1" x14ac:dyDescent="0.2"/>
    <row r="1612" s="3" customFormat="1" x14ac:dyDescent="0.2"/>
    <row r="1613" s="3" customFormat="1" x14ac:dyDescent="0.2"/>
    <row r="1614" s="3" customFormat="1" x14ac:dyDescent="0.2"/>
    <row r="1615" s="3" customFormat="1" x14ac:dyDescent="0.2"/>
    <row r="1616" s="3" customFormat="1" x14ac:dyDescent="0.2"/>
    <row r="1617" s="3" customFormat="1" x14ac:dyDescent="0.2"/>
    <row r="1618" s="3" customFormat="1" x14ac:dyDescent="0.2"/>
    <row r="1619" s="3" customFormat="1" x14ac:dyDescent="0.2"/>
    <row r="1620" s="3" customFormat="1" x14ac:dyDescent="0.2"/>
    <row r="1621" s="3" customFormat="1" x14ac:dyDescent="0.2"/>
    <row r="1622" s="3" customFormat="1" x14ac:dyDescent="0.2"/>
    <row r="1623" s="3" customFormat="1" x14ac:dyDescent="0.2"/>
    <row r="1624" s="3" customFormat="1" x14ac:dyDescent="0.2"/>
    <row r="1625" s="3" customFormat="1" x14ac:dyDescent="0.2"/>
    <row r="1626" s="3" customFormat="1" x14ac:dyDescent="0.2"/>
    <row r="1627" s="3" customFormat="1" x14ac:dyDescent="0.2"/>
    <row r="1628" s="3" customFormat="1" x14ac:dyDescent="0.2"/>
    <row r="1629" s="3" customFormat="1" x14ac:dyDescent="0.2"/>
    <row r="1630" s="3" customFormat="1" x14ac:dyDescent="0.2"/>
    <row r="1631" s="3" customFormat="1" x14ac:dyDescent="0.2"/>
    <row r="1632" s="3" customFormat="1" x14ac:dyDescent="0.2"/>
    <row r="1633" s="3" customFormat="1" x14ac:dyDescent="0.2"/>
    <row r="1634" s="3" customFormat="1" x14ac:dyDescent="0.2"/>
    <row r="1635" s="3" customFormat="1" x14ac:dyDescent="0.2"/>
    <row r="1636" s="3" customFormat="1" x14ac:dyDescent="0.2"/>
    <row r="1637" s="3" customFormat="1" x14ac:dyDescent="0.2"/>
    <row r="1638" s="3" customFormat="1" x14ac:dyDescent="0.2"/>
    <row r="1639" s="3" customFormat="1" x14ac:dyDescent="0.2"/>
    <row r="1640" s="3" customFormat="1" x14ac:dyDescent="0.2"/>
    <row r="1641" s="3" customFormat="1" x14ac:dyDescent="0.2"/>
    <row r="1642" s="3" customFormat="1" x14ac:dyDescent="0.2"/>
    <row r="1643" s="3" customFormat="1" x14ac:dyDescent="0.2"/>
    <row r="1644" s="3" customFormat="1" x14ac:dyDescent="0.2"/>
    <row r="1645" s="3" customFormat="1" x14ac:dyDescent="0.2"/>
    <row r="1646" s="3" customFormat="1" x14ac:dyDescent="0.2"/>
    <row r="1647" s="3" customFormat="1" x14ac:dyDescent="0.2"/>
    <row r="1648" s="3" customFormat="1" x14ac:dyDescent="0.2"/>
    <row r="1649" s="3" customFormat="1" x14ac:dyDescent="0.2"/>
    <row r="1650" s="3" customFormat="1" x14ac:dyDescent="0.2"/>
    <row r="1651" s="3" customFormat="1" x14ac:dyDescent="0.2"/>
    <row r="1652" s="3" customFormat="1" x14ac:dyDescent="0.2"/>
    <row r="1653" s="3" customFormat="1" x14ac:dyDescent="0.2"/>
    <row r="1654" s="3" customFormat="1" x14ac:dyDescent="0.2"/>
    <row r="1655" s="3" customFormat="1" x14ac:dyDescent="0.2"/>
    <row r="1656" s="3" customFormat="1" x14ac:dyDescent="0.2"/>
    <row r="1657" s="3" customFormat="1" x14ac:dyDescent="0.2"/>
    <row r="1658" s="3" customFormat="1" x14ac:dyDescent="0.2"/>
    <row r="1659" s="3" customFormat="1" x14ac:dyDescent="0.2"/>
    <row r="1660" s="3" customFormat="1" x14ac:dyDescent="0.2"/>
    <row r="1661" s="3" customFormat="1" x14ac:dyDescent="0.2"/>
    <row r="1662" s="3" customFormat="1" x14ac:dyDescent="0.2"/>
    <row r="1663" s="3" customFormat="1" x14ac:dyDescent="0.2"/>
    <row r="1664" s="3" customFormat="1" x14ac:dyDescent="0.2"/>
    <row r="1665" s="3" customFormat="1" x14ac:dyDescent="0.2"/>
    <row r="1666" s="3" customFormat="1" x14ac:dyDescent="0.2"/>
    <row r="1667" s="3" customFormat="1" x14ac:dyDescent="0.2"/>
    <row r="1668" s="3" customFormat="1" x14ac:dyDescent="0.2"/>
    <row r="1669" s="3" customFormat="1" x14ac:dyDescent="0.2"/>
    <row r="1670" s="3" customFormat="1" x14ac:dyDescent="0.2"/>
    <row r="1671" s="3" customFormat="1" x14ac:dyDescent="0.2"/>
    <row r="1672" s="3" customFormat="1" x14ac:dyDescent="0.2"/>
    <row r="1673" s="3" customFormat="1" x14ac:dyDescent="0.2"/>
    <row r="1674" s="3" customFormat="1" x14ac:dyDescent="0.2"/>
    <row r="1675" s="3" customFormat="1" x14ac:dyDescent="0.2"/>
    <row r="1676" s="3" customFormat="1" x14ac:dyDescent="0.2"/>
    <row r="1677" s="3" customFormat="1" x14ac:dyDescent="0.2"/>
    <row r="1678" s="3" customFormat="1" x14ac:dyDescent="0.2"/>
    <row r="1679" s="3" customFormat="1" x14ac:dyDescent="0.2"/>
    <row r="1680" s="3" customFormat="1" x14ac:dyDescent="0.2"/>
    <row r="1681" s="3" customFormat="1" x14ac:dyDescent="0.2"/>
    <row r="1682" s="3" customFormat="1" x14ac:dyDescent="0.2"/>
    <row r="1683" s="3" customFormat="1" x14ac:dyDescent="0.2"/>
    <row r="1684" s="3" customFormat="1" x14ac:dyDescent="0.2"/>
    <row r="1685" s="3" customFormat="1" x14ac:dyDescent="0.2"/>
    <row r="1686" s="3" customFormat="1" x14ac:dyDescent="0.2"/>
    <row r="1687" s="3" customFormat="1" x14ac:dyDescent="0.2"/>
    <row r="1688" s="3" customFormat="1" x14ac:dyDescent="0.2"/>
    <row r="1689" s="3" customFormat="1" x14ac:dyDescent="0.2"/>
    <row r="1690" s="3" customFormat="1" x14ac:dyDescent="0.2"/>
    <row r="1691" s="3" customFormat="1" x14ac:dyDescent="0.2"/>
    <row r="1692" s="3" customFormat="1" x14ac:dyDescent="0.2"/>
    <row r="1693" s="3" customFormat="1" x14ac:dyDescent="0.2"/>
    <row r="1694" s="3" customFormat="1" x14ac:dyDescent="0.2"/>
    <row r="1695" s="3" customFormat="1" x14ac:dyDescent="0.2"/>
    <row r="1696" s="3" customFormat="1" x14ac:dyDescent="0.2"/>
    <row r="1697" s="3" customFormat="1" x14ac:dyDescent="0.2"/>
    <row r="1698" s="3" customFormat="1" x14ac:dyDescent="0.2"/>
    <row r="1699" s="3" customFormat="1" x14ac:dyDescent="0.2"/>
    <row r="1700" s="3" customFormat="1" x14ac:dyDescent="0.2"/>
    <row r="1701" s="3" customFormat="1" x14ac:dyDescent="0.2"/>
    <row r="1702" s="3" customFormat="1" x14ac:dyDescent="0.2"/>
    <row r="1703" s="3" customFormat="1" x14ac:dyDescent="0.2"/>
    <row r="1704" s="3" customFormat="1" x14ac:dyDescent="0.2"/>
    <row r="1705" s="3" customFormat="1" x14ac:dyDescent="0.2"/>
    <row r="1706" s="3" customFormat="1" x14ac:dyDescent="0.2"/>
    <row r="1707" s="3" customFormat="1" x14ac:dyDescent="0.2"/>
    <row r="1708" s="3" customFormat="1" x14ac:dyDescent="0.2"/>
    <row r="1709" s="3" customFormat="1" x14ac:dyDescent="0.2"/>
    <row r="1710" s="3" customFormat="1" x14ac:dyDescent="0.2"/>
    <row r="1711" s="3" customFormat="1" x14ac:dyDescent="0.2"/>
    <row r="1712" s="3" customFormat="1" x14ac:dyDescent="0.2"/>
    <row r="1713" s="3" customFormat="1" x14ac:dyDescent="0.2"/>
    <row r="1714" s="3" customFormat="1" x14ac:dyDescent="0.2"/>
    <row r="1715" s="3" customFormat="1" x14ac:dyDescent="0.2"/>
    <row r="1716" s="3" customFormat="1" x14ac:dyDescent="0.2"/>
    <row r="1717" s="3" customFormat="1" x14ac:dyDescent="0.2"/>
    <row r="1718" s="3" customFormat="1" x14ac:dyDescent="0.2"/>
    <row r="1719" s="3" customFormat="1" x14ac:dyDescent="0.2"/>
    <row r="1720" s="3" customFormat="1" x14ac:dyDescent="0.2"/>
    <row r="1721" s="3" customFormat="1" x14ac:dyDescent="0.2"/>
    <row r="1722" s="3" customFormat="1" x14ac:dyDescent="0.2"/>
    <row r="1723" s="3" customFormat="1" x14ac:dyDescent="0.2"/>
    <row r="1724" s="3" customFormat="1" x14ac:dyDescent="0.2"/>
    <row r="1725" s="3" customFormat="1" x14ac:dyDescent="0.2"/>
    <row r="1726" s="3" customFormat="1" x14ac:dyDescent="0.2"/>
    <row r="1727" s="3" customFormat="1" x14ac:dyDescent="0.2"/>
    <row r="1728" s="3" customFormat="1" x14ac:dyDescent="0.2"/>
    <row r="1729" s="3" customFormat="1" x14ac:dyDescent="0.2"/>
    <row r="1730" s="3" customFormat="1" x14ac:dyDescent="0.2"/>
    <row r="1731" s="3" customFormat="1" x14ac:dyDescent="0.2"/>
    <row r="1732" s="3" customFormat="1" x14ac:dyDescent="0.2"/>
    <row r="1733" s="3" customFormat="1" x14ac:dyDescent="0.2"/>
    <row r="1734" s="3" customFormat="1" x14ac:dyDescent="0.2"/>
    <row r="1735" s="3" customFormat="1" x14ac:dyDescent="0.2"/>
    <row r="1736" s="3" customFormat="1" x14ac:dyDescent="0.2"/>
    <row r="1737" s="3" customFormat="1" x14ac:dyDescent="0.2"/>
    <row r="1738" s="3" customFormat="1" x14ac:dyDescent="0.2"/>
    <row r="1739" s="3" customFormat="1" x14ac:dyDescent="0.2"/>
    <row r="1740" s="3" customFormat="1" x14ac:dyDescent="0.2"/>
    <row r="1741" s="3" customFormat="1" x14ac:dyDescent="0.2"/>
    <row r="1742" s="3" customFormat="1" x14ac:dyDescent="0.2"/>
    <row r="1743" s="3" customFormat="1" x14ac:dyDescent="0.2"/>
    <row r="1744" s="3" customFormat="1" x14ac:dyDescent="0.2"/>
    <row r="1745" spans="5:6" s="3" customFormat="1" x14ac:dyDescent="0.2"/>
    <row r="1746" spans="5:6" s="3" customFormat="1" x14ac:dyDescent="0.2"/>
    <row r="1747" spans="5:6" s="3" customFormat="1" x14ac:dyDescent="0.2"/>
    <row r="1748" spans="5:6" s="3" customFormat="1" x14ac:dyDescent="0.2"/>
    <row r="1749" spans="5:6" s="3" customFormat="1" x14ac:dyDescent="0.2"/>
    <row r="1750" spans="5:6" s="3" customFormat="1" x14ac:dyDescent="0.2"/>
    <row r="1751" spans="5:6" s="3" customFormat="1" x14ac:dyDescent="0.2"/>
    <row r="1752" spans="5:6" s="3" customFormat="1" x14ac:dyDescent="0.2"/>
    <row r="1753" spans="5:6" s="3" customFormat="1" x14ac:dyDescent="0.2"/>
    <row r="1754" spans="5:6" s="3" customFormat="1" x14ac:dyDescent="0.2"/>
    <row r="1755" spans="5:6" x14ac:dyDescent="0.2">
      <c r="E1755" s="3"/>
      <c r="F1755" s="3"/>
    </row>
    <row r="1756" spans="5:6" x14ac:dyDescent="0.2">
      <c r="E1756" s="3"/>
      <c r="F1756" s="3"/>
    </row>
    <row r="1757" spans="5:6" x14ac:dyDescent="0.2">
      <c r="E1757" s="3"/>
      <c r="F1757" s="3"/>
    </row>
    <row r="1758" spans="5:6" x14ac:dyDescent="0.2">
      <c r="E1758" s="3"/>
      <c r="F1758" s="3"/>
    </row>
    <row r="1759" spans="5:6" x14ac:dyDescent="0.2">
      <c r="E1759" s="3"/>
      <c r="F1759" s="3"/>
    </row>
    <row r="1760" spans="5:6" x14ac:dyDescent="0.2">
      <c r="E1760" s="3"/>
      <c r="F1760" s="3"/>
    </row>
    <row r="1761" spans="5:5" x14ac:dyDescent="0.2">
      <c r="E1761" s="3"/>
    </row>
    <row r="1762" spans="5:5" x14ac:dyDescent="0.2">
      <c r="E1762" s="3"/>
    </row>
    <row r="1763" spans="5:5" x14ac:dyDescent="0.2">
      <c r="E1763" s="3"/>
    </row>
    <row r="1764" spans="5:5" x14ac:dyDescent="0.2">
      <c r="E1764" s="3"/>
    </row>
    <row r="1765" spans="5:5" x14ac:dyDescent="0.2">
      <c r="E1765" s="3"/>
    </row>
    <row r="1766" spans="5:5" x14ac:dyDescent="0.2">
      <c r="E1766" s="3"/>
    </row>
    <row r="1767" spans="5:5" x14ac:dyDescent="0.2">
      <c r="E1767" s="3"/>
    </row>
    <row r="1768" spans="5:5" x14ac:dyDescent="0.2">
      <c r="E1768" s="3"/>
    </row>
    <row r="1769" spans="5:5" x14ac:dyDescent="0.2">
      <c r="E1769" s="3"/>
    </row>
    <row r="1770" spans="5:5" x14ac:dyDescent="0.2">
      <c r="E1770" s="3"/>
    </row>
    <row r="1771" spans="5:5" x14ac:dyDescent="0.2">
      <c r="E1771" s="3"/>
    </row>
    <row r="1772" spans="5:5" x14ac:dyDescent="0.2">
      <c r="E1772" s="3"/>
    </row>
  </sheetData>
  <sheetProtection algorithmName="SHA-512" hashValue="EJmeUVXzAAHXrRmCJq650Bd+7gK06sRboDwyTtVhzXB8hoBJV95K7QgwkJxDU8A3DCid8C5ULyLtV45AiYH9QQ==" saltValue="8Q36F8QXXQ9UoP6H7l0zow==" spinCount="100000" sheet="1" formatCells="0" selectLockedCells="1"/>
  <mergeCells count="37">
    <mergeCell ref="A59:B59"/>
    <mergeCell ref="A15:C16"/>
    <mergeCell ref="A60:B60"/>
    <mergeCell ref="B76:B78"/>
    <mergeCell ref="A75:C75"/>
    <mergeCell ref="A68:C68"/>
    <mergeCell ref="A74:B74"/>
    <mergeCell ref="A73:B73"/>
    <mergeCell ref="A72:B72"/>
    <mergeCell ref="A63:B63"/>
    <mergeCell ref="A71:B71"/>
    <mergeCell ref="A61:B61"/>
    <mergeCell ref="A62:B62"/>
    <mergeCell ref="A58:B58"/>
    <mergeCell ref="A55:B55"/>
    <mergeCell ref="A56:B56"/>
    <mergeCell ref="A57:C57"/>
    <mergeCell ref="A12:B12"/>
    <mergeCell ref="A47:C47"/>
    <mergeCell ref="E20:G20"/>
    <mergeCell ref="E21:G26"/>
    <mergeCell ref="E27:G27"/>
    <mergeCell ref="E28:G32"/>
    <mergeCell ref="A17:B17"/>
    <mergeCell ref="E14:G19"/>
    <mergeCell ref="A11:C11"/>
    <mergeCell ref="E1:G4"/>
    <mergeCell ref="E5:G5"/>
    <mergeCell ref="E6:G12"/>
    <mergeCell ref="E13:G13"/>
    <mergeCell ref="A1:B1"/>
    <mergeCell ref="A5:B5"/>
    <mergeCell ref="A6:B6"/>
    <mergeCell ref="A7:B7"/>
    <mergeCell ref="A2:C2"/>
    <mergeCell ref="A4:B4"/>
    <mergeCell ref="A3:B3"/>
  </mergeCells>
  <phoneticPr fontId="6" type="noConversion"/>
  <conditionalFormatting sqref="C24:C34 C56 C36:C46">
    <cfRule type="cellIs" dxfId="3" priority="24" stopIfTrue="1" operator="greaterThan">
      <formula>$C$4</formula>
    </cfRule>
  </conditionalFormatting>
  <conditionalFormatting sqref="D49:D54">
    <cfRule type="cellIs" dxfId="2" priority="4" stopIfTrue="1" operator="greaterThan">
      <formula>$C$4</formula>
    </cfRule>
  </conditionalFormatting>
  <conditionalFormatting sqref="D56">
    <cfRule type="cellIs" dxfId="1" priority="2" stopIfTrue="1" operator="greaterThan">
      <formula>$C$4</formula>
    </cfRule>
  </conditionalFormatting>
  <conditionalFormatting sqref="C49:C54">
    <cfRule type="cellIs" dxfId="0" priority="1" stopIfTrue="1" operator="greaterThan">
      <formula>$C$4</formula>
    </cfRule>
  </conditionalFormatting>
  <dataValidations count="9">
    <dataValidation type="custom" allowBlank="1" showInputMessage="1" showErrorMessage="1" errorTitle="Value Error" error="The number of students enrolled in this program cannot be greater than Total Number of Students Enrolled." sqref="C5:C10" xr:uid="{7A6BDB4C-03F4-466E-A174-EAB7E2FB0B1C}">
      <formula1>AND(C5&lt;=C$4)</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36:C46 C6:C10 C27:C34 C49:D54 C12:C14" xr:uid="{B301A27E-5FDF-4791-8841-3A673B658266}">
      <formula1>AND(C6&lt;=C$4,MOD(C6,0.5)=0)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 sqref="C26" xr:uid="{15DAB9E7-7FC4-4875-95F9-EB7BF70BE937}">
      <formula1>AND(C26&lt;=C$4,MOD(C26,0.5)=0)</formula1>
    </dataValidation>
    <dataValidation type="custom" allowBlank="1" showInputMessage="1" showErrorMessage="1" errorTitle="Value Error" error="The number of students enrolled in this program cannot be greater than Total Number of Students Enrolled in cell D7.  Also, the data required is students enrolled, not ADA or FTE's._x000a_" sqref="C24" xr:uid="{E3C13761-0531-4005-B4D5-38AC742E40F2}">
      <formula1>AND(C24&lt;=C$4,MOD(C24,0.5)=0)</formula1>
    </dataValidation>
    <dataValidation type="custom" allowBlank="1" showInputMessage="1" showErrorMessage="1" errorTitle="Value Error" error="The number of students enrolled in this program cannot be greater than Total Number of Students Enrolled in cell D7.  Also, the data required is students enrolled, not ADA or FTE's._x000a__x000a_" sqref="C25" xr:uid="{9E948640-D285-4144-9A30-FEFEA27A60E9}">
      <formula1>AND(C25&lt;=C$4,MOD(C25,0.5)=0)</formula1>
    </dataValidation>
    <dataValidation errorStyle="warning" allowBlank="1" showInputMessage="1" showErrorMessage="1" sqref="C17:C22 C58 C76:C78 C71:C73 C61:C67 B18:B22" xr:uid="{19EE6AA0-A86B-4626-9C57-6BFE11EED80A}"/>
    <dataValidation type="list" allowBlank="1" showInputMessage="1" showErrorMessage="1" sqref="C59" xr:uid="{43C5E3F6-419E-427E-90CE-BE3B45E3D640}">
      <formula1>$V$1:$V$2</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56:D56" xr:uid="{B24046D7-4463-4D06-8E58-37F6AC406FE7}">
      <formula1>AND(C56&lt;=$C$4,MOD(C56,0.5)=0)</formula1>
    </dataValidation>
    <dataValidation allowBlank="1" showInputMessage="1" showErrorMessage="1" errorTitle="Dashes Prohibited" error="Dashes prohibited in data entry" sqref="C1" xr:uid="{2AAFC731-22C9-41FB-85CD-432786DC5C9C}"/>
  </dataValidations>
  <printOptions verticalCentered="1" headings="1" gridLines="1"/>
  <pageMargins left="0.5" right="0.5" top="0.5" bottom="0.25" header="0.25" footer="0.25"/>
  <pageSetup scale="65" fitToHeight="2" orientation="portrait" r:id="rId1"/>
  <headerFooter alignWithMargins="0">
    <oddHeader>&amp;C&amp;"Arial Nova,Regular"&amp;16 2019-2020 Charter School Estimate of State Aid
Estimate Data Entry worksheet</oddHeader>
  </headerFooter>
  <rowBreaks count="1" manualBreakCount="1">
    <brk id="46" max="3" man="1"/>
  </rowBreak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6192-3D41-4DB2-8001-CCB0C5D5A609}">
  <dimension ref="A1:J27"/>
  <sheetViews>
    <sheetView zoomScaleNormal="100" workbookViewId="0">
      <selection activeCell="D14" sqref="D14"/>
    </sheetView>
  </sheetViews>
  <sheetFormatPr defaultRowHeight="12.75" x14ac:dyDescent="0.2"/>
  <cols>
    <col min="1" max="1" width="59.28515625" style="279" bestFit="1" customWidth="1"/>
    <col min="2" max="2" width="18.140625" style="293" bestFit="1" customWidth="1"/>
    <col min="3" max="4" width="25.7109375" style="279" customWidth="1"/>
    <col min="5" max="5" width="2.7109375" style="279" customWidth="1"/>
    <col min="6" max="7" width="25.7109375" style="279" customWidth="1"/>
    <col min="8" max="8" width="2.7109375" style="279" customWidth="1"/>
    <col min="9" max="10" width="25.7109375" style="279" customWidth="1"/>
    <col min="11" max="16384" width="9.140625" style="279"/>
  </cols>
  <sheetData>
    <row r="1" spans="1:10" ht="21.75" customHeight="1" thickBot="1" x14ac:dyDescent="0.25">
      <c r="A1" s="275"/>
      <c r="B1" s="276"/>
      <c r="C1" s="277" t="s">
        <v>860</v>
      </c>
      <c r="D1" s="277" t="s">
        <v>861</v>
      </c>
      <c r="E1" s="278"/>
      <c r="F1" s="277" t="s">
        <v>860</v>
      </c>
      <c r="G1" s="277" t="s">
        <v>861</v>
      </c>
      <c r="H1" s="278"/>
      <c r="I1" s="277" t="s">
        <v>860</v>
      </c>
      <c r="J1" s="277" t="s">
        <v>861</v>
      </c>
    </row>
    <row r="2" spans="1:10" ht="58.5" thickTop="1" thickBot="1" x14ac:dyDescent="0.25">
      <c r="A2" s="275"/>
      <c r="B2" s="280" t="s">
        <v>865</v>
      </c>
      <c r="C2" s="281">
        <v>43633</v>
      </c>
      <c r="D2" s="282" t="s">
        <v>858</v>
      </c>
      <c r="F2" s="281" t="s">
        <v>826</v>
      </c>
      <c r="G2" s="282" t="s">
        <v>826</v>
      </c>
      <c r="I2" s="283" t="s">
        <v>859</v>
      </c>
      <c r="J2" s="284" t="s">
        <v>859</v>
      </c>
    </row>
    <row r="3" spans="1:10" ht="18.95" customHeight="1" thickTop="1" thickBot="1" x14ac:dyDescent="0.3">
      <c r="A3" s="285" t="s">
        <v>848</v>
      </c>
      <c r="B3" s="286">
        <v>48.051000000000002</v>
      </c>
      <c r="C3" s="287">
        <f>'PRIOR LAW STATE AID'!C63</f>
        <v>0</v>
      </c>
      <c r="D3" s="288">
        <f>'HB3 STATE AID'!C72</f>
        <v>0</v>
      </c>
      <c r="F3" s="287">
        <f>'PRIOR LAW STATE AID'!D63</f>
        <v>0</v>
      </c>
      <c r="G3" s="288">
        <f>'HB3 STATE AID'!D72</f>
        <v>0</v>
      </c>
      <c r="I3" s="287">
        <f>'PRIOR LAW STATE AID'!E63</f>
        <v>0</v>
      </c>
      <c r="J3" s="288">
        <f>'HB3 STATE AID'!E72</f>
        <v>0</v>
      </c>
    </row>
    <row r="4" spans="1:10" ht="18.95" customHeight="1" thickTop="1" thickBot="1" x14ac:dyDescent="0.3">
      <c r="A4" s="285" t="s">
        <v>862</v>
      </c>
      <c r="B4" s="286">
        <v>48.100999999999999</v>
      </c>
      <c r="C4" s="289"/>
      <c r="D4" s="288">
        <f>'HB3 STATE AID'!C73</f>
        <v>0</v>
      </c>
      <c r="F4" s="289"/>
      <c r="G4" s="288">
        <f>'HB3 STATE AID'!D73</f>
        <v>0</v>
      </c>
      <c r="I4" s="289"/>
      <c r="J4" s="288">
        <f>'HB3 STATE AID'!E73</f>
        <v>0</v>
      </c>
    </row>
    <row r="5" spans="1:10" ht="18.95" customHeight="1" thickTop="1" thickBot="1" x14ac:dyDescent="0.3">
      <c r="A5" s="285" t="s">
        <v>849</v>
      </c>
      <c r="B5" s="286">
        <v>48.101999999999997</v>
      </c>
      <c r="C5" s="287">
        <f>'PRIOR LAW STATE AID'!C70</f>
        <v>0</v>
      </c>
      <c r="D5" s="288">
        <f>'HB3 STATE AID'!C80</f>
        <v>0</v>
      </c>
      <c r="F5" s="287">
        <f>'PRIOR LAW STATE AID'!D70</f>
        <v>0</v>
      </c>
      <c r="G5" s="288">
        <f>'HB3 STATE AID'!D80</f>
        <v>0</v>
      </c>
      <c r="I5" s="287">
        <f>'PRIOR LAW STATE AID'!E70</f>
        <v>0</v>
      </c>
      <c r="J5" s="288">
        <f>'HB3 STATE AID'!E80</f>
        <v>0</v>
      </c>
    </row>
    <row r="6" spans="1:10" ht="18.95" customHeight="1" thickTop="1" thickBot="1" x14ac:dyDescent="0.3">
      <c r="A6" s="285" t="s">
        <v>864</v>
      </c>
      <c r="B6" s="286">
        <v>48.103000000000002</v>
      </c>
      <c r="C6" s="289"/>
      <c r="D6" s="288">
        <f>'HB3 STATE AID'!C81</f>
        <v>0</v>
      </c>
      <c r="F6" s="289"/>
      <c r="G6" s="288">
        <f>'HB3 STATE AID'!D81</f>
        <v>0</v>
      </c>
      <c r="I6" s="289"/>
      <c r="J6" s="288">
        <f>'HB3 STATE AID'!E81</f>
        <v>0</v>
      </c>
    </row>
    <row r="7" spans="1:10" ht="18.95" customHeight="1" thickTop="1" thickBot="1" x14ac:dyDescent="0.3">
      <c r="A7" s="285" t="s">
        <v>850</v>
      </c>
      <c r="B7" s="286">
        <v>48.103999999999999</v>
      </c>
      <c r="C7" s="287">
        <f>'PRIOR LAW STATE AID'!C79</f>
        <v>0</v>
      </c>
      <c r="D7" s="288">
        <f>'HB3 STATE AID'!C85</f>
        <v>0</v>
      </c>
      <c r="F7" s="287">
        <f>'HB3 STATE AID'!D85</f>
        <v>0</v>
      </c>
      <c r="G7" s="288">
        <f>'HB3 STATE AID'!D85</f>
        <v>0</v>
      </c>
      <c r="I7" s="287">
        <f>'PRIOR LAW STATE AID'!E79</f>
        <v>0</v>
      </c>
      <c r="J7" s="288">
        <f>'HB3 STATE AID'!E85</f>
        <v>0</v>
      </c>
    </row>
    <row r="8" spans="1:10" ht="18.95" customHeight="1" thickTop="1" thickBot="1" x14ac:dyDescent="0.3">
      <c r="A8" s="285" t="s">
        <v>851</v>
      </c>
      <c r="B8" s="286">
        <v>48.104999999999997</v>
      </c>
      <c r="C8" s="287">
        <f>'PRIOR LAW STATE AID'!C80</f>
        <v>0</v>
      </c>
      <c r="D8" s="288">
        <f>'HB3 STATE AID'!C86</f>
        <v>0</v>
      </c>
      <c r="F8" s="287">
        <f>'PRIOR LAW STATE AID'!D80</f>
        <v>0</v>
      </c>
      <c r="G8" s="288">
        <f>'HB3 STATE AID'!D86</f>
        <v>0</v>
      </c>
      <c r="I8" s="287">
        <f>'PRIOR LAW STATE AID'!E80</f>
        <v>0</v>
      </c>
      <c r="J8" s="288">
        <f>'HB3 STATE AID'!E86</f>
        <v>0</v>
      </c>
    </row>
    <row r="9" spans="1:10" ht="18.95" customHeight="1" thickTop="1" thickBot="1" x14ac:dyDescent="0.3">
      <c r="A9" s="285" t="s">
        <v>854</v>
      </c>
      <c r="B9" s="286">
        <v>48.106000000000002</v>
      </c>
      <c r="C9" s="287">
        <f>'PRIOR LAW STATE AID'!C72</f>
        <v>0</v>
      </c>
      <c r="D9" s="288">
        <f>'HB3 STATE AID'!C88</f>
        <v>0</v>
      </c>
      <c r="F9" s="287">
        <f>'PRIOR LAW STATE AID'!D74</f>
        <v>0</v>
      </c>
      <c r="G9" s="288">
        <f>'HB3 STATE AID'!D88</f>
        <v>0</v>
      </c>
      <c r="I9" s="287">
        <f>'PRIOR LAW STATE AID'!D72</f>
        <v>0</v>
      </c>
      <c r="J9" s="288">
        <f>'HB3 STATE AID'!E88</f>
        <v>0</v>
      </c>
    </row>
    <row r="10" spans="1:10" ht="18.95" customHeight="1" thickTop="1" thickBot="1" x14ac:dyDescent="0.3">
      <c r="A10" s="285" t="s">
        <v>846</v>
      </c>
      <c r="B10" s="286">
        <v>48.106000000000002</v>
      </c>
      <c r="C10" s="287">
        <f>'PRIOR LAW STATE AID'!C73</f>
        <v>0</v>
      </c>
      <c r="D10" s="288">
        <f>'HB3 STATE AID'!C89</f>
        <v>0</v>
      </c>
      <c r="F10" s="287">
        <f>'PRIOR LAW STATE AID'!D73</f>
        <v>0</v>
      </c>
      <c r="G10" s="288">
        <f>'HB3 STATE AID'!D89</f>
        <v>0</v>
      </c>
      <c r="I10" s="287">
        <f>'PRIOR LAW STATE AID'!E73</f>
        <v>0</v>
      </c>
      <c r="J10" s="288">
        <f>'HB3 STATE AID'!E89</f>
        <v>0</v>
      </c>
    </row>
    <row r="11" spans="1:10" ht="18.95" customHeight="1" thickTop="1" thickBot="1" x14ac:dyDescent="0.3">
      <c r="A11" s="285" t="s">
        <v>866</v>
      </c>
      <c r="B11" s="286">
        <v>48.107999999999997</v>
      </c>
      <c r="C11" s="289"/>
      <c r="D11" s="288">
        <f>'HB3 STATE AID'!C91</f>
        <v>0</v>
      </c>
      <c r="F11" s="289"/>
      <c r="G11" s="288">
        <f>'HB3 STATE AID'!D91</f>
        <v>0</v>
      </c>
      <c r="I11" s="289"/>
      <c r="J11" s="288">
        <f>'HB3 STATE AID'!E91</f>
        <v>0</v>
      </c>
    </row>
    <row r="12" spans="1:10" ht="18.95" customHeight="1" thickTop="1" thickBot="1" x14ac:dyDescent="0.3">
      <c r="A12" s="285" t="s">
        <v>867</v>
      </c>
      <c r="B12" s="290">
        <v>48.11</v>
      </c>
      <c r="C12" s="289"/>
      <c r="D12" s="288">
        <f>'HB3 STATE AID'!C92</f>
        <v>0</v>
      </c>
      <c r="F12" s="289"/>
      <c r="G12" s="288">
        <f>'HB3 STATE AID'!D92</f>
        <v>0</v>
      </c>
      <c r="I12" s="289"/>
      <c r="J12" s="288">
        <f>'HB3 STATE AID'!E92</f>
        <v>0</v>
      </c>
    </row>
    <row r="13" spans="1:10" ht="18.95" customHeight="1" thickTop="1" thickBot="1" x14ac:dyDescent="0.3">
      <c r="A13" s="285" t="s">
        <v>761</v>
      </c>
      <c r="B13" s="286">
        <v>48.112000000000002</v>
      </c>
      <c r="C13" s="289"/>
      <c r="D13" s="288">
        <f>'HB3 STATE AID'!C93</f>
        <v>0</v>
      </c>
      <c r="F13" s="289"/>
      <c r="G13" s="288">
        <f>'HB3 STATE AID'!D93</f>
        <v>0</v>
      </c>
      <c r="I13" s="289"/>
      <c r="J13" s="288">
        <f>'HB3 STATE AID'!E93</f>
        <v>0</v>
      </c>
    </row>
    <row r="14" spans="1:10" ht="18.95" customHeight="1" thickTop="1" thickBot="1" x14ac:dyDescent="0.3">
      <c r="A14" s="291" t="s">
        <v>760</v>
      </c>
      <c r="B14" s="286">
        <v>48.113999999999997</v>
      </c>
      <c r="C14" s="289"/>
      <c r="D14" s="288">
        <f>'HB3 STATE AID'!C94</f>
        <v>0</v>
      </c>
      <c r="F14" s="289"/>
      <c r="G14" s="288">
        <f>'HB3 STATE AID'!D93</f>
        <v>0</v>
      </c>
      <c r="I14" s="289"/>
      <c r="J14" s="288">
        <f>'HB3 STATE AID'!E94</f>
        <v>0</v>
      </c>
    </row>
    <row r="15" spans="1:10" ht="18.95" customHeight="1" thickTop="1" thickBot="1" x14ac:dyDescent="0.3">
      <c r="A15" s="292" t="s">
        <v>847</v>
      </c>
      <c r="B15" s="286">
        <v>48.151000000000003</v>
      </c>
      <c r="C15" s="287">
        <f>'PRIOR LAW STATE AID'!C86</f>
        <v>0</v>
      </c>
      <c r="D15" s="288">
        <f>'HB3 STATE AID'!C101</f>
        <v>0</v>
      </c>
      <c r="F15" s="287">
        <f>'PRIOR LAW STATE AID'!D86</f>
        <v>0</v>
      </c>
      <c r="G15" s="288">
        <f>'HB3 STATE AID'!D101</f>
        <v>0</v>
      </c>
      <c r="I15" s="287">
        <f>'PRIOR LAW STATE AID'!E86</f>
        <v>0</v>
      </c>
      <c r="J15" s="288">
        <f>'HB3 STATE AID'!E101</f>
        <v>0</v>
      </c>
    </row>
    <row r="16" spans="1:10" ht="18.95" customHeight="1" thickTop="1" thickBot="1" x14ac:dyDescent="0.3">
      <c r="A16" s="291" t="s">
        <v>870</v>
      </c>
      <c r="B16" s="286">
        <v>48.152000000000001</v>
      </c>
      <c r="C16" s="287">
        <f>'PRIOR LAW STATE AID'!C81</f>
        <v>0</v>
      </c>
      <c r="D16" s="288">
        <f>'HB3 STATE AID'!C102</f>
        <v>0</v>
      </c>
      <c r="F16" s="287">
        <f>'PRIOR LAW STATE AID'!D81</f>
        <v>0</v>
      </c>
      <c r="G16" s="288">
        <f>'HB3 STATE AID'!D102</f>
        <v>0</v>
      </c>
      <c r="I16" s="287">
        <f>'PRIOR LAW STATE AID'!E81</f>
        <v>0</v>
      </c>
      <c r="J16" s="288">
        <f>'HB3 STATE AID'!E102</f>
        <v>0</v>
      </c>
    </row>
    <row r="17" spans="1:10" ht="18.95" customHeight="1" thickTop="1" thickBot="1" x14ac:dyDescent="0.3">
      <c r="A17" s="285" t="s">
        <v>868</v>
      </c>
      <c r="B17" s="286">
        <v>48.152999999999999</v>
      </c>
      <c r="C17" s="289"/>
      <c r="D17" s="288">
        <f>'HB3 STATE AID'!C103</f>
        <v>0</v>
      </c>
      <c r="F17" s="289"/>
      <c r="G17" s="288">
        <f>'HB3 STATE AID'!D103</f>
        <v>0</v>
      </c>
      <c r="I17" s="289"/>
      <c r="J17" s="288">
        <f>'HB3 STATE AID'!E103</f>
        <v>0</v>
      </c>
    </row>
    <row r="18" spans="1:10" ht="18.95" customHeight="1" thickTop="1" thickBot="1" x14ac:dyDescent="0.3">
      <c r="A18" s="285" t="s">
        <v>762</v>
      </c>
      <c r="B18" s="286">
        <v>48.155000000000001</v>
      </c>
      <c r="C18" s="289"/>
      <c r="D18" s="288">
        <f>'HB3 STATE AID'!C104</f>
        <v>0</v>
      </c>
      <c r="F18" s="289"/>
      <c r="G18" s="288">
        <f>'HB3 STATE AID'!D104</f>
        <v>0</v>
      </c>
      <c r="I18" s="289"/>
      <c r="J18" s="288">
        <f>'HB3 STATE AID'!E104</f>
        <v>0</v>
      </c>
    </row>
    <row r="19" spans="1:10" ht="18.95" customHeight="1" thickTop="1" thickBot="1" x14ac:dyDescent="0.3">
      <c r="A19" s="285" t="s">
        <v>763</v>
      </c>
      <c r="B19" s="286">
        <v>48.155999999999999</v>
      </c>
      <c r="C19" s="289"/>
      <c r="D19" s="288">
        <f>'HB3 STATE AID'!C105</f>
        <v>0</v>
      </c>
      <c r="F19" s="289"/>
      <c r="G19" s="288">
        <f>'HB3 STATE AID'!D105</f>
        <v>0</v>
      </c>
      <c r="I19" s="289"/>
      <c r="J19" s="288">
        <f>'HB3 STATE AID'!E105</f>
        <v>0</v>
      </c>
    </row>
    <row r="20" spans="1:10" ht="18.95" customHeight="1" thickTop="1" thickBot="1" x14ac:dyDescent="0.3">
      <c r="A20" s="285" t="s">
        <v>855</v>
      </c>
      <c r="B20" s="286">
        <v>42.155999999999999</v>
      </c>
      <c r="C20" s="287">
        <f>'PRIOR LAW STATE AID'!C75</f>
        <v>0</v>
      </c>
      <c r="D20" s="289"/>
      <c r="F20" s="287">
        <f>'PRIOR LAW STATE AID'!D75</f>
        <v>0</v>
      </c>
      <c r="G20" s="289"/>
      <c r="I20" s="287">
        <f>'PRIOR LAW STATE AID'!E75</f>
        <v>0</v>
      </c>
      <c r="J20" s="289"/>
    </row>
    <row r="21" spans="1:10" ht="18.95" customHeight="1" thickTop="1" thickBot="1" x14ac:dyDescent="0.3">
      <c r="A21" s="285" t="s">
        <v>856</v>
      </c>
      <c r="B21" s="290">
        <v>42.16</v>
      </c>
      <c r="C21" s="287">
        <f>'PRIOR LAW STATE AID'!C87</f>
        <v>0</v>
      </c>
      <c r="D21" s="289"/>
      <c r="F21" s="287">
        <f>'PRIOR LAW STATE AID'!D87</f>
        <v>0</v>
      </c>
      <c r="G21" s="289"/>
      <c r="I21" s="287">
        <f>'PRIOR LAW STATE AID'!E87</f>
        <v>0</v>
      </c>
      <c r="J21" s="289"/>
    </row>
    <row r="22" spans="1:10" ht="18.95" customHeight="1" thickTop="1" thickBot="1" x14ac:dyDescent="0.3">
      <c r="A22" s="285" t="s">
        <v>869</v>
      </c>
      <c r="B22" s="286">
        <v>42.167999999999999</v>
      </c>
      <c r="C22" s="289"/>
      <c r="D22" s="288">
        <f>'HB3 STATE AID'!C95</f>
        <v>0</v>
      </c>
      <c r="F22" s="289"/>
      <c r="G22" s="288">
        <f>'HB3 STATE AID'!D95</f>
        <v>0</v>
      </c>
      <c r="I22" s="289"/>
      <c r="J22" s="288">
        <f>'HB3 STATE AID'!E95</f>
        <v>0</v>
      </c>
    </row>
    <row r="23" spans="1:10" ht="18.95" customHeight="1" thickTop="1" thickBot="1" x14ac:dyDescent="0.3">
      <c r="A23" s="285" t="s">
        <v>857</v>
      </c>
      <c r="B23" s="286">
        <v>42.251300000000001</v>
      </c>
      <c r="C23" s="287">
        <f>'PRIOR LAW STATE AID'!C95</f>
        <v>0</v>
      </c>
      <c r="D23" s="289"/>
      <c r="F23" s="287">
        <f>'PRIOR LAW STATE AID'!D95</f>
        <v>0</v>
      </c>
      <c r="G23" s="289"/>
      <c r="I23" s="287">
        <f>'PRIOR LAW STATE AID'!E95</f>
        <v>0</v>
      </c>
      <c r="J23" s="289"/>
    </row>
    <row r="24" spans="1:10" ht="18.95" customHeight="1" thickTop="1" thickBot="1" x14ac:dyDescent="0.3">
      <c r="A24" s="285" t="s">
        <v>852</v>
      </c>
      <c r="B24" s="286"/>
      <c r="C24" s="287">
        <f>'PRIOR LAW STATE AID'!C90</f>
        <v>0</v>
      </c>
      <c r="D24" s="288">
        <f>'HB3 STATE AID'!C108</f>
        <v>0</v>
      </c>
      <c r="F24" s="287">
        <f>'PRIOR LAW STATE AID'!D90</f>
        <v>0</v>
      </c>
      <c r="G24" s="288">
        <f>'HB3 STATE AID'!D108</f>
        <v>0</v>
      </c>
      <c r="I24" s="287">
        <f>'PRIOR LAW STATE AID'!E90</f>
        <v>0</v>
      </c>
      <c r="J24" s="288">
        <f>'HB3 STATE AID'!E108</f>
        <v>0</v>
      </c>
    </row>
    <row r="25" spans="1:10" ht="18.95" customHeight="1" thickTop="1" thickBot="1" x14ac:dyDescent="0.3">
      <c r="A25" s="285" t="s">
        <v>853</v>
      </c>
      <c r="B25" s="286"/>
      <c r="C25" s="287">
        <f>'PRIOR LAW STATE AID'!C91</f>
        <v>0</v>
      </c>
      <c r="D25" s="288">
        <f>'HB3 STATE AID'!C109</f>
        <v>0</v>
      </c>
      <c r="F25" s="287">
        <f>'PRIOR LAW STATE AID'!D91</f>
        <v>0</v>
      </c>
      <c r="G25" s="288">
        <f>'HB3 STATE AID'!D109</f>
        <v>0</v>
      </c>
      <c r="I25" s="287">
        <f>'PRIOR LAW STATE AID'!E91</f>
        <v>0</v>
      </c>
      <c r="J25" s="288">
        <f>'HB3 STATE AID'!E109</f>
        <v>0</v>
      </c>
    </row>
    <row r="26" spans="1:10" ht="18.95" customHeight="1" thickTop="1" thickBot="1" x14ac:dyDescent="0.3">
      <c r="A26" s="285" t="s">
        <v>863</v>
      </c>
      <c r="B26" s="286"/>
      <c r="C26" s="287">
        <f>'PRIOR LAW STATE AID'!C94</f>
        <v>0</v>
      </c>
      <c r="D26" s="288">
        <f>'HB3 STATE AID'!C113</f>
        <v>0</v>
      </c>
      <c r="F26" s="287">
        <f>'PRIOR LAW STATE AID'!D94</f>
        <v>0</v>
      </c>
      <c r="G26" s="288">
        <f>'HB3 STATE AID'!D113</f>
        <v>0</v>
      </c>
      <c r="I26" s="287">
        <f>'PRIOR LAW STATE AID'!E94</f>
        <v>0</v>
      </c>
      <c r="J26" s="288">
        <f>'HB3 STATE AID'!E113</f>
        <v>0</v>
      </c>
    </row>
    <row r="27" spans="1:10" ht="13.5" thickTop="1" x14ac:dyDescent="0.2"/>
  </sheetData>
  <sheetProtection algorithmName="SHA-512" hashValue="Z5D3zzO+SPL2pb6n0CsydK9DMcU3BBL5iAam9DGkX8/b/RLmPEhZomUZNJzJLbOPpCn69SpWYOLvsYGrMxpUkQ==" saltValue="uMEf0w9uPCq+PaE+GZYfP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D202"/>
  <sheetViews>
    <sheetView topLeftCell="FG1" workbookViewId="0">
      <selection activeCell="FG1" sqref="A1:XFD1048576"/>
    </sheetView>
  </sheetViews>
  <sheetFormatPr defaultColWidth="8.85546875" defaultRowHeight="12.75" x14ac:dyDescent="0.2"/>
  <cols>
    <col min="1" max="1" width="12.42578125" style="438" bestFit="1" customWidth="1"/>
    <col min="2" max="2" width="11.7109375" style="438" customWidth="1"/>
    <col min="3" max="3" width="16" style="438" customWidth="1"/>
    <col min="4" max="4" width="14" style="438" customWidth="1"/>
    <col min="5" max="5" width="5" style="438" customWidth="1"/>
    <col min="6" max="6" width="22.140625" style="438" customWidth="1"/>
    <col min="7" max="7" width="23.140625" style="438" customWidth="1"/>
    <col min="8" max="8" width="15.28515625" style="438" customWidth="1"/>
    <col min="9" max="9" width="23.7109375" style="438" customWidth="1"/>
    <col min="10" max="10" width="18.42578125" style="438" customWidth="1"/>
    <col min="11" max="11" width="22.85546875" style="438" customWidth="1"/>
    <col min="12" max="12" width="11.140625" style="437" customWidth="1"/>
    <col min="13" max="13" width="29.28515625" style="438" customWidth="1"/>
    <col min="14" max="14" width="17.28515625" style="438" customWidth="1"/>
    <col min="15" max="15" width="23.42578125" style="438" customWidth="1"/>
    <col min="16" max="16" width="11" style="438" customWidth="1"/>
    <col min="17" max="17" width="23.7109375" style="438" customWidth="1"/>
    <col min="18" max="18" width="11.42578125" style="438" customWidth="1"/>
    <col min="19" max="19" width="10.42578125" style="437" customWidth="1"/>
    <col min="20" max="20" width="10.42578125" style="438" customWidth="1"/>
    <col min="21" max="21" width="20.85546875" style="438" customWidth="1"/>
    <col min="22" max="22" width="10" style="438" customWidth="1"/>
    <col min="23" max="23" width="10.42578125" style="438" customWidth="1"/>
    <col min="24" max="24" width="18.42578125" style="438" customWidth="1"/>
    <col min="25" max="25" width="17.42578125" style="438" customWidth="1"/>
    <col min="26" max="26" width="24.85546875" style="438" customWidth="1"/>
    <col min="27" max="27" width="5" style="438" customWidth="1"/>
    <col min="28" max="28" width="8.42578125" style="438" customWidth="1"/>
    <col min="29" max="29" width="18.7109375" style="438" customWidth="1"/>
    <col min="30" max="30" width="11.42578125" style="438" customWidth="1"/>
    <col min="31" max="31" width="21" style="438" customWidth="1"/>
    <col min="32" max="33" width="9" style="438" customWidth="1"/>
    <col min="34" max="34" width="24.42578125" style="438" customWidth="1"/>
    <col min="35" max="35" width="12.42578125" style="438" customWidth="1"/>
    <col min="36" max="36" width="12.42578125" style="437" customWidth="1"/>
    <col min="37" max="37" width="19.85546875" style="438" customWidth="1"/>
    <col min="38" max="38" width="60.42578125" style="438" bestFit="1" customWidth="1"/>
    <col min="39" max="39" width="8.140625" style="438" bestFit="1" customWidth="1"/>
    <col min="40" max="40" width="20.42578125" style="438" bestFit="1" customWidth="1"/>
    <col min="41" max="41" width="26.140625" style="438" bestFit="1" customWidth="1"/>
    <col min="42" max="43" width="19.42578125" style="438" bestFit="1" customWidth="1"/>
    <col min="44" max="45" width="12" style="438" bestFit="1" customWidth="1"/>
    <col min="46" max="46" width="14.7109375" style="438" bestFit="1" customWidth="1"/>
    <col min="47" max="47" width="10.85546875" style="438" bestFit="1" customWidth="1"/>
    <col min="48" max="48" width="23.42578125" style="438" bestFit="1" customWidth="1"/>
    <col min="49" max="50" width="15.85546875" style="438" bestFit="1" customWidth="1"/>
    <col min="51" max="51" width="20.7109375" style="438" bestFit="1" customWidth="1"/>
    <col min="52" max="52" width="19.42578125" style="438" bestFit="1" customWidth="1"/>
    <col min="53" max="53" width="14.7109375" style="438" bestFit="1" customWidth="1"/>
    <col min="54" max="54" width="10.140625" style="438" bestFit="1" customWidth="1"/>
    <col min="55" max="55" width="18.28515625" style="438" bestFit="1" customWidth="1"/>
    <col min="56" max="56" width="11.7109375" style="438" bestFit="1" customWidth="1"/>
    <col min="57" max="57" width="17" style="438" bestFit="1" customWidth="1"/>
    <col min="58" max="58" width="11" style="438" bestFit="1" customWidth="1"/>
    <col min="59" max="59" width="8" style="438" bestFit="1" customWidth="1"/>
    <col min="60" max="60" width="19.28515625" style="438" bestFit="1" customWidth="1"/>
    <col min="61" max="61" width="21.140625" style="438" bestFit="1" customWidth="1"/>
    <col min="62" max="62" width="16.7109375" style="438" bestFit="1" customWidth="1"/>
    <col min="63" max="63" width="24.42578125" style="438" bestFit="1" customWidth="1"/>
    <col min="64" max="64" width="17.42578125" style="438" bestFit="1" customWidth="1"/>
    <col min="65" max="65" width="17.28515625" style="438" bestFit="1" customWidth="1"/>
    <col min="66" max="66" width="24.42578125" style="438" bestFit="1" customWidth="1"/>
    <col min="67" max="67" width="26" style="438" bestFit="1" customWidth="1"/>
    <col min="68" max="68" width="25.85546875" style="438" bestFit="1" customWidth="1"/>
    <col min="69" max="69" width="5.140625" style="437" bestFit="1" customWidth="1"/>
    <col min="70" max="70" width="8.85546875" style="438"/>
    <col min="71" max="71" width="20.42578125" style="438" bestFit="1" customWidth="1"/>
    <col min="72" max="74" width="14.140625" style="438" bestFit="1" customWidth="1"/>
    <col min="75" max="75" width="20.85546875" style="438" bestFit="1" customWidth="1"/>
    <col min="76" max="76" width="18" style="438" bestFit="1" customWidth="1"/>
    <col min="77" max="77" width="14.28515625" style="438" bestFit="1" customWidth="1"/>
    <col min="78" max="78" width="5.85546875" style="438" bestFit="1" customWidth="1"/>
    <col min="79" max="79" width="10" style="438" bestFit="1" customWidth="1"/>
    <col min="80" max="80" width="11.85546875" style="438" bestFit="1" customWidth="1"/>
    <col min="81" max="81" width="19" style="438" bestFit="1" customWidth="1"/>
    <col min="82" max="84" width="21.7109375" style="438" bestFit="1" customWidth="1"/>
    <col min="85" max="85" width="20.7109375" style="438" bestFit="1" customWidth="1"/>
    <col min="86" max="86" width="28.42578125" style="438" bestFit="1" customWidth="1"/>
    <col min="87" max="87" width="9.7109375" style="438" bestFit="1" customWidth="1"/>
    <col min="88" max="88" width="21" style="438" bestFit="1" customWidth="1"/>
    <col min="89" max="89" width="9.85546875" style="438" bestFit="1" customWidth="1"/>
    <col min="90" max="90" width="11.7109375" style="438" bestFit="1" customWidth="1"/>
    <col min="91" max="91" width="6.7109375" style="438" bestFit="1" customWidth="1"/>
    <col min="92" max="92" width="16.85546875" style="438" bestFit="1" customWidth="1"/>
    <col min="93" max="93" width="19.42578125" style="438" bestFit="1" customWidth="1"/>
    <col min="94" max="94" width="9.28515625" style="438" bestFit="1" customWidth="1"/>
    <col min="95" max="95" width="14.85546875" style="438" bestFit="1" customWidth="1"/>
    <col min="96" max="96" width="23.28515625" style="438" bestFit="1" customWidth="1"/>
    <col min="97" max="97" width="16.42578125" style="438" bestFit="1" customWidth="1"/>
    <col min="98" max="98" width="13.140625" style="438" bestFit="1" customWidth="1"/>
    <col min="99" max="99" width="21.7109375" style="438" bestFit="1" customWidth="1"/>
    <col min="100" max="100" width="22.140625" style="438" bestFit="1" customWidth="1"/>
    <col min="101" max="101" width="19.42578125" style="438" bestFit="1" customWidth="1"/>
    <col min="102" max="102" width="22.85546875" style="438" bestFit="1" customWidth="1"/>
    <col min="103" max="103" width="18.42578125" style="438" bestFit="1" customWidth="1"/>
    <col min="104" max="104" width="12.28515625" style="438" bestFit="1" customWidth="1"/>
    <col min="105" max="105" width="23.42578125" style="438" bestFit="1" customWidth="1"/>
    <col min="106" max="106" width="17.28515625" style="438" bestFit="1" customWidth="1"/>
    <col min="107" max="107" width="13.42578125" style="438" bestFit="1" customWidth="1"/>
    <col min="108" max="108" width="20" style="438" bestFit="1" customWidth="1"/>
    <col min="109" max="109" width="11.42578125" style="438" bestFit="1" customWidth="1"/>
    <col min="110" max="110" width="19.7109375" style="438" bestFit="1" customWidth="1"/>
    <col min="111" max="111" width="13.28515625" style="438" bestFit="1" customWidth="1"/>
    <col min="112" max="112" width="21.140625" style="438" bestFit="1" customWidth="1"/>
    <col min="113" max="113" width="16.42578125" style="438" bestFit="1" customWidth="1"/>
    <col min="114" max="114" width="18.42578125" style="438" bestFit="1" customWidth="1"/>
    <col min="115" max="115" width="5" style="437" bestFit="1" customWidth="1"/>
    <col min="116" max="116" width="22.42578125" style="438" bestFit="1" customWidth="1"/>
    <col min="117" max="117" width="23.7109375" style="438" bestFit="1" customWidth="1"/>
    <col min="118" max="118" width="26.7109375" style="438" bestFit="1" customWidth="1"/>
    <col min="119" max="119" width="20.42578125" style="438" bestFit="1" customWidth="1"/>
    <col min="120" max="120" width="31.85546875" style="438" bestFit="1" customWidth="1"/>
    <col min="121" max="121" width="28.42578125" style="438" bestFit="1" customWidth="1"/>
    <col min="122" max="122" width="29.85546875" style="438" bestFit="1" customWidth="1"/>
    <col min="123" max="123" width="26.7109375" style="438" bestFit="1" customWidth="1"/>
    <col min="124" max="124" width="30.140625" style="438" bestFit="1" customWidth="1"/>
    <col min="125" max="125" width="34.140625" style="438" bestFit="1" customWidth="1"/>
    <col min="126" max="126" width="33.42578125" style="438" bestFit="1" customWidth="1"/>
    <col min="127" max="127" width="27.28515625" style="438" bestFit="1" customWidth="1"/>
    <col min="128" max="128" width="30.7109375" style="438" bestFit="1" customWidth="1"/>
    <col min="129" max="129" width="23.28515625" style="438" bestFit="1" customWidth="1"/>
    <col min="130" max="130" width="29.42578125" style="438" bestFit="1" customWidth="1"/>
    <col min="131" max="131" width="26.85546875" style="438" bestFit="1" customWidth="1"/>
    <col min="132" max="132" width="23.42578125" style="438" bestFit="1" customWidth="1"/>
    <col min="133" max="133" width="27.42578125" style="438" bestFit="1" customWidth="1"/>
    <col min="134" max="134" width="29.28515625" style="438" bestFit="1" customWidth="1"/>
    <col min="135" max="135" width="24.7109375" style="438" bestFit="1" customWidth="1"/>
    <col min="136" max="136" width="22.42578125" style="438" bestFit="1" customWidth="1"/>
    <col min="137" max="137" width="24.7109375" style="438" bestFit="1" customWidth="1"/>
    <col min="138" max="138" width="20.7109375" style="438" bestFit="1" customWidth="1"/>
    <col min="139" max="139" width="24" style="438" bestFit="1" customWidth="1"/>
    <col min="140" max="140" width="21.7109375" style="438" bestFit="1" customWidth="1"/>
    <col min="141" max="141" width="25" style="438" bestFit="1" customWidth="1"/>
    <col min="142" max="142" width="29" style="438" bestFit="1" customWidth="1"/>
    <col min="143" max="143" width="29" style="438" customWidth="1"/>
    <col min="144" max="144" width="22.28515625" style="438" bestFit="1" customWidth="1"/>
    <col min="145" max="145" width="28" style="438" bestFit="1" customWidth="1"/>
    <col min="146" max="146" width="25.7109375" style="438" bestFit="1" customWidth="1"/>
    <col min="147" max="147" width="23.140625" style="438" bestFit="1" customWidth="1"/>
    <col min="148" max="148" width="18.28515625" style="438" bestFit="1" customWidth="1"/>
    <col min="149" max="149" width="29" style="438" bestFit="1" customWidth="1"/>
    <col min="150" max="150" width="13.7109375" style="438" bestFit="1" customWidth="1"/>
    <col min="151" max="151" width="12.140625" style="438" bestFit="1" customWidth="1"/>
    <col min="152" max="152" width="20" style="438" bestFit="1" customWidth="1"/>
    <col min="153" max="153" width="17.28515625" style="438" bestFit="1" customWidth="1"/>
    <col min="154" max="154" width="12.42578125" style="438" bestFit="1" customWidth="1"/>
    <col min="155" max="155" width="19.42578125" style="438" bestFit="1" customWidth="1"/>
    <col min="156" max="156" width="16.42578125" style="438" bestFit="1" customWidth="1"/>
    <col min="157" max="157" width="21.140625" style="438" bestFit="1" customWidth="1"/>
    <col min="158" max="158" width="20.42578125" style="438" bestFit="1" customWidth="1"/>
    <col min="159" max="159" width="16.28515625" style="438" bestFit="1" customWidth="1"/>
    <col min="160" max="162" width="15.28515625" style="438" bestFit="1" customWidth="1"/>
    <col min="163" max="164" width="15.85546875" style="437" bestFit="1" customWidth="1"/>
    <col min="165" max="166" width="23.42578125" style="438" bestFit="1" customWidth="1"/>
    <col min="167" max="167" width="13.7109375" style="438" bestFit="1" customWidth="1"/>
    <col min="168" max="168" width="15.42578125" style="438" bestFit="1" customWidth="1"/>
    <col min="169" max="169" width="21.42578125" style="438" bestFit="1" customWidth="1"/>
    <col min="170" max="170" width="23.140625" style="438" bestFit="1" customWidth="1"/>
    <col min="171" max="171" width="19.140625" style="438" bestFit="1" customWidth="1"/>
    <col min="172" max="172" width="23" style="438" bestFit="1" customWidth="1"/>
    <col min="173" max="173" width="18.42578125" style="438" bestFit="1" customWidth="1"/>
    <col min="174" max="174" width="28.7109375" style="438" bestFit="1" customWidth="1"/>
    <col min="175" max="175" width="21.85546875" style="438" bestFit="1" customWidth="1"/>
    <col min="176" max="176" width="19.7109375" style="438" bestFit="1" customWidth="1"/>
    <col min="177" max="177" width="11.140625" style="438" bestFit="1" customWidth="1"/>
    <col min="178" max="178" width="24.42578125" style="438" bestFit="1" customWidth="1"/>
    <col min="179" max="179" width="9.42578125" style="438" bestFit="1" customWidth="1"/>
    <col min="180" max="180" width="22.7109375" style="438" bestFit="1" customWidth="1"/>
    <col min="181" max="181" width="13.28515625" style="438" bestFit="1" customWidth="1"/>
    <col min="182" max="182" width="19.42578125" style="438" bestFit="1" customWidth="1"/>
    <col min="183" max="183" width="17" style="438" bestFit="1" customWidth="1"/>
    <col min="184" max="184" width="14.42578125" style="438" bestFit="1" customWidth="1"/>
    <col min="185" max="185" width="22.42578125" style="438" bestFit="1" customWidth="1"/>
    <col min="186" max="186" width="12" style="438" bestFit="1" customWidth="1"/>
    <col min="187" max="187" width="21.42578125" style="438" bestFit="1" customWidth="1"/>
    <col min="188" max="188" width="9.7109375" style="438" bestFit="1" customWidth="1"/>
    <col min="189" max="189" width="13.28515625" style="438" bestFit="1" customWidth="1"/>
    <col min="190" max="190" width="18.42578125" style="438" bestFit="1" customWidth="1"/>
    <col min="191" max="191" width="19.140625" style="438" bestFit="1" customWidth="1"/>
    <col min="192" max="192" width="21.85546875" style="438" bestFit="1" customWidth="1"/>
    <col min="193" max="193" width="25.85546875" style="438" bestFit="1" customWidth="1"/>
    <col min="194" max="194" width="18.42578125" style="438" bestFit="1" customWidth="1"/>
    <col min="195" max="195" width="16.28515625" style="438" bestFit="1" customWidth="1"/>
    <col min="196" max="196" width="18.42578125" style="438" bestFit="1" customWidth="1"/>
    <col min="197" max="197" width="20.7109375" style="438" bestFit="1" customWidth="1"/>
    <col min="198" max="198" width="28.42578125" style="438" bestFit="1" customWidth="1"/>
    <col min="199" max="199" width="18.140625" style="438" bestFit="1" customWidth="1"/>
    <col min="200" max="200" width="14" style="438" bestFit="1" customWidth="1"/>
    <col min="201" max="202" width="19" style="438" bestFit="1" customWidth="1"/>
    <col min="203" max="203" width="18.42578125" style="438" bestFit="1" customWidth="1"/>
    <col min="204" max="204" width="25.42578125" style="438" bestFit="1" customWidth="1"/>
    <col min="205" max="205" width="22.85546875" style="438" bestFit="1" customWidth="1"/>
    <col min="206" max="206" width="18.85546875" style="438" bestFit="1" customWidth="1"/>
    <col min="207" max="207" width="23.42578125" style="438" bestFit="1" customWidth="1"/>
    <col min="208" max="208" width="22" style="438" bestFit="1" customWidth="1"/>
    <col min="209" max="209" width="23" style="438" bestFit="1" customWidth="1"/>
    <col min="210" max="210" width="27.7109375" style="438" bestFit="1" customWidth="1"/>
    <col min="211" max="211" width="26.140625" style="437" bestFit="1" customWidth="1"/>
    <col min="212" max="212" width="20.28515625" style="438" bestFit="1" customWidth="1"/>
    <col min="213" max="213" width="4" style="438" bestFit="1" customWidth="1"/>
    <col min="214" max="16384" width="8.85546875" style="438"/>
  </cols>
  <sheetData>
    <row r="1" spans="1:212" s="436" customFormat="1" x14ac:dyDescent="0.2">
      <c r="A1" s="436" t="s">
        <v>137</v>
      </c>
      <c r="B1" s="436" t="s">
        <v>138</v>
      </c>
      <c r="C1" s="436" t="s">
        <v>474</v>
      </c>
      <c r="D1" s="436" t="s">
        <v>139</v>
      </c>
      <c r="E1" s="436" t="s">
        <v>140</v>
      </c>
      <c r="F1" s="436" t="s">
        <v>141</v>
      </c>
      <c r="G1" s="436" t="s">
        <v>142</v>
      </c>
      <c r="H1" s="436" t="s">
        <v>143</v>
      </c>
      <c r="I1" s="436" t="s">
        <v>144</v>
      </c>
      <c r="J1" s="436" t="s">
        <v>145</v>
      </c>
      <c r="K1" s="436" t="s">
        <v>146</v>
      </c>
      <c r="L1" s="441" t="s">
        <v>147</v>
      </c>
      <c r="M1" s="436" t="s">
        <v>148</v>
      </c>
      <c r="N1" s="436" t="s">
        <v>149</v>
      </c>
      <c r="O1" s="436" t="s">
        <v>150</v>
      </c>
      <c r="P1" s="436" t="s">
        <v>151</v>
      </c>
      <c r="Q1" s="436" t="s">
        <v>152</v>
      </c>
      <c r="R1" s="436" t="s">
        <v>153</v>
      </c>
      <c r="S1" s="441" t="s">
        <v>154</v>
      </c>
      <c r="T1" s="436" t="s">
        <v>155</v>
      </c>
      <c r="U1" s="436" t="s">
        <v>156</v>
      </c>
      <c r="V1" s="436" t="s">
        <v>157</v>
      </c>
      <c r="W1" s="436" t="s">
        <v>158</v>
      </c>
      <c r="X1" s="436" t="s">
        <v>159</v>
      </c>
      <c r="Y1" s="436" t="s">
        <v>160</v>
      </c>
      <c r="Z1" s="436" t="s">
        <v>161</v>
      </c>
      <c r="AA1" s="436" t="s">
        <v>162</v>
      </c>
      <c r="AB1" s="436" t="s">
        <v>163</v>
      </c>
      <c r="AC1" s="436" t="s">
        <v>164</v>
      </c>
      <c r="AD1" s="436" t="s">
        <v>165</v>
      </c>
      <c r="AE1" s="436" t="s">
        <v>166</v>
      </c>
      <c r="AF1" s="436" t="s">
        <v>167</v>
      </c>
      <c r="AG1" s="436" t="s">
        <v>168</v>
      </c>
      <c r="AH1" s="436" t="s">
        <v>169</v>
      </c>
      <c r="AI1" s="436" t="s">
        <v>170</v>
      </c>
      <c r="AJ1" s="441" t="s">
        <v>171</v>
      </c>
      <c r="AK1" s="436" t="s">
        <v>172</v>
      </c>
      <c r="AL1" s="436" t="s">
        <v>173</v>
      </c>
      <c r="AM1" s="436" t="s">
        <v>174</v>
      </c>
      <c r="AN1" s="436" t="s">
        <v>175</v>
      </c>
      <c r="AO1" s="436" t="s">
        <v>176</v>
      </c>
      <c r="AP1" s="436" t="s">
        <v>177</v>
      </c>
      <c r="AQ1" s="436" t="s">
        <v>178</v>
      </c>
      <c r="AR1" s="436" t="s">
        <v>179</v>
      </c>
      <c r="AS1" s="436" t="s">
        <v>180</v>
      </c>
      <c r="AT1" s="436" t="s">
        <v>181</v>
      </c>
      <c r="AU1" s="436" t="s">
        <v>182</v>
      </c>
      <c r="AV1" s="436" t="s">
        <v>183</v>
      </c>
      <c r="AW1" s="436" t="s">
        <v>184</v>
      </c>
      <c r="AX1" s="436" t="s">
        <v>185</v>
      </c>
      <c r="AY1" s="436" t="s">
        <v>186</v>
      </c>
      <c r="AZ1" s="436" t="s">
        <v>187</v>
      </c>
      <c r="BA1" s="436" t="s">
        <v>188</v>
      </c>
      <c r="BB1" s="436" t="s">
        <v>189</v>
      </c>
      <c r="BC1" s="436" t="s">
        <v>190</v>
      </c>
      <c r="BD1" s="436" t="s">
        <v>191</v>
      </c>
      <c r="BE1" s="436" t="s">
        <v>192</v>
      </c>
      <c r="BF1" s="436" t="s">
        <v>193</v>
      </c>
      <c r="BG1" s="436" t="s">
        <v>194</v>
      </c>
      <c r="BH1" s="436" t="s">
        <v>195</v>
      </c>
      <c r="BI1" s="436" t="s">
        <v>196</v>
      </c>
      <c r="BJ1" s="436" t="s">
        <v>197</v>
      </c>
      <c r="BK1" s="436" t="s">
        <v>198</v>
      </c>
      <c r="BL1" s="436" t="s">
        <v>199</v>
      </c>
      <c r="BM1" s="436" t="s">
        <v>200</v>
      </c>
      <c r="BN1" s="436" t="s">
        <v>201</v>
      </c>
      <c r="BO1" s="436" t="s">
        <v>202</v>
      </c>
      <c r="BP1" s="436" t="s">
        <v>203</v>
      </c>
      <c r="BQ1" s="441" t="s">
        <v>204</v>
      </c>
      <c r="BR1" s="436" t="s">
        <v>205</v>
      </c>
      <c r="BS1" s="436" t="s">
        <v>206</v>
      </c>
      <c r="BT1" s="436" t="s">
        <v>207</v>
      </c>
      <c r="BU1" s="436" t="s">
        <v>208</v>
      </c>
      <c r="BV1" s="436" t="s">
        <v>209</v>
      </c>
      <c r="BW1" s="436" t="s">
        <v>210</v>
      </c>
      <c r="BX1" s="436" t="s">
        <v>211</v>
      </c>
      <c r="BY1" s="436" t="s">
        <v>212</v>
      </c>
      <c r="BZ1" s="436" t="s">
        <v>213</v>
      </c>
      <c r="CA1" s="436" t="s">
        <v>214</v>
      </c>
      <c r="CB1" s="436" t="s">
        <v>215</v>
      </c>
      <c r="CC1" s="436" t="s">
        <v>216</v>
      </c>
      <c r="CD1" s="436" t="s">
        <v>217</v>
      </c>
      <c r="CE1" s="436" t="s">
        <v>218</v>
      </c>
      <c r="CF1" s="436" t="s">
        <v>219</v>
      </c>
      <c r="CG1" s="436" t="s">
        <v>220</v>
      </c>
      <c r="CH1" s="436" t="s">
        <v>221</v>
      </c>
      <c r="CI1" s="436" t="s">
        <v>222</v>
      </c>
      <c r="CJ1" s="436" t="s">
        <v>223</v>
      </c>
      <c r="CK1" s="436" t="s">
        <v>224</v>
      </c>
      <c r="CL1" s="436" t="s">
        <v>225</v>
      </c>
      <c r="CM1" s="436" t="s">
        <v>226</v>
      </c>
      <c r="CN1" s="436" t="s">
        <v>227</v>
      </c>
      <c r="CO1" s="436" t="s">
        <v>228</v>
      </c>
      <c r="CP1" s="436" t="s">
        <v>229</v>
      </c>
      <c r="CQ1" s="436" t="s">
        <v>230</v>
      </c>
      <c r="CR1" s="436" t="s">
        <v>231</v>
      </c>
      <c r="CS1" s="436" t="s">
        <v>232</v>
      </c>
      <c r="CT1" s="436" t="s">
        <v>233</v>
      </c>
      <c r="CU1" s="436" t="s">
        <v>234</v>
      </c>
      <c r="CV1" s="436" t="s">
        <v>235</v>
      </c>
      <c r="CW1" s="436" t="s">
        <v>236</v>
      </c>
      <c r="CX1" s="436" t="s">
        <v>237</v>
      </c>
      <c r="CY1" s="436" t="s">
        <v>238</v>
      </c>
      <c r="CZ1" s="436" t="s">
        <v>239</v>
      </c>
      <c r="DA1" s="436" t="s">
        <v>240</v>
      </c>
      <c r="DB1" s="436" t="s">
        <v>241</v>
      </c>
      <c r="DC1" s="436" t="s">
        <v>242</v>
      </c>
      <c r="DD1" s="436" t="s">
        <v>243</v>
      </c>
      <c r="DE1" s="436" t="s">
        <v>244</v>
      </c>
      <c r="DF1" s="436" t="s">
        <v>245</v>
      </c>
      <c r="DG1" s="436" t="s">
        <v>246</v>
      </c>
      <c r="DH1" s="436" t="s">
        <v>247</v>
      </c>
      <c r="DI1" s="436" t="s">
        <v>248</v>
      </c>
      <c r="DJ1" s="436" t="s">
        <v>249</v>
      </c>
      <c r="DK1" s="441" t="s">
        <v>250</v>
      </c>
      <c r="DL1" s="436" t="s">
        <v>251</v>
      </c>
      <c r="DM1" s="436" t="s">
        <v>252</v>
      </c>
      <c r="DN1" s="436" t="s">
        <v>253</v>
      </c>
      <c r="DO1" s="436" t="s">
        <v>254</v>
      </c>
      <c r="DP1" s="436" t="s">
        <v>255</v>
      </c>
      <c r="DQ1" s="436" t="s">
        <v>256</v>
      </c>
      <c r="DR1" s="436" t="s">
        <v>257</v>
      </c>
      <c r="DS1" s="436" t="s">
        <v>258</v>
      </c>
      <c r="DT1" s="436" t="s">
        <v>259</v>
      </c>
      <c r="DU1" s="436" t="s">
        <v>260</v>
      </c>
      <c r="DV1" s="436" t="s">
        <v>261</v>
      </c>
      <c r="DW1" s="436" t="s">
        <v>262</v>
      </c>
      <c r="DX1" s="436" t="s">
        <v>263</v>
      </c>
      <c r="DY1" s="436" t="s">
        <v>264</v>
      </c>
      <c r="DZ1" s="436" t="s">
        <v>265</v>
      </c>
      <c r="EA1" s="436" t="s">
        <v>266</v>
      </c>
      <c r="EB1" s="436" t="s">
        <v>267</v>
      </c>
      <c r="EC1" s="436" t="s">
        <v>268</v>
      </c>
      <c r="ED1" s="436" t="s">
        <v>269</v>
      </c>
      <c r="EE1" s="436" t="s">
        <v>270</v>
      </c>
      <c r="EF1" s="436" t="s">
        <v>271</v>
      </c>
      <c r="EG1" s="436" t="s">
        <v>272</v>
      </c>
      <c r="EH1" s="436" t="s">
        <v>273</v>
      </c>
      <c r="EI1" s="436" t="s">
        <v>274</v>
      </c>
      <c r="EJ1" s="436" t="s">
        <v>275</v>
      </c>
      <c r="EK1" s="436" t="s">
        <v>276</v>
      </c>
      <c r="EL1" s="436" t="s">
        <v>277</v>
      </c>
      <c r="EM1" s="436" t="s">
        <v>278</v>
      </c>
      <c r="EN1" s="436" t="s">
        <v>279</v>
      </c>
      <c r="EO1" s="436" t="s">
        <v>280</v>
      </c>
      <c r="EP1" s="436" t="s">
        <v>281</v>
      </c>
      <c r="EQ1" s="436" t="s">
        <v>282</v>
      </c>
      <c r="ER1" s="436" t="s">
        <v>283</v>
      </c>
      <c r="ES1" s="436" t="s">
        <v>284</v>
      </c>
      <c r="ET1" s="436" t="s">
        <v>285</v>
      </c>
      <c r="EU1" s="436" t="s">
        <v>286</v>
      </c>
      <c r="EV1" s="436" t="s">
        <v>287</v>
      </c>
      <c r="EW1" s="436" t="s">
        <v>288</v>
      </c>
      <c r="EX1" s="436" t="s">
        <v>289</v>
      </c>
      <c r="EY1" s="436" t="s">
        <v>290</v>
      </c>
      <c r="EZ1" s="436" t="s">
        <v>291</v>
      </c>
      <c r="FA1" s="436" t="s">
        <v>292</v>
      </c>
      <c r="FB1" s="436" t="s">
        <v>293</v>
      </c>
      <c r="FC1" s="436" t="s">
        <v>294</v>
      </c>
      <c r="FD1" s="436" t="s">
        <v>295</v>
      </c>
      <c r="FE1" s="436" t="s">
        <v>296</v>
      </c>
      <c r="FF1" s="436" t="s">
        <v>297</v>
      </c>
      <c r="FG1" s="441" t="s">
        <v>298</v>
      </c>
      <c r="FH1" s="441" t="s">
        <v>299</v>
      </c>
      <c r="FI1" s="436" t="s">
        <v>300</v>
      </c>
      <c r="FJ1" s="436" t="s">
        <v>301</v>
      </c>
      <c r="FK1" s="436" t="s">
        <v>302</v>
      </c>
      <c r="FL1" s="436" t="s">
        <v>303</v>
      </c>
      <c r="FM1" s="436" t="s">
        <v>304</v>
      </c>
      <c r="FN1" s="436" t="s">
        <v>305</v>
      </c>
      <c r="FO1" s="436" t="s">
        <v>306</v>
      </c>
      <c r="FP1" s="436" t="s">
        <v>307</v>
      </c>
      <c r="FQ1" s="436" t="s">
        <v>308</v>
      </c>
      <c r="FR1" s="436" t="s">
        <v>309</v>
      </c>
      <c r="FS1" s="436" t="s">
        <v>310</v>
      </c>
      <c r="FT1" s="436" t="s">
        <v>311</v>
      </c>
      <c r="FU1" s="436" t="s">
        <v>312</v>
      </c>
      <c r="FV1" s="436" t="s">
        <v>313</v>
      </c>
      <c r="FW1" s="436" t="s">
        <v>314</v>
      </c>
      <c r="FX1" s="436" t="s">
        <v>315</v>
      </c>
      <c r="FY1" s="436" t="s">
        <v>316</v>
      </c>
      <c r="FZ1" s="436" t="s">
        <v>317</v>
      </c>
      <c r="GA1" s="436" t="s">
        <v>318</v>
      </c>
      <c r="GB1" s="436" t="s">
        <v>319</v>
      </c>
      <c r="GC1" s="436" t="s">
        <v>320</v>
      </c>
      <c r="GD1" s="436" t="s">
        <v>321</v>
      </c>
      <c r="GE1" s="436" t="s">
        <v>322</v>
      </c>
      <c r="GF1" s="436" t="s">
        <v>323</v>
      </c>
      <c r="GG1" s="436" t="s">
        <v>324</v>
      </c>
      <c r="GH1" s="436" t="s">
        <v>325</v>
      </c>
      <c r="GI1" s="436" t="s">
        <v>326</v>
      </c>
      <c r="GJ1" s="436" t="s">
        <v>327</v>
      </c>
      <c r="GK1" s="436" t="s">
        <v>328</v>
      </c>
      <c r="GL1" s="436" t="s">
        <v>329</v>
      </c>
      <c r="GM1" s="436" t="s">
        <v>330</v>
      </c>
      <c r="GN1" s="436" t="s">
        <v>331</v>
      </c>
      <c r="GO1" s="436" t="s">
        <v>475</v>
      </c>
      <c r="GP1" s="436" t="s">
        <v>476</v>
      </c>
      <c r="GQ1" s="436" t="s">
        <v>477</v>
      </c>
      <c r="GR1" s="436" t="s">
        <v>478</v>
      </c>
      <c r="GS1" s="436" t="s">
        <v>479</v>
      </c>
      <c r="GT1" s="436" t="s">
        <v>480</v>
      </c>
      <c r="GU1" s="436" t="s">
        <v>536</v>
      </c>
      <c r="GV1" s="436" t="s">
        <v>537</v>
      </c>
      <c r="GW1" s="436" t="s">
        <v>538</v>
      </c>
      <c r="GX1" s="436" t="s">
        <v>539</v>
      </c>
      <c r="GY1" s="436" t="s">
        <v>540</v>
      </c>
      <c r="GZ1" s="436" t="s">
        <v>541</v>
      </c>
      <c r="HA1" s="436" t="s">
        <v>542</v>
      </c>
      <c r="HB1" s="436" t="s">
        <v>543</v>
      </c>
      <c r="HC1" s="441" t="s">
        <v>544</v>
      </c>
      <c r="HD1" s="436" t="s">
        <v>545</v>
      </c>
    </row>
    <row r="2" spans="1:212" s="436" customFormat="1" x14ac:dyDescent="0.2">
      <c r="B2" s="436">
        <v>1</v>
      </c>
      <c r="C2" s="436">
        <v>2</v>
      </c>
      <c r="D2" s="436">
        <v>3</v>
      </c>
      <c r="E2" s="436">
        <v>4</v>
      </c>
      <c r="F2" s="436">
        <v>5</v>
      </c>
      <c r="G2" s="436">
        <v>6</v>
      </c>
      <c r="H2" s="436">
        <v>7</v>
      </c>
      <c r="I2" s="436">
        <v>8</v>
      </c>
      <c r="J2" s="436">
        <v>9</v>
      </c>
      <c r="K2" s="436">
        <v>10</v>
      </c>
      <c r="L2" s="441">
        <v>11</v>
      </c>
      <c r="M2" s="436">
        <v>12</v>
      </c>
      <c r="N2" s="436">
        <v>13</v>
      </c>
      <c r="O2" s="436">
        <v>14</v>
      </c>
      <c r="P2" s="436">
        <v>15</v>
      </c>
      <c r="Q2" s="436">
        <v>16</v>
      </c>
      <c r="R2" s="436">
        <v>17</v>
      </c>
      <c r="S2" s="441">
        <v>18</v>
      </c>
      <c r="T2" s="436">
        <v>19</v>
      </c>
      <c r="U2" s="436">
        <v>20</v>
      </c>
      <c r="V2" s="436">
        <v>21</v>
      </c>
      <c r="W2" s="436">
        <v>22</v>
      </c>
      <c r="X2" s="436">
        <v>23</v>
      </c>
      <c r="Y2" s="436">
        <v>24</v>
      </c>
      <c r="Z2" s="436">
        <v>25</v>
      </c>
      <c r="AA2" s="436">
        <v>26</v>
      </c>
      <c r="AB2" s="436">
        <v>27</v>
      </c>
      <c r="AC2" s="436">
        <v>28</v>
      </c>
      <c r="AD2" s="436">
        <v>29</v>
      </c>
      <c r="AE2" s="436">
        <v>30</v>
      </c>
      <c r="AF2" s="436">
        <v>31</v>
      </c>
      <c r="AG2" s="436">
        <v>32</v>
      </c>
      <c r="AH2" s="436">
        <v>33</v>
      </c>
      <c r="AI2" s="436">
        <v>34</v>
      </c>
      <c r="AJ2" s="441">
        <v>35</v>
      </c>
      <c r="AK2" s="436">
        <v>36</v>
      </c>
      <c r="AL2" s="436">
        <v>37</v>
      </c>
      <c r="AM2" s="436">
        <v>38</v>
      </c>
      <c r="AN2" s="436">
        <v>39</v>
      </c>
      <c r="AO2" s="436">
        <v>40</v>
      </c>
      <c r="AP2" s="436">
        <v>41</v>
      </c>
      <c r="AQ2" s="436">
        <v>42</v>
      </c>
      <c r="AR2" s="436">
        <v>43</v>
      </c>
      <c r="AS2" s="436">
        <v>44</v>
      </c>
      <c r="AT2" s="436">
        <v>45</v>
      </c>
      <c r="AU2" s="436">
        <v>46</v>
      </c>
      <c r="AV2" s="436">
        <v>47</v>
      </c>
      <c r="AW2" s="436">
        <v>48</v>
      </c>
      <c r="AX2" s="436">
        <v>49</v>
      </c>
      <c r="AY2" s="436">
        <v>50</v>
      </c>
      <c r="AZ2" s="436">
        <v>51</v>
      </c>
      <c r="BA2" s="436">
        <v>52</v>
      </c>
      <c r="BB2" s="436">
        <v>53</v>
      </c>
      <c r="BC2" s="436">
        <v>54</v>
      </c>
      <c r="BD2" s="436">
        <v>55</v>
      </c>
      <c r="BE2" s="436">
        <v>56</v>
      </c>
      <c r="BF2" s="436">
        <v>57</v>
      </c>
      <c r="BG2" s="436">
        <v>58</v>
      </c>
      <c r="BH2" s="436">
        <v>59</v>
      </c>
      <c r="BI2" s="436">
        <v>60</v>
      </c>
      <c r="BJ2" s="436">
        <v>61</v>
      </c>
      <c r="BK2" s="436">
        <v>62</v>
      </c>
      <c r="BL2" s="436">
        <v>63</v>
      </c>
      <c r="BM2" s="436">
        <v>64</v>
      </c>
      <c r="BN2" s="436">
        <v>65</v>
      </c>
      <c r="BO2" s="436">
        <v>66</v>
      </c>
      <c r="BP2" s="436">
        <v>67</v>
      </c>
      <c r="BQ2" s="441">
        <v>68</v>
      </c>
      <c r="BR2" s="436">
        <v>69</v>
      </c>
      <c r="BS2" s="436">
        <v>70</v>
      </c>
      <c r="BT2" s="436">
        <v>71</v>
      </c>
      <c r="BU2" s="436">
        <v>72</v>
      </c>
      <c r="BV2" s="436">
        <v>73</v>
      </c>
      <c r="BW2" s="436">
        <v>74</v>
      </c>
      <c r="BX2" s="436">
        <v>75</v>
      </c>
      <c r="BY2" s="436">
        <v>76</v>
      </c>
      <c r="BZ2" s="436">
        <v>77</v>
      </c>
      <c r="CA2" s="436">
        <v>78</v>
      </c>
      <c r="CB2" s="436">
        <v>79</v>
      </c>
      <c r="CC2" s="436">
        <v>80</v>
      </c>
      <c r="CD2" s="436">
        <v>81</v>
      </c>
      <c r="CE2" s="436">
        <v>82</v>
      </c>
      <c r="CF2" s="436">
        <v>83</v>
      </c>
      <c r="CG2" s="436">
        <v>84</v>
      </c>
      <c r="CH2" s="436">
        <v>85</v>
      </c>
      <c r="CI2" s="436">
        <v>86</v>
      </c>
      <c r="CJ2" s="436">
        <v>87</v>
      </c>
      <c r="CK2" s="436">
        <v>88</v>
      </c>
      <c r="CL2" s="436">
        <v>89</v>
      </c>
      <c r="CM2" s="436">
        <v>90</v>
      </c>
      <c r="CN2" s="436">
        <v>91</v>
      </c>
      <c r="CO2" s="436">
        <v>92</v>
      </c>
      <c r="CP2" s="436">
        <v>93</v>
      </c>
      <c r="CQ2" s="436">
        <v>94</v>
      </c>
      <c r="CR2" s="436">
        <v>95</v>
      </c>
      <c r="CS2" s="436">
        <v>96</v>
      </c>
      <c r="CT2" s="436">
        <v>97</v>
      </c>
      <c r="CU2" s="436">
        <v>98</v>
      </c>
      <c r="CV2" s="436">
        <v>99</v>
      </c>
      <c r="CW2" s="436">
        <v>100</v>
      </c>
      <c r="CX2" s="436">
        <v>101</v>
      </c>
      <c r="CY2" s="436">
        <v>102</v>
      </c>
      <c r="CZ2" s="436">
        <v>103</v>
      </c>
      <c r="DA2" s="436">
        <v>104</v>
      </c>
      <c r="DB2" s="436">
        <v>105</v>
      </c>
      <c r="DC2" s="436">
        <v>106</v>
      </c>
      <c r="DD2" s="436">
        <v>107</v>
      </c>
      <c r="DE2" s="436">
        <v>108</v>
      </c>
      <c r="DF2" s="436">
        <v>109</v>
      </c>
      <c r="DG2" s="436">
        <v>110</v>
      </c>
      <c r="DH2" s="436">
        <v>111</v>
      </c>
      <c r="DI2" s="436">
        <v>112</v>
      </c>
      <c r="DJ2" s="436">
        <v>113</v>
      </c>
      <c r="DK2" s="441">
        <v>114</v>
      </c>
      <c r="DL2" s="436">
        <v>115</v>
      </c>
      <c r="DM2" s="436">
        <v>116</v>
      </c>
      <c r="DN2" s="436">
        <v>117</v>
      </c>
      <c r="DO2" s="436">
        <v>118</v>
      </c>
      <c r="DP2" s="436">
        <v>119</v>
      </c>
      <c r="DQ2" s="436">
        <v>120</v>
      </c>
      <c r="DR2" s="436">
        <v>121</v>
      </c>
      <c r="DS2" s="436">
        <v>122</v>
      </c>
      <c r="DT2" s="436">
        <v>123</v>
      </c>
      <c r="DU2" s="436">
        <v>124</v>
      </c>
      <c r="DV2" s="436">
        <v>125</v>
      </c>
      <c r="DW2" s="436">
        <v>126</v>
      </c>
      <c r="DX2" s="436">
        <v>127</v>
      </c>
      <c r="DY2" s="436">
        <v>128</v>
      </c>
      <c r="DZ2" s="436">
        <v>129</v>
      </c>
      <c r="EA2" s="436">
        <v>130</v>
      </c>
      <c r="EB2" s="436">
        <v>131</v>
      </c>
      <c r="EC2" s="436">
        <v>132</v>
      </c>
      <c r="ED2" s="436">
        <v>133</v>
      </c>
      <c r="EE2" s="436">
        <v>134</v>
      </c>
      <c r="EF2" s="436">
        <v>135</v>
      </c>
      <c r="EG2" s="436">
        <v>136</v>
      </c>
      <c r="EH2" s="436">
        <v>137</v>
      </c>
      <c r="EI2" s="436">
        <v>138</v>
      </c>
      <c r="EJ2" s="436">
        <v>139</v>
      </c>
      <c r="EK2" s="436">
        <v>140</v>
      </c>
      <c r="EL2" s="436">
        <v>141</v>
      </c>
      <c r="EM2" s="436">
        <v>142</v>
      </c>
      <c r="EN2" s="436">
        <v>143</v>
      </c>
      <c r="EO2" s="436">
        <v>144</v>
      </c>
      <c r="EP2" s="436">
        <v>145</v>
      </c>
      <c r="EQ2" s="436">
        <v>146</v>
      </c>
      <c r="ER2" s="436">
        <v>147</v>
      </c>
      <c r="ES2" s="436">
        <v>148</v>
      </c>
      <c r="ET2" s="436">
        <v>149</v>
      </c>
      <c r="EU2" s="436">
        <v>150</v>
      </c>
      <c r="EV2" s="436">
        <v>151</v>
      </c>
      <c r="EW2" s="436">
        <v>152</v>
      </c>
      <c r="EX2" s="436">
        <v>153</v>
      </c>
      <c r="EY2" s="436">
        <v>154</v>
      </c>
      <c r="EZ2" s="436">
        <v>155</v>
      </c>
      <c r="FA2" s="436">
        <v>156</v>
      </c>
      <c r="FB2" s="436">
        <v>157</v>
      </c>
      <c r="FC2" s="436">
        <v>158</v>
      </c>
      <c r="FD2" s="436">
        <v>159</v>
      </c>
      <c r="FE2" s="436">
        <v>160</v>
      </c>
      <c r="FF2" s="436">
        <v>161</v>
      </c>
      <c r="FG2" s="441">
        <v>162</v>
      </c>
      <c r="FH2" s="441">
        <v>163</v>
      </c>
      <c r="FI2" s="436">
        <v>164</v>
      </c>
      <c r="FJ2" s="436">
        <v>165</v>
      </c>
      <c r="FK2" s="436">
        <v>166</v>
      </c>
      <c r="FL2" s="436">
        <v>167</v>
      </c>
      <c r="FM2" s="436">
        <v>168</v>
      </c>
      <c r="FN2" s="436">
        <v>169</v>
      </c>
      <c r="FO2" s="436">
        <v>170</v>
      </c>
      <c r="FP2" s="436">
        <v>171</v>
      </c>
      <c r="FQ2" s="436">
        <v>172</v>
      </c>
      <c r="FR2" s="436">
        <v>173</v>
      </c>
      <c r="FS2" s="436">
        <v>174</v>
      </c>
      <c r="FT2" s="436">
        <v>175</v>
      </c>
      <c r="FU2" s="436">
        <v>176</v>
      </c>
      <c r="FV2" s="436">
        <v>177</v>
      </c>
      <c r="FW2" s="436">
        <v>178</v>
      </c>
      <c r="FX2" s="436">
        <v>179</v>
      </c>
      <c r="FY2" s="436">
        <v>180</v>
      </c>
      <c r="FZ2" s="436">
        <v>181</v>
      </c>
      <c r="GA2" s="436">
        <v>182</v>
      </c>
      <c r="GB2" s="436">
        <v>183</v>
      </c>
      <c r="GC2" s="436">
        <v>184</v>
      </c>
      <c r="GD2" s="436">
        <v>185</v>
      </c>
      <c r="GE2" s="436">
        <v>186</v>
      </c>
      <c r="GF2" s="436">
        <v>187</v>
      </c>
      <c r="GG2" s="436">
        <v>188</v>
      </c>
      <c r="GH2" s="436">
        <v>189</v>
      </c>
      <c r="GI2" s="436">
        <v>190</v>
      </c>
      <c r="GJ2" s="436">
        <v>191</v>
      </c>
      <c r="GK2" s="436">
        <v>192</v>
      </c>
      <c r="GL2" s="436">
        <v>193</v>
      </c>
      <c r="GM2" s="436">
        <v>194</v>
      </c>
      <c r="GN2" s="436">
        <v>195</v>
      </c>
      <c r="GO2" s="436">
        <v>196</v>
      </c>
      <c r="GP2" s="436">
        <v>197</v>
      </c>
      <c r="GQ2" s="436">
        <v>198</v>
      </c>
      <c r="GR2" s="436">
        <v>199</v>
      </c>
      <c r="GS2" s="436">
        <v>200</v>
      </c>
      <c r="GT2" s="436">
        <v>201</v>
      </c>
      <c r="GU2" s="436">
        <v>202</v>
      </c>
      <c r="GV2" s="436">
        <v>203</v>
      </c>
      <c r="GW2" s="436">
        <v>204</v>
      </c>
      <c r="GX2" s="436">
        <v>205</v>
      </c>
      <c r="GY2" s="436">
        <v>206</v>
      </c>
      <c r="GZ2" s="436">
        <v>207</v>
      </c>
      <c r="HA2" s="436">
        <v>208</v>
      </c>
      <c r="HB2" s="436">
        <v>209</v>
      </c>
      <c r="HC2" s="441">
        <v>210</v>
      </c>
      <c r="HD2" s="436">
        <v>211</v>
      </c>
    </row>
    <row r="3" spans="1:212" s="436" customFormat="1" x14ac:dyDescent="0.2">
      <c r="B3" s="436">
        <v>101875</v>
      </c>
      <c r="C3" s="436">
        <v>0</v>
      </c>
      <c r="D3" s="436">
        <v>0</v>
      </c>
      <c r="E3" s="436">
        <v>0</v>
      </c>
      <c r="F3" s="436">
        <v>0</v>
      </c>
      <c r="G3" s="436">
        <v>0</v>
      </c>
      <c r="H3" s="436">
        <v>0</v>
      </c>
      <c r="I3" s="436">
        <v>0</v>
      </c>
      <c r="J3" s="436">
        <v>0</v>
      </c>
      <c r="K3" s="436">
        <v>0</v>
      </c>
      <c r="L3" s="437">
        <v>6544</v>
      </c>
      <c r="M3" s="436">
        <v>0</v>
      </c>
      <c r="N3" s="436">
        <v>0</v>
      </c>
      <c r="O3" s="436">
        <v>0</v>
      </c>
      <c r="P3" s="436">
        <v>0</v>
      </c>
      <c r="Q3" s="436">
        <v>0</v>
      </c>
      <c r="R3" s="436">
        <v>0</v>
      </c>
      <c r="S3" s="437">
        <v>247.58699999999999</v>
      </c>
      <c r="T3" s="436">
        <v>0</v>
      </c>
      <c r="U3" s="436">
        <v>0</v>
      </c>
      <c r="V3" s="436">
        <v>0</v>
      </c>
      <c r="W3" s="436">
        <v>0</v>
      </c>
      <c r="X3" s="436">
        <v>0</v>
      </c>
      <c r="Y3" s="436">
        <v>0</v>
      </c>
      <c r="Z3" s="436">
        <v>0</v>
      </c>
      <c r="AA3" s="436">
        <v>0</v>
      </c>
      <c r="AB3" s="436">
        <v>0</v>
      </c>
      <c r="AC3" s="436">
        <v>0</v>
      </c>
      <c r="AD3" s="436">
        <v>0</v>
      </c>
      <c r="AE3" s="436">
        <v>0</v>
      </c>
      <c r="AF3" s="436">
        <v>0</v>
      </c>
      <c r="AG3" s="436">
        <v>0</v>
      </c>
      <c r="AH3" s="436">
        <v>0</v>
      </c>
      <c r="AI3" s="436">
        <v>0</v>
      </c>
      <c r="AJ3" s="437">
        <v>5105</v>
      </c>
      <c r="AK3" s="436">
        <v>0</v>
      </c>
      <c r="AL3" s="438" t="s">
        <v>665</v>
      </c>
      <c r="AM3" s="436">
        <v>0</v>
      </c>
      <c r="AN3" s="436">
        <v>0</v>
      </c>
      <c r="AO3" s="436">
        <v>0</v>
      </c>
      <c r="AP3" s="436">
        <v>0</v>
      </c>
      <c r="AQ3" s="436">
        <v>0</v>
      </c>
      <c r="AR3" s="436">
        <v>0</v>
      </c>
      <c r="AS3" s="436">
        <v>0</v>
      </c>
      <c r="AT3" s="436">
        <v>0</v>
      </c>
      <c r="AU3" s="436">
        <v>0</v>
      </c>
      <c r="AV3" s="436">
        <v>0</v>
      </c>
      <c r="AW3" s="436">
        <v>0</v>
      </c>
      <c r="AX3" s="436">
        <v>0</v>
      </c>
      <c r="AY3" s="436">
        <v>0</v>
      </c>
      <c r="AZ3" s="436">
        <v>0</v>
      </c>
      <c r="BA3" s="436">
        <v>0</v>
      </c>
      <c r="BB3" s="436">
        <v>0</v>
      </c>
      <c r="BC3" s="436">
        <v>0</v>
      </c>
      <c r="BD3" s="436">
        <v>0</v>
      </c>
      <c r="BE3" s="436">
        <v>0</v>
      </c>
      <c r="BF3" s="436">
        <v>0</v>
      </c>
      <c r="BG3" s="436">
        <v>0</v>
      </c>
      <c r="BH3" s="436">
        <v>0</v>
      </c>
      <c r="BI3" s="436">
        <v>0</v>
      </c>
      <c r="BJ3" s="436">
        <v>0</v>
      </c>
      <c r="BK3" s="436">
        <v>0</v>
      </c>
      <c r="BL3" s="436">
        <v>0</v>
      </c>
      <c r="BM3" s="436">
        <v>0</v>
      </c>
      <c r="BN3" s="436">
        <v>0</v>
      </c>
      <c r="BO3" s="436">
        <v>0</v>
      </c>
      <c r="BP3" s="436">
        <v>0</v>
      </c>
      <c r="BQ3" s="437">
        <v>5392</v>
      </c>
      <c r="BR3" s="436">
        <v>0</v>
      </c>
      <c r="BS3" s="436">
        <v>0</v>
      </c>
      <c r="BT3" s="436">
        <v>0</v>
      </c>
      <c r="BU3" s="436">
        <v>0</v>
      </c>
      <c r="BV3" s="436">
        <v>0</v>
      </c>
      <c r="BW3" s="436">
        <v>0</v>
      </c>
      <c r="BX3" s="436">
        <v>0</v>
      </c>
      <c r="BY3" s="436">
        <v>0</v>
      </c>
      <c r="BZ3" s="436">
        <v>0</v>
      </c>
      <c r="CA3" s="436">
        <v>0</v>
      </c>
      <c r="CB3" s="436">
        <v>0</v>
      </c>
      <c r="CC3" s="436">
        <v>0</v>
      </c>
      <c r="CD3" s="436">
        <v>0</v>
      </c>
      <c r="CE3" s="436">
        <v>0</v>
      </c>
      <c r="CF3" s="436">
        <v>0</v>
      </c>
      <c r="CG3" s="436">
        <v>0</v>
      </c>
      <c r="CH3" s="436">
        <v>0</v>
      </c>
      <c r="CI3" s="436">
        <v>0</v>
      </c>
      <c r="CJ3" s="436">
        <v>0</v>
      </c>
      <c r="CK3" s="436">
        <v>0</v>
      </c>
      <c r="CL3" s="436">
        <v>0</v>
      </c>
      <c r="CM3" s="436">
        <v>0</v>
      </c>
      <c r="CN3" s="436">
        <v>0</v>
      </c>
      <c r="CO3" s="436">
        <v>0</v>
      </c>
      <c r="CP3" s="436">
        <v>0</v>
      </c>
      <c r="CQ3" s="436">
        <v>0</v>
      </c>
      <c r="CR3" s="436">
        <v>0</v>
      </c>
      <c r="CS3" s="436">
        <v>0</v>
      </c>
      <c r="CT3" s="436">
        <v>0</v>
      </c>
      <c r="CU3" s="436">
        <v>0</v>
      </c>
      <c r="CV3" s="436">
        <v>0</v>
      </c>
      <c r="CW3" s="436">
        <v>0</v>
      </c>
      <c r="CX3" s="436">
        <v>0</v>
      </c>
      <c r="CY3" s="436">
        <v>0</v>
      </c>
      <c r="CZ3" s="436">
        <v>0</v>
      </c>
      <c r="DA3" s="436">
        <v>0</v>
      </c>
      <c r="DB3" s="436">
        <v>0</v>
      </c>
      <c r="DC3" s="436">
        <v>0</v>
      </c>
      <c r="DD3" s="436">
        <v>0</v>
      </c>
      <c r="DE3" s="436">
        <v>0</v>
      </c>
      <c r="DF3" s="436">
        <v>0</v>
      </c>
      <c r="DG3" s="436">
        <v>0</v>
      </c>
      <c r="DH3" s="436">
        <v>0</v>
      </c>
      <c r="DI3" s="436">
        <v>0</v>
      </c>
      <c r="DJ3" s="436">
        <v>0</v>
      </c>
      <c r="DK3" s="437">
        <v>5392</v>
      </c>
      <c r="DL3" s="436">
        <v>0</v>
      </c>
      <c r="DM3" s="436">
        <v>0</v>
      </c>
      <c r="DN3" s="436">
        <v>0</v>
      </c>
      <c r="DO3" s="436">
        <v>0</v>
      </c>
      <c r="DP3" s="436">
        <v>0</v>
      </c>
      <c r="DQ3" s="436">
        <v>0</v>
      </c>
      <c r="DR3" s="436">
        <v>0</v>
      </c>
      <c r="DS3" s="436">
        <v>0</v>
      </c>
      <c r="DT3" s="436">
        <v>0</v>
      </c>
      <c r="DU3" s="436">
        <v>0</v>
      </c>
      <c r="DV3" s="436">
        <v>0</v>
      </c>
      <c r="DW3" s="436">
        <v>0</v>
      </c>
      <c r="DX3" s="436">
        <v>0</v>
      </c>
      <c r="DY3" s="436">
        <v>0</v>
      </c>
      <c r="DZ3" s="436">
        <v>0</v>
      </c>
      <c r="EA3" s="436">
        <v>0</v>
      </c>
      <c r="EB3" s="436">
        <v>0</v>
      </c>
      <c r="EC3" s="436">
        <v>0</v>
      </c>
      <c r="ED3" s="436">
        <v>0</v>
      </c>
      <c r="EE3" s="436">
        <v>0</v>
      </c>
      <c r="EF3" s="436">
        <v>0</v>
      </c>
      <c r="EG3" s="436">
        <v>0</v>
      </c>
      <c r="EH3" s="436">
        <v>0</v>
      </c>
      <c r="EI3" s="436">
        <v>0</v>
      </c>
      <c r="EJ3" s="436">
        <v>0</v>
      </c>
      <c r="EK3" s="436">
        <v>0</v>
      </c>
      <c r="EL3" s="436">
        <v>0</v>
      </c>
      <c r="EM3" s="436">
        <v>0</v>
      </c>
      <c r="EN3" s="436">
        <v>0</v>
      </c>
      <c r="EO3" s="436">
        <v>0</v>
      </c>
      <c r="EP3" s="436">
        <v>0</v>
      </c>
      <c r="EQ3" s="436">
        <v>0</v>
      </c>
      <c r="ER3" s="436">
        <v>0</v>
      </c>
      <c r="ES3" s="436">
        <v>0</v>
      </c>
      <c r="ET3" s="436">
        <v>0</v>
      </c>
      <c r="EU3" s="436">
        <v>0</v>
      </c>
      <c r="EV3" s="436">
        <v>0</v>
      </c>
      <c r="EW3" s="436">
        <v>0</v>
      </c>
      <c r="EX3" s="436">
        <v>0</v>
      </c>
      <c r="EY3" s="436">
        <v>0</v>
      </c>
      <c r="EZ3" s="436">
        <v>0</v>
      </c>
      <c r="FA3" s="436">
        <v>0</v>
      </c>
      <c r="FB3" s="436">
        <v>0</v>
      </c>
      <c r="FC3" s="436">
        <v>0</v>
      </c>
      <c r="FD3" s="436">
        <v>0</v>
      </c>
      <c r="FE3" s="436">
        <v>0</v>
      </c>
      <c r="FF3" s="436">
        <v>0</v>
      </c>
      <c r="FG3" s="437">
        <v>5.7854999999999997E-2</v>
      </c>
      <c r="FH3" s="437">
        <v>5.2366000000000003E-2</v>
      </c>
      <c r="FI3" s="436">
        <v>0</v>
      </c>
      <c r="FJ3" s="436">
        <v>0</v>
      </c>
      <c r="FK3" s="436">
        <v>0</v>
      </c>
      <c r="FL3" s="436">
        <v>0</v>
      </c>
      <c r="FM3" s="436">
        <v>0</v>
      </c>
      <c r="FN3" s="436">
        <v>0</v>
      </c>
      <c r="FO3" s="436">
        <v>0</v>
      </c>
      <c r="FP3" s="436">
        <v>0</v>
      </c>
      <c r="FQ3" s="436">
        <v>0</v>
      </c>
      <c r="FR3" s="436">
        <v>0</v>
      </c>
      <c r="FS3" s="436">
        <v>0</v>
      </c>
      <c r="FT3" s="436">
        <v>0</v>
      </c>
      <c r="FU3" s="436">
        <v>0</v>
      </c>
      <c r="FV3" s="436">
        <v>0</v>
      </c>
      <c r="FW3" s="436">
        <v>0</v>
      </c>
      <c r="FX3" s="436">
        <v>0</v>
      </c>
      <c r="FY3" s="436">
        <v>0</v>
      </c>
      <c r="FZ3" s="436">
        <v>0</v>
      </c>
      <c r="GA3" s="436">
        <v>0</v>
      </c>
      <c r="GB3" s="436">
        <v>0</v>
      </c>
      <c r="GC3" s="436">
        <v>0</v>
      </c>
      <c r="GD3" s="436">
        <v>0</v>
      </c>
      <c r="GE3" s="436">
        <v>0</v>
      </c>
      <c r="GF3" s="436">
        <v>0</v>
      </c>
      <c r="GG3" s="436">
        <v>0</v>
      </c>
      <c r="GH3" s="436">
        <v>0</v>
      </c>
      <c r="GI3" s="436">
        <v>0</v>
      </c>
      <c r="GJ3" s="436">
        <v>0</v>
      </c>
      <c r="GK3" s="436">
        <v>0</v>
      </c>
      <c r="GL3" s="436">
        <v>0</v>
      </c>
      <c r="GM3" s="436">
        <v>0</v>
      </c>
      <c r="GN3" s="436">
        <v>0</v>
      </c>
      <c r="GO3" s="436">
        <v>0</v>
      </c>
      <c r="GP3" s="436">
        <v>0</v>
      </c>
      <c r="GQ3" s="436">
        <v>0</v>
      </c>
      <c r="GR3" s="436">
        <v>0</v>
      </c>
      <c r="GS3" s="436">
        <v>0</v>
      </c>
      <c r="GT3" s="436">
        <v>0</v>
      </c>
      <c r="GU3" s="436">
        <v>0</v>
      </c>
      <c r="GV3" s="436">
        <v>0</v>
      </c>
      <c r="GW3" s="436">
        <v>0</v>
      </c>
      <c r="GX3" s="436">
        <v>0</v>
      </c>
      <c r="GY3" s="436">
        <v>0</v>
      </c>
      <c r="GZ3" s="436">
        <v>0</v>
      </c>
      <c r="HA3" s="436">
        <v>0</v>
      </c>
      <c r="HB3" s="436">
        <v>0</v>
      </c>
      <c r="HC3" s="437">
        <v>6.0754000000000002E-2</v>
      </c>
      <c r="HD3" s="436">
        <v>0</v>
      </c>
    </row>
    <row r="4" spans="1:212" s="436" customFormat="1" x14ac:dyDescent="0.2">
      <c r="B4" s="436">
        <v>152806</v>
      </c>
      <c r="C4" s="436">
        <v>0</v>
      </c>
      <c r="D4" s="436">
        <v>0</v>
      </c>
      <c r="E4" s="436">
        <v>0</v>
      </c>
      <c r="F4" s="436">
        <v>0</v>
      </c>
      <c r="G4" s="436">
        <v>0</v>
      </c>
      <c r="H4" s="436">
        <v>0</v>
      </c>
      <c r="I4" s="436">
        <v>0</v>
      </c>
      <c r="J4" s="436">
        <v>0</v>
      </c>
      <c r="K4" s="436">
        <v>0</v>
      </c>
      <c r="L4" s="441">
        <v>6544</v>
      </c>
      <c r="M4" s="436">
        <v>0</v>
      </c>
      <c r="N4" s="436">
        <v>0</v>
      </c>
      <c r="O4" s="436">
        <v>0</v>
      </c>
      <c r="P4" s="436">
        <v>0</v>
      </c>
      <c r="Q4" s="436">
        <v>0</v>
      </c>
      <c r="R4" s="436">
        <v>0</v>
      </c>
      <c r="S4" s="441">
        <v>247.58699999999999</v>
      </c>
      <c r="T4" s="436">
        <v>0</v>
      </c>
      <c r="U4" s="436">
        <v>0</v>
      </c>
      <c r="V4" s="436">
        <v>0</v>
      </c>
      <c r="W4" s="436">
        <v>0</v>
      </c>
      <c r="X4" s="436">
        <v>0</v>
      </c>
      <c r="Y4" s="436">
        <v>0</v>
      </c>
      <c r="Z4" s="436">
        <v>0</v>
      </c>
      <c r="AA4" s="436">
        <v>0</v>
      </c>
      <c r="AB4" s="436">
        <v>0</v>
      </c>
      <c r="AC4" s="436">
        <v>0</v>
      </c>
      <c r="AD4" s="436">
        <v>0</v>
      </c>
      <c r="AE4" s="436">
        <v>0</v>
      </c>
      <c r="AF4" s="436">
        <v>0</v>
      </c>
      <c r="AG4" s="436">
        <v>0</v>
      </c>
      <c r="AH4" s="436">
        <v>0</v>
      </c>
      <c r="AI4" s="436">
        <v>0</v>
      </c>
      <c r="AJ4" s="441">
        <v>5105</v>
      </c>
      <c r="AK4" s="436">
        <v>0</v>
      </c>
      <c r="AL4" s="438" t="s">
        <v>666</v>
      </c>
      <c r="AM4" s="436">
        <v>0</v>
      </c>
      <c r="AN4" s="436">
        <v>0</v>
      </c>
      <c r="AO4" s="436">
        <v>0</v>
      </c>
      <c r="AP4" s="436">
        <v>0</v>
      </c>
      <c r="AQ4" s="436">
        <v>0</v>
      </c>
      <c r="AR4" s="436">
        <v>0</v>
      </c>
      <c r="AS4" s="436">
        <v>0</v>
      </c>
      <c r="AT4" s="436">
        <v>0</v>
      </c>
      <c r="AU4" s="436">
        <v>0</v>
      </c>
      <c r="AV4" s="436">
        <v>0</v>
      </c>
      <c r="AW4" s="436">
        <v>0</v>
      </c>
      <c r="AX4" s="436">
        <v>0</v>
      </c>
      <c r="AY4" s="436">
        <v>0</v>
      </c>
      <c r="AZ4" s="436">
        <v>0</v>
      </c>
      <c r="BA4" s="436">
        <v>0</v>
      </c>
      <c r="BB4" s="436">
        <v>0</v>
      </c>
      <c r="BC4" s="436">
        <v>0</v>
      </c>
      <c r="BD4" s="436">
        <v>0</v>
      </c>
      <c r="BE4" s="436">
        <v>0</v>
      </c>
      <c r="BF4" s="436">
        <v>0</v>
      </c>
      <c r="BG4" s="436">
        <v>0</v>
      </c>
      <c r="BH4" s="436">
        <v>0</v>
      </c>
      <c r="BI4" s="436">
        <v>0</v>
      </c>
      <c r="BJ4" s="436">
        <v>0</v>
      </c>
      <c r="BK4" s="436">
        <v>0</v>
      </c>
      <c r="BL4" s="436">
        <v>0</v>
      </c>
      <c r="BM4" s="436">
        <v>0</v>
      </c>
      <c r="BN4" s="436">
        <v>0</v>
      </c>
      <c r="BO4" s="436">
        <v>0</v>
      </c>
      <c r="BP4" s="436">
        <v>0</v>
      </c>
      <c r="BQ4" s="441">
        <v>5392</v>
      </c>
      <c r="BR4" s="436">
        <v>0</v>
      </c>
      <c r="BS4" s="436">
        <v>0</v>
      </c>
      <c r="BT4" s="436">
        <v>0</v>
      </c>
      <c r="BU4" s="436">
        <v>0</v>
      </c>
      <c r="BV4" s="436">
        <v>0</v>
      </c>
      <c r="BW4" s="436">
        <v>0</v>
      </c>
      <c r="BX4" s="436">
        <v>0</v>
      </c>
      <c r="BY4" s="436">
        <v>0</v>
      </c>
      <c r="BZ4" s="436">
        <v>0</v>
      </c>
      <c r="CA4" s="436">
        <v>0</v>
      </c>
      <c r="CB4" s="436">
        <v>0</v>
      </c>
      <c r="CC4" s="436">
        <v>0</v>
      </c>
      <c r="CD4" s="436">
        <v>0</v>
      </c>
      <c r="CE4" s="436">
        <v>0</v>
      </c>
      <c r="CF4" s="436">
        <v>0</v>
      </c>
      <c r="CG4" s="436">
        <v>0</v>
      </c>
      <c r="CH4" s="436">
        <v>0</v>
      </c>
      <c r="CI4" s="436">
        <v>0</v>
      </c>
      <c r="CJ4" s="436">
        <v>0</v>
      </c>
      <c r="CK4" s="436">
        <v>0</v>
      </c>
      <c r="CL4" s="436">
        <v>0</v>
      </c>
      <c r="CM4" s="436">
        <v>0</v>
      </c>
      <c r="CN4" s="436">
        <v>0</v>
      </c>
      <c r="CO4" s="436">
        <v>0</v>
      </c>
      <c r="CP4" s="436">
        <v>0</v>
      </c>
      <c r="CQ4" s="436">
        <v>0</v>
      </c>
      <c r="CR4" s="436">
        <v>0</v>
      </c>
      <c r="CS4" s="436">
        <v>0</v>
      </c>
      <c r="CT4" s="436">
        <v>0</v>
      </c>
      <c r="CU4" s="436">
        <v>0</v>
      </c>
      <c r="CV4" s="436">
        <v>0</v>
      </c>
      <c r="CW4" s="436">
        <v>0</v>
      </c>
      <c r="CX4" s="436">
        <v>0</v>
      </c>
      <c r="CY4" s="436">
        <v>0</v>
      </c>
      <c r="CZ4" s="436">
        <v>0</v>
      </c>
      <c r="DA4" s="436">
        <v>0</v>
      </c>
      <c r="DB4" s="436">
        <v>0</v>
      </c>
      <c r="DC4" s="436">
        <v>0</v>
      </c>
      <c r="DD4" s="436">
        <v>0</v>
      </c>
      <c r="DE4" s="436">
        <v>0</v>
      </c>
      <c r="DF4" s="436">
        <v>0</v>
      </c>
      <c r="DG4" s="436">
        <v>0</v>
      </c>
      <c r="DH4" s="436">
        <v>0</v>
      </c>
      <c r="DI4" s="436">
        <v>0</v>
      </c>
      <c r="DJ4" s="436">
        <v>0</v>
      </c>
      <c r="DK4" s="441">
        <v>5392</v>
      </c>
      <c r="DL4" s="436">
        <v>0</v>
      </c>
      <c r="DM4" s="436">
        <v>0</v>
      </c>
      <c r="DN4" s="436">
        <v>0</v>
      </c>
      <c r="DO4" s="436">
        <v>0</v>
      </c>
      <c r="DP4" s="436">
        <v>0</v>
      </c>
      <c r="DQ4" s="436">
        <v>0</v>
      </c>
      <c r="DR4" s="436">
        <v>0</v>
      </c>
      <c r="DS4" s="436">
        <v>0</v>
      </c>
      <c r="DT4" s="436">
        <v>0</v>
      </c>
      <c r="DU4" s="436">
        <v>0</v>
      </c>
      <c r="DV4" s="436">
        <v>0</v>
      </c>
      <c r="DW4" s="436">
        <v>0</v>
      </c>
      <c r="DX4" s="436">
        <v>0</v>
      </c>
      <c r="DY4" s="436">
        <v>0</v>
      </c>
      <c r="DZ4" s="436">
        <v>0</v>
      </c>
      <c r="EA4" s="436">
        <v>0</v>
      </c>
      <c r="EB4" s="436">
        <v>0</v>
      </c>
      <c r="EC4" s="436">
        <v>0</v>
      </c>
      <c r="ED4" s="436">
        <v>0</v>
      </c>
      <c r="EE4" s="436">
        <v>0</v>
      </c>
      <c r="EF4" s="436">
        <v>0</v>
      </c>
      <c r="EG4" s="436">
        <v>0</v>
      </c>
      <c r="EH4" s="436">
        <v>0</v>
      </c>
      <c r="EI4" s="436">
        <v>0</v>
      </c>
      <c r="EJ4" s="436">
        <v>0</v>
      </c>
      <c r="EK4" s="436">
        <v>0</v>
      </c>
      <c r="EL4" s="436">
        <v>0</v>
      </c>
      <c r="EM4" s="436">
        <v>0</v>
      </c>
      <c r="EN4" s="436">
        <v>0</v>
      </c>
      <c r="EO4" s="436">
        <v>0</v>
      </c>
      <c r="EP4" s="436">
        <v>0</v>
      </c>
      <c r="EQ4" s="436">
        <v>0</v>
      </c>
      <c r="ER4" s="436">
        <v>0</v>
      </c>
      <c r="ES4" s="436">
        <v>0</v>
      </c>
      <c r="ET4" s="436">
        <v>0</v>
      </c>
      <c r="EU4" s="436">
        <v>0</v>
      </c>
      <c r="EV4" s="436">
        <v>0</v>
      </c>
      <c r="EW4" s="436">
        <v>0</v>
      </c>
      <c r="EX4" s="436">
        <v>0</v>
      </c>
      <c r="EY4" s="436">
        <v>0</v>
      </c>
      <c r="EZ4" s="436">
        <v>0</v>
      </c>
      <c r="FA4" s="436">
        <v>0</v>
      </c>
      <c r="FB4" s="436">
        <v>0</v>
      </c>
      <c r="FC4" s="436">
        <v>0</v>
      </c>
      <c r="FD4" s="436">
        <v>0</v>
      </c>
      <c r="FE4" s="436">
        <v>0</v>
      </c>
      <c r="FF4" s="436">
        <v>0</v>
      </c>
      <c r="FG4" s="441">
        <v>5.7854999999999997E-2</v>
      </c>
      <c r="FH4" s="441">
        <v>5.2366000000000003E-2</v>
      </c>
      <c r="FI4" s="436">
        <v>0</v>
      </c>
      <c r="FJ4" s="436">
        <v>0</v>
      </c>
      <c r="FK4" s="436">
        <v>0</v>
      </c>
      <c r="FL4" s="436">
        <v>0</v>
      </c>
      <c r="FM4" s="436">
        <v>0</v>
      </c>
      <c r="FN4" s="436">
        <v>0</v>
      </c>
      <c r="FO4" s="436">
        <v>0</v>
      </c>
      <c r="FP4" s="436">
        <v>0</v>
      </c>
      <c r="FQ4" s="436">
        <v>0</v>
      </c>
      <c r="FR4" s="436">
        <v>0</v>
      </c>
      <c r="FS4" s="436">
        <v>0</v>
      </c>
      <c r="FT4" s="436">
        <v>0</v>
      </c>
      <c r="FU4" s="436">
        <v>0</v>
      </c>
      <c r="FV4" s="436">
        <v>0</v>
      </c>
      <c r="FW4" s="436">
        <v>0</v>
      </c>
      <c r="FX4" s="436">
        <v>0</v>
      </c>
      <c r="FY4" s="436">
        <v>0</v>
      </c>
      <c r="FZ4" s="436">
        <v>0</v>
      </c>
      <c r="GA4" s="436">
        <v>0</v>
      </c>
      <c r="GB4" s="436">
        <v>0</v>
      </c>
      <c r="GC4" s="436">
        <v>0</v>
      </c>
      <c r="GD4" s="436">
        <v>0</v>
      </c>
      <c r="GE4" s="436">
        <v>0</v>
      </c>
      <c r="GF4" s="436">
        <v>0</v>
      </c>
      <c r="GG4" s="436">
        <v>0</v>
      </c>
      <c r="GH4" s="436">
        <v>0</v>
      </c>
      <c r="GI4" s="436">
        <v>0</v>
      </c>
      <c r="GJ4" s="436">
        <v>0</v>
      </c>
      <c r="GK4" s="436">
        <v>0</v>
      </c>
      <c r="GL4" s="436">
        <v>0</v>
      </c>
      <c r="GM4" s="436">
        <v>0</v>
      </c>
      <c r="GN4" s="436">
        <v>0</v>
      </c>
      <c r="GO4" s="436">
        <v>0</v>
      </c>
      <c r="GP4" s="436">
        <v>0</v>
      </c>
      <c r="GQ4" s="436">
        <v>0</v>
      </c>
      <c r="GR4" s="436">
        <v>0</v>
      </c>
      <c r="GS4" s="436">
        <v>0</v>
      </c>
      <c r="GT4" s="436">
        <v>0</v>
      </c>
      <c r="GU4" s="436">
        <v>0</v>
      </c>
      <c r="GV4" s="436">
        <v>0</v>
      </c>
      <c r="GW4" s="436">
        <v>0</v>
      </c>
      <c r="GX4" s="436">
        <v>0</v>
      </c>
      <c r="GY4" s="436">
        <v>0</v>
      </c>
      <c r="GZ4" s="436">
        <v>0</v>
      </c>
      <c r="HA4" s="436">
        <v>0</v>
      </c>
      <c r="HB4" s="436">
        <v>0</v>
      </c>
      <c r="HC4" s="441">
        <v>6.0754000000000002E-2</v>
      </c>
      <c r="HD4" s="436">
        <v>0</v>
      </c>
    </row>
    <row r="5" spans="1:212" s="436" customFormat="1" x14ac:dyDescent="0.2">
      <c r="B5" s="436">
        <v>15839</v>
      </c>
      <c r="C5" s="436">
        <v>0</v>
      </c>
      <c r="D5" s="436">
        <v>0</v>
      </c>
      <c r="E5" s="436">
        <v>0</v>
      </c>
      <c r="F5" s="436">
        <v>0</v>
      </c>
      <c r="G5" s="436">
        <v>0</v>
      </c>
      <c r="H5" s="436">
        <v>0</v>
      </c>
      <c r="I5" s="436">
        <v>0</v>
      </c>
      <c r="J5" s="436">
        <v>0</v>
      </c>
      <c r="K5" s="436">
        <v>0</v>
      </c>
      <c r="L5" s="437">
        <v>6544</v>
      </c>
      <c r="M5" s="436">
        <v>0</v>
      </c>
      <c r="N5" s="436">
        <v>0</v>
      </c>
      <c r="O5" s="436">
        <v>0</v>
      </c>
      <c r="P5" s="436">
        <v>0</v>
      </c>
      <c r="Q5" s="436">
        <v>0</v>
      </c>
      <c r="R5" s="436">
        <v>0</v>
      </c>
      <c r="S5" s="437">
        <v>247.58699999999999</v>
      </c>
      <c r="T5" s="436">
        <v>0</v>
      </c>
      <c r="U5" s="436">
        <v>0</v>
      </c>
      <c r="V5" s="436">
        <v>0</v>
      </c>
      <c r="W5" s="436">
        <v>0</v>
      </c>
      <c r="X5" s="436">
        <v>0</v>
      </c>
      <c r="Y5" s="436">
        <v>0</v>
      </c>
      <c r="Z5" s="436">
        <v>0</v>
      </c>
      <c r="AA5" s="436">
        <v>0</v>
      </c>
      <c r="AB5" s="436">
        <v>0</v>
      </c>
      <c r="AC5" s="436">
        <v>0</v>
      </c>
      <c r="AD5" s="436">
        <v>0</v>
      </c>
      <c r="AE5" s="436">
        <v>0</v>
      </c>
      <c r="AF5" s="436">
        <v>0</v>
      </c>
      <c r="AG5" s="436">
        <v>0</v>
      </c>
      <c r="AH5" s="436">
        <v>0</v>
      </c>
      <c r="AI5" s="436">
        <v>0</v>
      </c>
      <c r="AJ5" s="437">
        <v>5105</v>
      </c>
      <c r="AK5" s="436">
        <v>0</v>
      </c>
      <c r="AL5" s="438" t="s">
        <v>667</v>
      </c>
      <c r="AM5" s="436">
        <v>0</v>
      </c>
      <c r="AN5" s="436">
        <v>0</v>
      </c>
      <c r="AO5" s="436">
        <v>0</v>
      </c>
      <c r="AP5" s="436">
        <v>0</v>
      </c>
      <c r="AQ5" s="436">
        <v>0</v>
      </c>
      <c r="AR5" s="436">
        <v>0</v>
      </c>
      <c r="AS5" s="436">
        <v>0</v>
      </c>
      <c r="AT5" s="436">
        <v>0</v>
      </c>
      <c r="AU5" s="436">
        <v>0</v>
      </c>
      <c r="AV5" s="436">
        <v>0</v>
      </c>
      <c r="AW5" s="436">
        <v>0</v>
      </c>
      <c r="AX5" s="436">
        <v>0</v>
      </c>
      <c r="AY5" s="436">
        <v>0</v>
      </c>
      <c r="AZ5" s="436">
        <v>0</v>
      </c>
      <c r="BA5" s="436">
        <v>0</v>
      </c>
      <c r="BB5" s="436">
        <v>0</v>
      </c>
      <c r="BC5" s="436">
        <v>0</v>
      </c>
      <c r="BD5" s="436">
        <v>0</v>
      </c>
      <c r="BE5" s="436">
        <v>0</v>
      </c>
      <c r="BF5" s="436">
        <v>0</v>
      </c>
      <c r="BG5" s="436">
        <v>0</v>
      </c>
      <c r="BH5" s="436">
        <v>0</v>
      </c>
      <c r="BI5" s="436">
        <v>0</v>
      </c>
      <c r="BJ5" s="436">
        <v>0</v>
      </c>
      <c r="BK5" s="436">
        <v>0</v>
      </c>
      <c r="BL5" s="436">
        <v>0</v>
      </c>
      <c r="BM5" s="436">
        <v>0</v>
      </c>
      <c r="BN5" s="436">
        <v>0</v>
      </c>
      <c r="BO5" s="436">
        <v>0</v>
      </c>
      <c r="BP5" s="436">
        <v>0</v>
      </c>
      <c r="BQ5" s="437">
        <v>5392</v>
      </c>
      <c r="BR5" s="436">
        <v>0</v>
      </c>
      <c r="BS5" s="436">
        <v>0</v>
      </c>
      <c r="BT5" s="436">
        <v>0</v>
      </c>
      <c r="BU5" s="436">
        <v>0</v>
      </c>
      <c r="BV5" s="436">
        <v>0</v>
      </c>
      <c r="BW5" s="436">
        <v>0</v>
      </c>
      <c r="BX5" s="436">
        <v>0</v>
      </c>
      <c r="BY5" s="436">
        <v>0</v>
      </c>
      <c r="BZ5" s="436">
        <v>0</v>
      </c>
      <c r="CA5" s="436">
        <v>0</v>
      </c>
      <c r="CB5" s="436">
        <v>0</v>
      </c>
      <c r="CC5" s="436">
        <v>0</v>
      </c>
      <c r="CD5" s="436">
        <v>0</v>
      </c>
      <c r="CE5" s="436">
        <v>0</v>
      </c>
      <c r="CF5" s="436">
        <v>0</v>
      </c>
      <c r="CG5" s="436">
        <v>0</v>
      </c>
      <c r="CH5" s="436">
        <v>0</v>
      </c>
      <c r="CI5" s="436">
        <v>0</v>
      </c>
      <c r="CJ5" s="436">
        <v>0</v>
      </c>
      <c r="CK5" s="436">
        <v>0</v>
      </c>
      <c r="CL5" s="436">
        <v>0</v>
      </c>
      <c r="CM5" s="436">
        <v>0</v>
      </c>
      <c r="CN5" s="436">
        <v>0</v>
      </c>
      <c r="CO5" s="436">
        <v>0</v>
      </c>
      <c r="CP5" s="436">
        <v>0</v>
      </c>
      <c r="CQ5" s="436">
        <v>0</v>
      </c>
      <c r="CR5" s="436">
        <v>0</v>
      </c>
      <c r="CS5" s="436">
        <v>0</v>
      </c>
      <c r="CT5" s="436">
        <v>0</v>
      </c>
      <c r="CU5" s="436">
        <v>0</v>
      </c>
      <c r="CV5" s="436">
        <v>0</v>
      </c>
      <c r="CW5" s="436">
        <v>0</v>
      </c>
      <c r="CX5" s="436">
        <v>0</v>
      </c>
      <c r="CY5" s="436">
        <v>0</v>
      </c>
      <c r="CZ5" s="436">
        <v>0</v>
      </c>
      <c r="DA5" s="436">
        <v>0</v>
      </c>
      <c r="DB5" s="436">
        <v>0</v>
      </c>
      <c r="DC5" s="436">
        <v>0</v>
      </c>
      <c r="DD5" s="436">
        <v>0</v>
      </c>
      <c r="DE5" s="436">
        <v>0</v>
      </c>
      <c r="DF5" s="436">
        <v>0</v>
      </c>
      <c r="DG5" s="436">
        <v>0</v>
      </c>
      <c r="DH5" s="436">
        <v>0</v>
      </c>
      <c r="DI5" s="436">
        <v>0</v>
      </c>
      <c r="DJ5" s="436">
        <v>0</v>
      </c>
      <c r="DK5" s="437">
        <v>5392</v>
      </c>
      <c r="DL5" s="436">
        <v>0</v>
      </c>
      <c r="DM5" s="436">
        <v>0</v>
      </c>
      <c r="DN5" s="436">
        <v>0</v>
      </c>
      <c r="DO5" s="436">
        <v>0</v>
      </c>
      <c r="DP5" s="436">
        <v>0</v>
      </c>
      <c r="DQ5" s="436">
        <v>0</v>
      </c>
      <c r="DR5" s="436">
        <v>0</v>
      </c>
      <c r="DS5" s="436">
        <v>0</v>
      </c>
      <c r="DT5" s="436">
        <v>0</v>
      </c>
      <c r="DU5" s="436">
        <v>0</v>
      </c>
      <c r="DV5" s="436">
        <v>0</v>
      </c>
      <c r="DW5" s="436">
        <v>0</v>
      </c>
      <c r="DX5" s="436">
        <v>0</v>
      </c>
      <c r="DY5" s="436">
        <v>0</v>
      </c>
      <c r="DZ5" s="436">
        <v>0</v>
      </c>
      <c r="EA5" s="436">
        <v>0</v>
      </c>
      <c r="EB5" s="436">
        <v>0</v>
      </c>
      <c r="EC5" s="436">
        <v>0</v>
      </c>
      <c r="ED5" s="436">
        <v>0</v>
      </c>
      <c r="EE5" s="436">
        <v>0</v>
      </c>
      <c r="EF5" s="436">
        <v>0</v>
      </c>
      <c r="EG5" s="436">
        <v>0</v>
      </c>
      <c r="EH5" s="436">
        <v>0</v>
      </c>
      <c r="EI5" s="436">
        <v>0</v>
      </c>
      <c r="EJ5" s="436">
        <v>0</v>
      </c>
      <c r="EK5" s="436">
        <v>0</v>
      </c>
      <c r="EL5" s="436">
        <v>0</v>
      </c>
      <c r="EM5" s="436">
        <v>0</v>
      </c>
      <c r="EN5" s="436">
        <v>0</v>
      </c>
      <c r="EO5" s="436">
        <v>0</v>
      </c>
      <c r="EP5" s="436">
        <v>0</v>
      </c>
      <c r="EQ5" s="436">
        <v>0</v>
      </c>
      <c r="ER5" s="436">
        <v>0</v>
      </c>
      <c r="ES5" s="436">
        <v>0</v>
      </c>
      <c r="ET5" s="436">
        <v>0</v>
      </c>
      <c r="EU5" s="436">
        <v>0</v>
      </c>
      <c r="EV5" s="436">
        <v>0</v>
      </c>
      <c r="EW5" s="436">
        <v>0</v>
      </c>
      <c r="EX5" s="436">
        <v>0</v>
      </c>
      <c r="EY5" s="436">
        <v>0</v>
      </c>
      <c r="EZ5" s="436">
        <v>0</v>
      </c>
      <c r="FA5" s="436">
        <v>0</v>
      </c>
      <c r="FB5" s="436">
        <v>0</v>
      </c>
      <c r="FC5" s="436">
        <v>0</v>
      </c>
      <c r="FD5" s="436">
        <v>0</v>
      </c>
      <c r="FE5" s="436">
        <v>0</v>
      </c>
      <c r="FF5" s="436">
        <v>0</v>
      </c>
      <c r="FG5" s="437">
        <v>5.7854999999999997E-2</v>
      </c>
      <c r="FH5" s="437">
        <v>5.2366000000000003E-2</v>
      </c>
      <c r="FI5" s="436">
        <v>0</v>
      </c>
      <c r="FJ5" s="436">
        <v>0</v>
      </c>
      <c r="FK5" s="436">
        <v>0</v>
      </c>
      <c r="FL5" s="436">
        <v>0</v>
      </c>
      <c r="FM5" s="436">
        <v>0</v>
      </c>
      <c r="FN5" s="436">
        <v>0</v>
      </c>
      <c r="FO5" s="436">
        <v>0</v>
      </c>
      <c r="FP5" s="436">
        <v>0</v>
      </c>
      <c r="FQ5" s="436">
        <v>0</v>
      </c>
      <c r="FR5" s="436">
        <v>0</v>
      </c>
      <c r="FS5" s="436">
        <v>0</v>
      </c>
      <c r="FT5" s="436">
        <v>0</v>
      </c>
      <c r="FU5" s="436">
        <v>0</v>
      </c>
      <c r="FV5" s="436">
        <v>0</v>
      </c>
      <c r="FW5" s="436">
        <v>0</v>
      </c>
      <c r="FX5" s="436">
        <v>0</v>
      </c>
      <c r="FY5" s="436">
        <v>0</v>
      </c>
      <c r="FZ5" s="436">
        <v>0</v>
      </c>
      <c r="GA5" s="436">
        <v>0</v>
      </c>
      <c r="GB5" s="436">
        <v>0</v>
      </c>
      <c r="GC5" s="436">
        <v>0</v>
      </c>
      <c r="GD5" s="436">
        <v>0</v>
      </c>
      <c r="GE5" s="436">
        <v>0</v>
      </c>
      <c r="GF5" s="436">
        <v>0</v>
      </c>
      <c r="GG5" s="436">
        <v>0</v>
      </c>
      <c r="GH5" s="436">
        <v>0</v>
      </c>
      <c r="GI5" s="436">
        <v>0</v>
      </c>
      <c r="GJ5" s="436">
        <v>0</v>
      </c>
      <c r="GK5" s="436">
        <v>0</v>
      </c>
      <c r="GL5" s="436">
        <v>0</v>
      </c>
      <c r="GM5" s="436">
        <v>0</v>
      </c>
      <c r="GN5" s="436">
        <v>0</v>
      </c>
      <c r="GO5" s="436">
        <v>0</v>
      </c>
      <c r="GP5" s="436">
        <v>0</v>
      </c>
      <c r="GQ5" s="436">
        <v>0</v>
      </c>
      <c r="GR5" s="436">
        <v>0</v>
      </c>
      <c r="GS5" s="436">
        <v>0</v>
      </c>
      <c r="GT5" s="436">
        <v>0</v>
      </c>
      <c r="GU5" s="436">
        <v>0</v>
      </c>
      <c r="GV5" s="436">
        <v>0</v>
      </c>
      <c r="GW5" s="436">
        <v>0</v>
      </c>
      <c r="GX5" s="436">
        <v>0</v>
      </c>
      <c r="GY5" s="436">
        <v>0</v>
      </c>
      <c r="GZ5" s="436">
        <v>0</v>
      </c>
      <c r="HA5" s="436">
        <v>0</v>
      </c>
      <c r="HB5" s="436">
        <v>0</v>
      </c>
      <c r="HC5" s="437">
        <v>6.0754000000000002E-2</v>
      </c>
      <c r="HD5" s="436">
        <v>0</v>
      </c>
    </row>
    <row r="6" spans="1:212" s="436" customFormat="1" x14ac:dyDescent="0.2">
      <c r="B6" s="436">
        <v>101876</v>
      </c>
      <c r="C6" s="436">
        <v>0</v>
      </c>
      <c r="D6" s="436">
        <v>0</v>
      </c>
      <c r="E6" s="436">
        <v>0</v>
      </c>
      <c r="F6" s="436">
        <v>0</v>
      </c>
      <c r="G6" s="436">
        <v>0</v>
      </c>
      <c r="H6" s="436">
        <v>0</v>
      </c>
      <c r="I6" s="436">
        <v>0</v>
      </c>
      <c r="J6" s="436">
        <v>0</v>
      </c>
      <c r="K6" s="436">
        <v>0</v>
      </c>
      <c r="L6" s="437">
        <v>6544</v>
      </c>
      <c r="M6" s="436">
        <v>0</v>
      </c>
      <c r="N6" s="436">
        <v>0</v>
      </c>
      <c r="O6" s="436">
        <v>0</v>
      </c>
      <c r="P6" s="436">
        <v>0</v>
      </c>
      <c r="Q6" s="436">
        <v>0</v>
      </c>
      <c r="R6" s="436">
        <v>0</v>
      </c>
      <c r="S6" s="437">
        <v>247.58699999999999</v>
      </c>
      <c r="T6" s="436">
        <v>0</v>
      </c>
      <c r="U6" s="436">
        <v>0</v>
      </c>
      <c r="V6" s="436">
        <v>0</v>
      </c>
      <c r="W6" s="436">
        <v>0</v>
      </c>
      <c r="X6" s="436">
        <v>0</v>
      </c>
      <c r="Y6" s="436">
        <v>0</v>
      </c>
      <c r="Z6" s="436">
        <v>0</v>
      </c>
      <c r="AA6" s="436">
        <v>0</v>
      </c>
      <c r="AB6" s="436">
        <v>0</v>
      </c>
      <c r="AC6" s="436">
        <v>0</v>
      </c>
      <c r="AD6" s="436">
        <v>0</v>
      </c>
      <c r="AE6" s="436">
        <v>0</v>
      </c>
      <c r="AF6" s="436">
        <v>0</v>
      </c>
      <c r="AG6" s="436">
        <v>0</v>
      </c>
      <c r="AH6" s="436">
        <v>0</v>
      </c>
      <c r="AI6" s="436">
        <v>0</v>
      </c>
      <c r="AJ6" s="437">
        <v>5105</v>
      </c>
      <c r="AK6" s="436">
        <v>0</v>
      </c>
      <c r="AL6" s="438" t="s">
        <v>668</v>
      </c>
      <c r="AM6" s="436">
        <v>0</v>
      </c>
      <c r="AN6" s="436">
        <v>0</v>
      </c>
      <c r="AO6" s="436">
        <v>0</v>
      </c>
      <c r="AP6" s="436">
        <v>0</v>
      </c>
      <c r="AQ6" s="436">
        <v>0</v>
      </c>
      <c r="AR6" s="436">
        <v>0</v>
      </c>
      <c r="AS6" s="436">
        <v>0</v>
      </c>
      <c r="AT6" s="436">
        <v>0</v>
      </c>
      <c r="AU6" s="436">
        <v>0</v>
      </c>
      <c r="AV6" s="436">
        <v>0</v>
      </c>
      <c r="AW6" s="436">
        <v>0</v>
      </c>
      <c r="AX6" s="436">
        <v>0</v>
      </c>
      <c r="AY6" s="436">
        <v>0</v>
      </c>
      <c r="AZ6" s="436">
        <v>0</v>
      </c>
      <c r="BA6" s="436">
        <v>0</v>
      </c>
      <c r="BB6" s="436">
        <v>0</v>
      </c>
      <c r="BC6" s="436">
        <v>0</v>
      </c>
      <c r="BD6" s="436">
        <v>0</v>
      </c>
      <c r="BE6" s="436">
        <v>0</v>
      </c>
      <c r="BF6" s="436">
        <v>0</v>
      </c>
      <c r="BG6" s="436">
        <v>0</v>
      </c>
      <c r="BH6" s="436">
        <v>0</v>
      </c>
      <c r="BI6" s="436">
        <v>0</v>
      </c>
      <c r="BJ6" s="436">
        <v>0</v>
      </c>
      <c r="BK6" s="436">
        <v>0</v>
      </c>
      <c r="BL6" s="436">
        <v>0</v>
      </c>
      <c r="BM6" s="436">
        <v>0</v>
      </c>
      <c r="BN6" s="436">
        <v>0</v>
      </c>
      <c r="BO6" s="436">
        <v>0</v>
      </c>
      <c r="BP6" s="436">
        <v>0</v>
      </c>
      <c r="BQ6" s="437">
        <v>5392</v>
      </c>
      <c r="BR6" s="436">
        <v>0</v>
      </c>
      <c r="BS6" s="436">
        <v>0</v>
      </c>
      <c r="BT6" s="436">
        <v>0</v>
      </c>
      <c r="BU6" s="436">
        <v>0</v>
      </c>
      <c r="BV6" s="436">
        <v>0</v>
      </c>
      <c r="BW6" s="436">
        <v>0</v>
      </c>
      <c r="BX6" s="436">
        <v>0</v>
      </c>
      <c r="BY6" s="436">
        <v>0</v>
      </c>
      <c r="BZ6" s="436">
        <v>0</v>
      </c>
      <c r="CA6" s="436">
        <v>0</v>
      </c>
      <c r="CB6" s="436">
        <v>0</v>
      </c>
      <c r="CC6" s="436">
        <v>0</v>
      </c>
      <c r="CD6" s="436">
        <v>0</v>
      </c>
      <c r="CE6" s="436">
        <v>0</v>
      </c>
      <c r="CF6" s="436">
        <v>0</v>
      </c>
      <c r="CG6" s="436">
        <v>0</v>
      </c>
      <c r="CH6" s="436">
        <v>0</v>
      </c>
      <c r="CI6" s="436">
        <v>0</v>
      </c>
      <c r="CJ6" s="436">
        <v>0</v>
      </c>
      <c r="CK6" s="436">
        <v>0</v>
      </c>
      <c r="CL6" s="436">
        <v>0</v>
      </c>
      <c r="CM6" s="436">
        <v>0</v>
      </c>
      <c r="CN6" s="436">
        <v>0</v>
      </c>
      <c r="CO6" s="436">
        <v>0</v>
      </c>
      <c r="CP6" s="436">
        <v>0</v>
      </c>
      <c r="CQ6" s="436">
        <v>0</v>
      </c>
      <c r="CR6" s="436">
        <v>0</v>
      </c>
      <c r="CS6" s="436">
        <v>0</v>
      </c>
      <c r="CT6" s="436">
        <v>0</v>
      </c>
      <c r="CU6" s="436">
        <v>0</v>
      </c>
      <c r="CV6" s="436">
        <v>0</v>
      </c>
      <c r="CW6" s="436">
        <v>0</v>
      </c>
      <c r="CX6" s="436">
        <v>0</v>
      </c>
      <c r="CY6" s="436">
        <v>0</v>
      </c>
      <c r="CZ6" s="436">
        <v>0</v>
      </c>
      <c r="DA6" s="436">
        <v>0</v>
      </c>
      <c r="DB6" s="436">
        <v>0</v>
      </c>
      <c r="DC6" s="436">
        <v>0</v>
      </c>
      <c r="DD6" s="436">
        <v>0</v>
      </c>
      <c r="DE6" s="436">
        <v>0</v>
      </c>
      <c r="DF6" s="436">
        <v>0</v>
      </c>
      <c r="DG6" s="436">
        <v>0</v>
      </c>
      <c r="DH6" s="436">
        <v>0</v>
      </c>
      <c r="DI6" s="436">
        <v>0</v>
      </c>
      <c r="DJ6" s="436">
        <v>0</v>
      </c>
      <c r="DK6" s="437">
        <v>5392</v>
      </c>
      <c r="DL6" s="436">
        <v>0</v>
      </c>
      <c r="DM6" s="436">
        <v>0</v>
      </c>
      <c r="DN6" s="436">
        <v>0</v>
      </c>
      <c r="DO6" s="436">
        <v>0</v>
      </c>
      <c r="DP6" s="436">
        <v>0</v>
      </c>
      <c r="DQ6" s="436">
        <v>0</v>
      </c>
      <c r="DR6" s="436">
        <v>0</v>
      </c>
      <c r="DS6" s="436">
        <v>0</v>
      </c>
      <c r="DT6" s="436">
        <v>0</v>
      </c>
      <c r="DU6" s="436">
        <v>0</v>
      </c>
      <c r="DV6" s="436">
        <v>0</v>
      </c>
      <c r="DW6" s="436">
        <v>0</v>
      </c>
      <c r="DX6" s="436">
        <v>0</v>
      </c>
      <c r="DY6" s="436">
        <v>0</v>
      </c>
      <c r="DZ6" s="436">
        <v>0</v>
      </c>
      <c r="EA6" s="436">
        <v>0</v>
      </c>
      <c r="EB6" s="436">
        <v>0</v>
      </c>
      <c r="EC6" s="436">
        <v>0</v>
      </c>
      <c r="ED6" s="436">
        <v>0</v>
      </c>
      <c r="EE6" s="436">
        <v>0</v>
      </c>
      <c r="EF6" s="436">
        <v>0</v>
      </c>
      <c r="EG6" s="436">
        <v>0</v>
      </c>
      <c r="EH6" s="436">
        <v>0</v>
      </c>
      <c r="EI6" s="436">
        <v>0</v>
      </c>
      <c r="EJ6" s="436">
        <v>0</v>
      </c>
      <c r="EK6" s="436">
        <v>0</v>
      </c>
      <c r="EL6" s="436">
        <v>0</v>
      </c>
      <c r="EM6" s="436">
        <v>0</v>
      </c>
      <c r="EN6" s="436">
        <v>0</v>
      </c>
      <c r="EO6" s="436">
        <v>0</v>
      </c>
      <c r="EP6" s="436">
        <v>0</v>
      </c>
      <c r="EQ6" s="436">
        <v>0</v>
      </c>
      <c r="ER6" s="436">
        <v>0</v>
      </c>
      <c r="ES6" s="436">
        <v>0</v>
      </c>
      <c r="ET6" s="436">
        <v>0</v>
      </c>
      <c r="EU6" s="436">
        <v>0</v>
      </c>
      <c r="EV6" s="436">
        <v>0</v>
      </c>
      <c r="EW6" s="436">
        <v>0</v>
      </c>
      <c r="EX6" s="436">
        <v>0</v>
      </c>
      <c r="EY6" s="436">
        <v>0</v>
      </c>
      <c r="EZ6" s="436">
        <v>0</v>
      </c>
      <c r="FA6" s="436">
        <v>0</v>
      </c>
      <c r="FB6" s="436">
        <v>0</v>
      </c>
      <c r="FC6" s="436">
        <v>0</v>
      </c>
      <c r="FD6" s="436">
        <v>0</v>
      </c>
      <c r="FE6" s="436">
        <v>0</v>
      </c>
      <c r="FF6" s="436">
        <v>0</v>
      </c>
      <c r="FG6" s="437">
        <v>5.7854999999999997E-2</v>
      </c>
      <c r="FH6" s="437">
        <v>5.2366000000000003E-2</v>
      </c>
      <c r="FI6" s="436">
        <v>0</v>
      </c>
      <c r="FJ6" s="436">
        <v>0</v>
      </c>
      <c r="FK6" s="436">
        <v>0</v>
      </c>
      <c r="FL6" s="436">
        <v>0</v>
      </c>
      <c r="FM6" s="436">
        <v>0</v>
      </c>
      <c r="FN6" s="436">
        <v>0</v>
      </c>
      <c r="FO6" s="436">
        <v>0</v>
      </c>
      <c r="FP6" s="436">
        <v>0</v>
      </c>
      <c r="FQ6" s="436">
        <v>0</v>
      </c>
      <c r="FR6" s="436">
        <v>0</v>
      </c>
      <c r="FS6" s="436">
        <v>0</v>
      </c>
      <c r="FT6" s="436">
        <v>0</v>
      </c>
      <c r="FU6" s="436">
        <v>0</v>
      </c>
      <c r="FV6" s="436">
        <v>0</v>
      </c>
      <c r="FW6" s="436">
        <v>0</v>
      </c>
      <c r="FX6" s="436">
        <v>0</v>
      </c>
      <c r="FY6" s="436">
        <v>0</v>
      </c>
      <c r="FZ6" s="436">
        <v>0</v>
      </c>
      <c r="GA6" s="436">
        <v>0</v>
      </c>
      <c r="GB6" s="436">
        <v>0</v>
      </c>
      <c r="GC6" s="436">
        <v>0</v>
      </c>
      <c r="GD6" s="436">
        <v>0</v>
      </c>
      <c r="GE6" s="436">
        <v>0</v>
      </c>
      <c r="GF6" s="436">
        <v>0</v>
      </c>
      <c r="GG6" s="436">
        <v>0</v>
      </c>
      <c r="GH6" s="436">
        <v>0</v>
      </c>
      <c r="GI6" s="436">
        <v>0</v>
      </c>
      <c r="GJ6" s="436">
        <v>0</v>
      </c>
      <c r="GK6" s="436">
        <v>0</v>
      </c>
      <c r="GL6" s="436">
        <v>0</v>
      </c>
      <c r="GM6" s="436">
        <v>0</v>
      </c>
      <c r="GN6" s="436">
        <v>0</v>
      </c>
      <c r="GO6" s="436">
        <v>0</v>
      </c>
      <c r="GP6" s="436">
        <v>0</v>
      </c>
      <c r="GQ6" s="436">
        <v>0</v>
      </c>
      <c r="GR6" s="436">
        <v>0</v>
      </c>
      <c r="GS6" s="436">
        <v>0</v>
      </c>
      <c r="GT6" s="436">
        <v>0</v>
      </c>
      <c r="GU6" s="436">
        <v>0</v>
      </c>
      <c r="GV6" s="436">
        <v>0</v>
      </c>
      <c r="GW6" s="436">
        <v>0</v>
      </c>
      <c r="GX6" s="436">
        <v>0</v>
      </c>
      <c r="GY6" s="436">
        <v>0</v>
      </c>
      <c r="GZ6" s="436">
        <v>0</v>
      </c>
      <c r="HA6" s="436">
        <v>0</v>
      </c>
      <c r="HB6" s="436">
        <v>0</v>
      </c>
      <c r="HC6" s="437">
        <v>6.0754000000000002E-2</v>
      </c>
      <c r="HD6" s="436">
        <v>0</v>
      </c>
    </row>
    <row r="7" spans="1:212" s="436" customFormat="1" x14ac:dyDescent="0.2">
      <c r="A7" s="438"/>
      <c r="B7" s="436">
        <v>0</v>
      </c>
      <c r="C7" s="436">
        <v>0</v>
      </c>
      <c r="D7" s="436">
        <v>0</v>
      </c>
      <c r="E7" s="436">
        <v>5392</v>
      </c>
      <c r="F7" s="436">
        <v>0</v>
      </c>
      <c r="G7" s="436">
        <v>0</v>
      </c>
      <c r="H7" s="436">
        <v>0</v>
      </c>
      <c r="I7" s="436">
        <v>0</v>
      </c>
      <c r="J7" s="436">
        <v>0</v>
      </c>
      <c r="K7" s="436">
        <v>0</v>
      </c>
      <c r="L7" s="437">
        <v>6544</v>
      </c>
      <c r="M7" s="436">
        <v>0</v>
      </c>
      <c r="N7" s="436">
        <v>0</v>
      </c>
      <c r="O7" s="436">
        <v>0</v>
      </c>
      <c r="P7" s="436">
        <v>0</v>
      </c>
      <c r="Q7" s="436">
        <v>0</v>
      </c>
      <c r="R7" s="436">
        <v>0</v>
      </c>
      <c r="S7" s="437">
        <v>247.58699999999999</v>
      </c>
      <c r="T7" s="436">
        <v>0</v>
      </c>
      <c r="U7" s="436">
        <v>0</v>
      </c>
      <c r="V7" s="436">
        <v>0</v>
      </c>
      <c r="W7" s="436">
        <v>0</v>
      </c>
      <c r="X7" s="436">
        <v>0</v>
      </c>
      <c r="Y7" s="436">
        <v>0</v>
      </c>
      <c r="Z7" s="436">
        <v>0</v>
      </c>
      <c r="AA7" s="436">
        <v>0</v>
      </c>
      <c r="AB7" s="436">
        <v>0</v>
      </c>
      <c r="AC7" s="436">
        <v>0</v>
      </c>
      <c r="AD7" s="436">
        <v>0</v>
      </c>
      <c r="AE7" s="436">
        <v>0</v>
      </c>
      <c r="AF7" s="436">
        <v>0</v>
      </c>
      <c r="AG7" s="436">
        <v>0</v>
      </c>
      <c r="AH7" s="436">
        <v>0</v>
      </c>
      <c r="AI7" s="436">
        <v>0</v>
      </c>
      <c r="AJ7" s="437">
        <v>5105</v>
      </c>
      <c r="AK7" s="436">
        <v>0</v>
      </c>
      <c r="AL7" s="436" t="s">
        <v>684</v>
      </c>
      <c r="AM7" s="436">
        <v>0</v>
      </c>
      <c r="AN7" s="436">
        <v>0</v>
      </c>
      <c r="AO7" s="436">
        <v>0</v>
      </c>
      <c r="AP7" s="436">
        <v>0</v>
      </c>
      <c r="AQ7" s="436">
        <v>0</v>
      </c>
      <c r="AR7" s="436">
        <v>0</v>
      </c>
      <c r="AS7" s="436">
        <v>0</v>
      </c>
      <c r="AT7" s="436">
        <v>0</v>
      </c>
      <c r="AU7" s="436">
        <v>0</v>
      </c>
      <c r="AV7" s="436">
        <v>0</v>
      </c>
      <c r="AW7" s="436">
        <v>0</v>
      </c>
      <c r="AX7" s="436">
        <v>0</v>
      </c>
      <c r="AY7" s="436">
        <v>0</v>
      </c>
      <c r="AZ7" s="436">
        <v>0</v>
      </c>
      <c r="BA7" s="436">
        <v>0</v>
      </c>
      <c r="BB7" s="436">
        <v>0</v>
      </c>
      <c r="BC7" s="436">
        <v>0</v>
      </c>
      <c r="BD7" s="436">
        <v>0</v>
      </c>
      <c r="BE7" s="436">
        <v>0</v>
      </c>
      <c r="BF7" s="436">
        <v>0</v>
      </c>
      <c r="BG7" s="436">
        <v>0</v>
      </c>
      <c r="BH7" s="436">
        <v>0</v>
      </c>
      <c r="BI7" s="436">
        <v>0</v>
      </c>
      <c r="BJ7" s="436">
        <v>0</v>
      </c>
      <c r="BK7" s="436">
        <v>0</v>
      </c>
      <c r="BL7" s="436">
        <v>0</v>
      </c>
      <c r="BM7" s="436">
        <v>0</v>
      </c>
      <c r="BN7" s="436">
        <v>0</v>
      </c>
      <c r="BO7" s="436">
        <v>0</v>
      </c>
      <c r="BP7" s="436">
        <v>0</v>
      </c>
      <c r="BQ7" s="437">
        <v>5392</v>
      </c>
      <c r="BR7" s="436">
        <v>0</v>
      </c>
      <c r="BS7" s="436">
        <v>0</v>
      </c>
      <c r="BT7" s="436">
        <v>0</v>
      </c>
      <c r="BU7" s="436">
        <v>0</v>
      </c>
      <c r="BV7" s="436">
        <v>0</v>
      </c>
      <c r="BW7" s="436">
        <v>0</v>
      </c>
      <c r="BX7" s="436">
        <v>0</v>
      </c>
      <c r="BY7" s="436">
        <v>0</v>
      </c>
      <c r="BZ7" s="436">
        <v>0</v>
      </c>
      <c r="CA7" s="436">
        <v>0</v>
      </c>
      <c r="CB7" s="436">
        <v>0</v>
      </c>
      <c r="CC7" s="436">
        <v>0</v>
      </c>
      <c r="CD7" s="436">
        <v>0</v>
      </c>
      <c r="CE7" s="436">
        <v>0</v>
      </c>
      <c r="CF7" s="436">
        <v>0</v>
      </c>
      <c r="CG7" s="436">
        <v>0</v>
      </c>
      <c r="CH7" s="436">
        <v>0</v>
      </c>
      <c r="CI7" s="436">
        <v>0</v>
      </c>
      <c r="CJ7" s="436">
        <v>0</v>
      </c>
      <c r="CK7" s="436">
        <v>0</v>
      </c>
      <c r="CL7" s="436">
        <v>0</v>
      </c>
      <c r="CM7" s="436">
        <v>0</v>
      </c>
      <c r="CN7" s="436">
        <v>0</v>
      </c>
      <c r="CO7" s="436">
        <v>0</v>
      </c>
      <c r="CP7" s="436">
        <v>0</v>
      </c>
      <c r="CQ7" s="436">
        <v>0</v>
      </c>
      <c r="CR7" s="436">
        <v>0</v>
      </c>
      <c r="CS7" s="436">
        <v>0</v>
      </c>
      <c r="CT7" s="436">
        <v>0</v>
      </c>
      <c r="CU7" s="436">
        <v>0</v>
      </c>
      <c r="CV7" s="436">
        <v>0</v>
      </c>
      <c r="CW7" s="436">
        <v>0</v>
      </c>
      <c r="CX7" s="436">
        <v>0</v>
      </c>
      <c r="CY7" s="436">
        <v>0</v>
      </c>
      <c r="CZ7" s="436">
        <v>0</v>
      </c>
      <c r="DA7" s="436">
        <v>0</v>
      </c>
      <c r="DB7" s="436">
        <v>0</v>
      </c>
      <c r="DC7" s="436">
        <v>0</v>
      </c>
      <c r="DD7" s="436">
        <v>0</v>
      </c>
      <c r="DE7" s="436">
        <v>0</v>
      </c>
      <c r="DF7" s="436">
        <v>0</v>
      </c>
      <c r="DG7" s="436">
        <v>0</v>
      </c>
      <c r="DH7" s="436">
        <v>0</v>
      </c>
      <c r="DI7" s="436">
        <v>0</v>
      </c>
      <c r="DJ7" s="436">
        <v>0</v>
      </c>
      <c r="DK7" s="437">
        <v>5392</v>
      </c>
      <c r="DL7" s="436">
        <v>0</v>
      </c>
      <c r="DM7" s="436">
        <v>0</v>
      </c>
      <c r="DN7" s="436">
        <v>0</v>
      </c>
      <c r="DO7" s="436">
        <v>0</v>
      </c>
      <c r="DP7" s="436">
        <v>0</v>
      </c>
      <c r="DQ7" s="436">
        <v>0</v>
      </c>
      <c r="DR7" s="436">
        <v>0</v>
      </c>
      <c r="DS7" s="436">
        <v>0</v>
      </c>
      <c r="DT7" s="436">
        <v>0</v>
      </c>
      <c r="DU7" s="436">
        <v>0</v>
      </c>
      <c r="DV7" s="436">
        <v>0</v>
      </c>
      <c r="DW7" s="436">
        <v>0</v>
      </c>
      <c r="DX7" s="436">
        <v>0</v>
      </c>
      <c r="DY7" s="436">
        <v>0</v>
      </c>
      <c r="DZ7" s="436">
        <v>0</v>
      </c>
      <c r="EA7" s="436">
        <v>0</v>
      </c>
      <c r="EB7" s="436">
        <v>0</v>
      </c>
      <c r="EC7" s="436">
        <v>0</v>
      </c>
      <c r="ED7" s="436">
        <v>0</v>
      </c>
      <c r="EE7" s="436">
        <v>0</v>
      </c>
      <c r="EF7" s="436">
        <v>0</v>
      </c>
      <c r="EG7" s="436">
        <v>0</v>
      </c>
      <c r="EH7" s="436">
        <v>0</v>
      </c>
      <c r="EI7" s="436">
        <v>0</v>
      </c>
      <c r="EJ7" s="436">
        <v>0</v>
      </c>
      <c r="EK7" s="436">
        <v>0</v>
      </c>
      <c r="EL7" s="436">
        <v>0</v>
      </c>
      <c r="EM7" s="436">
        <v>0</v>
      </c>
      <c r="EN7" s="436">
        <v>0</v>
      </c>
      <c r="EO7" s="436">
        <v>0</v>
      </c>
      <c r="EP7" s="436">
        <v>0</v>
      </c>
      <c r="EQ7" s="436">
        <v>0</v>
      </c>
      <c r="ER7" s="436">
        <v>0</v>
      </c>
      <c r="ES7" s="436">
        <v>0</v>
      </c>
      <c r="ET7" s="436">
        <v>0</v>
      </c>
      <c r="EU7" s="436">
        <v>0</v>
      </c>
      <c r="EV7" s="436">
        <v>0</v>
      </c>
      <c r="EW7" s="436">
        <v>0</v>
      </c>
      <c r="EX7" s="436">
        <v>0</v>
      </c>
      <c r="EY7" s="436">
        <v>0</v>
      </c>
      <c r="EZ7" s="436">
        <v>0</v>
      </c>
      <c r="FA7" s="436">
        <v>0</v>
      </c>
      <c r="FB7" s="436">
        <v>0</v>
      </c>
      <c r="FC7" s="436">
        <v>0</v>
      </c>
      <c r="FD7" s="436">
        <v>0</v>
      </c>
      <c r="FE7" s="436">
        <v>0</v>
      </c>
      <c r="FF7" s="436">
        <v>0</v>
      </c>
      <c r="FG7" s="437">
        <v>5.7854999999999997E-2</v>
      </c>
      <c r="FH7" s="437">
        <v>5.2366000000000003E-2</v>
      </c>
      <c r="FI7" s="436">
        <v>0</v>
      </c>
      <c r="FJ7" s="436">
        <v>0</v>
      </c>
      <c r="FK7" s="436">
        <v>0</v>
      </c>
      <c r="FL7" s="436">
        <v>0</v>
      </c>
      <c r="FM7" s="436">
        <v>0</v>
      </c>
      <c r="FN7" s="436">
        <v>0</v>
      </c>
      <c r="FO7" s="436">
        <v>0</v>
      </c>
      <c r="FP7" s="436">
        <v>0</v>
      </c>
      <c r="FQ7" s="436">
        <v>0</v>
      </c>
      <c r="FR7" s="436">
        <v>0</v>
      </c>
      <c r="FS7" s="436">
        <v>0</v>
      </c>
      <c r="FT7" s="436">
        <v>0</v>
      </c>
      <c r="FU7" s="436">
        <v>0</v>
      </c>
      <c r="FV7" s="436">
        <v>0</v>
      </c>
      <c r="FW7" s="436">
        <v>0</v>
      </c>
      <c r="FX7" s="436">
        <v>0</v>
      </c>
      <c r="FY7" s="436">
        <v>0</v>
      </c>
      <c r="FZ7" s="436">
        <v>0</v>
      </c>
      <c r="GA7" s="436">
        <v>0</v>
      </c>
      <c r="GB7" s="436">
        <v>0</v>
      </c>
      <c r="GC7" s="436">
        <v>0</v>
      </c>
      <c r="GD7" s="436">
        <v>0</v>
      </c>
      <c r="GE7" s="436">
        <v>0</v>
      </c>
      <c r="GF7" s="436">
        <v>0</v>
      </c>
      <c r="GG7" s="436">
        <v>0</v>
      </c>
      <c r="GH7" s="436">
        <v>0</v>
      </c>
      <c r="GI7" s="436">
        <v>0</v>
      </c>
      <c r="GJ7" s="436">
        <v>0</v>
      </c>
      <c r="GK7" s="436">
        <v>0</v>
      </c>
      <c r="GL7" s="436">
        <v>0</v>
      </c>
      <c r="GM7" s="436">
        <v>0</v>
      </c>
      <c r="GN7" s="436">
        <v>0</v>
      </c>
      <c r="GO7" s="436">
        <v>0</v>
      </c>
      <c r="GP7" s="436">
        <v>0</v>
      </c>
      <c r="GQ7" s="436">
        <v>0</v>
      </c>
      <c r="GR7" s="436">
        <v>0</v>
      </c>
      <c r="GS7" s="436">
        <v>0</v>
      </c>
      <c r="GT7" s="436">
        <v>0</v>
      </c>
      <c r="GU7" s="436">
        <v>0</v>
      </c>
      <c r="GV7" s="436">
        <v>0</v>
      </c>
      <c r="GW7" s="436">
        <v>0</v>
      </c>
      <c r="GX7" s="436">
        <v>0</v>
      </c>
      <c r="GY7" s="436">
        <v>0</v>
      </c>
      <c r="GZ7" s="436">
        <v>0</v>
      </c>
      <c r="HA7" s="436">
        <v>0</v>
      </c>
      <c r="HB7" s="436">
        <v>0</v>
      </c>
      <c r="HC7" s="437">
        <v>6.0754000000000002E-2</v>
      </c>
      <c r="HD7" s="436">
        <v>0</v>
      </c>
    </row>
    <row r="8" spans="1:212" x14ac:dyDescent="0.2">
      <c r="A8" s="438">
        <v>25836</v>
      </c>
      <c r="B8" s="442">
        <v>221801</v>
      </c>
      <c r="C8" s="438">
        <v>9</v>
      </c>
      <c r="D8" s="438">
        <v>2020</v>
      </c>
      <c r="E8" s="438">
        <v>5392</v>
      </c>
      <c r="F8" s="438">
        <v>0</v>
      </c>
      <c r="G8" s="438">
        <v>11306.205</v>
      </c>
      <c r="H8" s="438">
        <v>11022.36</v>
      </c>
      <c r="I8" s="438">
        <v>11022.36</v>
      </c>
      <c r="J8" s="438">
        <v>11306.205</v>
      </c>
      <c r="K8" s="438">
        <v>0</v>
      </c>
      <c r="L8" s="437">
        <v>6544</v>
      </c>
      <c r="M8" s="438">
        <v>0</v>
      </c>
      <c r="N8" s="438">
        <v>0</v>
      </c>
      <c r="P8" s="438">
        <v>11290.225</v>
      </c>
      <c r="Q8" s="438">
        <v>0</v>
      </c>
      <c r="R8" s="438">
        <v>2795313</v>
      </c>
      <c r="S8" s="437">
        <v>247.58699999999999</v>
      </c>
      <c r="U8" s="438">
        <v>0</v>
      </c>
      <c r="V8" s="438">
        <v>1206.3</v>
      </c>
      <c r="W8" s="438">
        <v>789403</v>
      </c>
      <c r="X8" s="438">
        <v>789403</v>
      </c>
      <c r="Z8" s="438">
        <v>0</v>
      </c>
      <c r="AA8" s="438">
        <v>1</v>
      </c>
      <c r="AB8" s="438">
        <v>1</v>
      </c>
      <c r="AC8" s="438">
        <v>0</v>
      </c>
      <c r="AD8" s="438" t="s">
        <v>332</v>
      </c>
      <c r="AE8" s="438">
        <v>0</v>
      </c>
      <c r="AH8" s="438">
        <v>0</v>
      </c>
      <c r="AI8" s="438">
        <v>0</v>
      </c>
      <c r="AJ8" s="437">
        <v>5105</v>
      </c>
      <c r="AK8" s="438" t="s">
        <v>561</v>
      </c>
      <c r="AL8" s="438" t="s">
        <v>382</v>
      </c>
      <c r="AM8" s="438">
        <v>0</v>
      </c>
      <c r="AN8" s="438">
        <v>0</v>
      </c>
      <c r="AO8" s="438">
        <v>0</v>
      </c>
      <c r="AP8" s="438">
        <v>0</v>
      </c>
      <c r="AQ8" s="438">
        <v>0</v>
      </c>
      <c r="AR8" s="438">
        <v>0</v>
      </c>
      <c r="AS8" s="438">
        <v>0</v>
      </c>
      <c r="AT8" s="438">
        <v>0</v>
      </c>
      <c r="AU8" s="438">
        <v>0</v>
      </c>
      <c r="AV8" s="438">
        <v>0</v>
      </c>
      <c r="AW8" s="438">
        <v>99111500</v>
      </c>
      <c r="AX8" s="438">
        <v>98494610</v>
      </c>
      <c r="AY8" s="438">
        <v>0</v>
      </c>
      <c r="AZ8" s="438">
        <v>3181411</v>
      </c>
      <c r="BA8" s="438">
        <v>443.58300000000003</v>
      </c>
      <c r="BB8" s="438">
        <v>0</v>
      </c>
      <c r="BC8" s="438">
        <v>0</v>
      </c>
      <c r="BD8" s="438">
        <v>0</v>
      </c>
      <c r="BE8" s="438">
        <v>0</v>
      </c>
      <c r="BF8" s="438">
        <v>84119394</v>
      </c>
      <c r="BG8" s="438">
        <v>0</v>
      </c>
      <c r="BH8" s="438">
        <v>1403.992</v>
      </c>
      <c r="BI8" s="438">
        <v>386098</v>
      </c>
      <c r="BJ8" s="438">
        <v>12</v>
      </c>
      <c r="BK8" s="438">
        <v>0</v>
      </c>
      <c r="BL8" s="438">
        <v>0</v>
      </c>
      <c r="BM8" s="438">
        <v>0</v>
      </c>
      <c r="BN8" s="438">
        <v>0</v>
      </c>
      <c r="BO8" s="438">
        <v>0</v>
      </c>
      <c r="BP8" s="438">
        <v>0</v>
      </c>
      <c r="BQ8" s="437">
        <v>5392</v>
      </c>
      <c r="BR8" s="438">
        <v>1</v>
      </c>
      <c r="BS8" s="438">
        <v>0</v>
      </c>
      <c r="BT8" s="438">
        <v>0</v>
      </c>
      <c r="BU8" s="438">
        <v>0</v>
      </c>
      <c r="BV8" s="438">
        <v>0</v>
      </c>
      <c r="BW8" s="438">
        <v>0</v>
      </c>
      <c r="BX8" s="438">
        <v>0</v>
      </c>
      <c r="BY8" s="438">
        <v>0</v>
      </c>
      <c r="BZ8" s="438">
        <v>0</v>
      </c>
      <c r="CA8" s="438">
        <v>0</v>
      </c>
      <c r="CB8" s="438">
        <v>0</v>
      </c>
      <c r="CC8" s="438">
        <v>0</v>
      </c>
      <c r="CG8" s="438">
        <v>0</v>
      </c>
      <c r="CH8" s="438">
        <v>230792</v>
      </c>
      <c r="CI8" s="438">
        <v>0</v>
      </c>
      <c r="CJ8" s="438">
        <v>4</v>
      </c>
      <c r="CK8" s="438">
        <v>0</v>
      </c>
      <c r="CL8" s="438">
        <v>0</v>
      </c>
      <c r="CN8" s="438">
        <v>0</v>
      </c>
      <c r="CO8" s="438">
        <v>1</v>
      </c>
      <c r="CP8" s="438">
        <v>0</v>
      </c>
      <c r="CQ8" s="438">
        <v>36</v>
      </c>
      <c r="CR8" s="438">
        <v>11306.205</v>
      </c>
      <c r="CS8" s="438">
        <v>0</v>
      </c>
      <c r="CT8" s="438">
        <v>0</v>
      </c>
      <c r="CU8" s="438">
        <v>0</v>
      </c>
      <c r="CV8" s="438">
        <v>0</v>
      </c>
      <c r="CW8" s="438">
        <v>0</v>
      </c>
      <c r="CX8" s="438">
        <v>0</v>
      </c>
      <c r="CY8" s="438">
        <v>0</v>
      </c>
      <c r="CZ8" s="438">
        <v>0</v>
      </c>
      <c r="DA8" s="438">
        <v>1</v>
      </c>
      <c r="DB8" s="438">
        <v>72130324</v>
      </c>
      <c r="DC8" s="438">
        <v>0</v>
      </c>
      <c r="DD8" s="438">
        <v>479.58300000000003</v>
      </c>
      <c r="DE8" s="438">
        <v>7052469</v>
      </c>
      <c r="DF8" s="438">
        <v>7052469</v>
      </c>
      <c r="DG8" s="438">
        <v>5388.5</v>
      </c>
      <c r="DH8" s="438">
        <v>0</v>
      </c>
      <c r="DI8" s="438">
        <v>0</v>
      </c>
      <c r="DK8" s="437">
        <v>5392</v>
      </c>
      <c r="DL8" s="438">
        <v>0</v>
      </c>
      <c r="DM8" s="438">
        <v>5817155</v>
      </c>
      <c r="DN8" s="438">
        <v>0</v>
      </c>
      <c r="DO8" s="438">
        <v>0</v>
      </c>
      <c r="DP8" s="438">
        <v>0</v>
      </c>
      <c r="DQ8" s="438">
        <v>0</v>
      </c>
      <c r="DR8" s="438">
        <v>0</v>
      </c>
      <c r="DS8" s="438">
        <v>0</v>
      </c>
      <c r="DT8" s="438">
        <v>0</v>
      </c>
      <c r="DU8" s="438">
        <v>0</v>
      </c>
      <c r="DV8" s="438">
        <v>0</v>
      </c>
      <c r="DW8" s="438">
        <v>0</v>
      </c>
      <c r="DX8" s="438">
        <v>0</v>
      </c>
      <c r="DY8" s="438">
        <v>0</v>
      </c>
      <c r="DZ8" s="438">
        <v>0</v>
      </c>
      <c r="EA8" s="438">
        <v>0</v>
      </c>
      <c r="EB8" s="438">
        <v>0</v>
      </c>
      <c r="EC8" s="438">
        <v>213.71700000000001</v>
      </c>
      <c r="ED8" s="438">
        <v>1538420</v>
      </c>
      <c r="EE8" s="438">
        <v>0</v>
      </c>
      <c r="EF8" s="438">
        <v>0</v>
      </c>
      <c r="EG8" s="438">
        <v>0</v>
      </c>
      <c r="EH8" s="438">
        <v>4259496</v>
      </c>
      <c r="EI8" s="438">
        <v>19239</v>
      </c>
      <c r="EJ8" s="438">
        <v>0.73499999999999999</v>
      </c>
      <c r="EK8" s="438">
        <v>173.59</v>
      </c>
      <c r="EL8" s="438">
        <v>9.6159999999999997</v>
      </c>
      <c r="EM8" s="438">
        <v>19.916</v>
      </c>
      <c r="EN8" s="438">
        <v>8.3070000000000004</v>
      </c>
      <c r="EO8" s="438">
        <v>0</v>
      </c>
      <c r="EP8" s="438">
        <v>0</v>
      </c>
      <c r="EQ8" s="438">
        <v>212.16399999999999</v>
      </c>
      <c r="ER8" s="438">
        <v>0</v>
      </c>
      <c r="ES8" s="438">
        <v>650.90099999999995</v>
      </c>
      <c r="ET8" s="438">
        <v>230792</v>
      </c>
      <c r="EU8" s="438">
        <v>3181411</v>
      </c>
      <c r="EV8" s="438">
        <v>0</v>
      </c>
      <c r="EW8" s="438">
        <v>0</v>
      </c>
      <c r="EX8" s="438">
        <v>0</v>
      </c>
      <c r="EZ8" s="438">
        <v>83640752</v>
      </c>
      <c r="FA8" s="438">
        <v>0</v>
      </c>
      <c r="FB8" s="438">
        <v>86822163</v>
      </c>
      <c r="FC8" s="438">
        <v>0.97334900000000002</v>
      </c>
      <c r="FD8" s="438">
        <v>0</v>
      </c>
      <c r="FE8" s="438">
        <v>12096744</v>
      </c>
      <c r="FF8" s="438">
        <v>2757114</v>
      </c>
      <c r="FG8" s="437">
        <v>5.7854999999999997E-2</v>
      </c>
      <c r="FH8" s="437">
        <v>5.2366000000000003E-2</v>
      </c>
      <c r="FI8" s="438">
        <v>0</v>
      </c>
      <c r="FJ8" s="438">
        <v>0</v>
      </c>
      <c r="FK8" s="438">
        <v>16479.135999999999</v>
      </c>
      <c r="FL8" s="438">
        <v>101906813</v>
      </c>
      <c r="FM8" s="438">
        <v>0</v>
      </c>
      <c r="FN8" s="438">
        <v>0</v>
      </c>
      <c r="FO8" s="438">
        <v>13455</v>
      </c>
      <c r="FP8" s="438">
        <v>0</v>
      </c>
      <c r="FQ8" s="438">
        <v>13455</v>
      </c>
      <c r="FR8" s="438">
        <v>13455</v>
      </c>
      <c r="FS8" s="438">
        <v>0</v>
      </c>
      <c r="FT8" s="438">
        <v>0</v>
      </c>
      <c r="FU8" s="438">
        <v>0</v>
      </c>
      <c r="FV8" s="438">
        <v>0</v>
      </c>
      <c r="FW8" s="438">
        <v>0</v>
      </c>
      <c r="FX8" s="438">
        <v>0</v>
      </c>
      <c r="FY8" s="438">
        <v>0</v>
      </c>
      <c r="FZ8" s="438">
        <v>0</v>
      </c>
      <c r="GA8" s="438">
        <v>0</v>
      </c>
      <c r="GB8" s="438">
        <v>633259</v>
      </c>
      <c r="GC8" s="438">
        <v>633259</v>
      </c>
      <c r="GD8" s="438">
        <v>71.680999999999997</v>
      </c>
      <c r="GF8" s="438">
        <v>0</v>
      </c>
      <c r="GG8" s="438">
        <v>0</v>
      </c>
      <c r="GH8" s="438">
        <v>0</v>
      </c>
      <c r="GI8" s="438">
        <v>0</v>
      </c>
      <c r="GJ8" s="438">
        <v>0</v>
      </c>
      <c r="GK8" s="438">
        <v>4794.5290000000005</v>
      </c>
      <c r="GL8" s="438">
        <v>107808</v>
      </c>
      <c r="GM8" s="438">
        <v>0</v>
      </c>
      <c r="GN8" s="438">
        <v>45688</v>
      </c>
      <c r="GO8" s="438">
        <v>0</v>
      </c>
      <c r="GP8" s="438">
        <v>101676021</v>
      </c>
      <c r="GQ8" s="438">
        <v>101676021</v>
      </c>
      <c r="GR8" s="438">
        <v>0</v>
      </c>
      <c r="GS8" s="438">
        <v>0</v>
      </c>
      <c r="GT8" s="438">
        <v>0</v>
      </c>
      <c r="HB8" s="438">
        <v>0</v>
      </c>
      <c r="HC8" s="437">
        <v>6.0754000000000002E-2</v>
      </c>
      <c r="HD8" s="438">
        <v>0</v>
      </c>
    </row>
    <row r="9" spans="1:212" x14ac:dyDescent="0.2">
      <c r="A9" s="438">
        <v>25836</v>
      </c>
      <c r="B9" s="442">
        <v>108807</v>
      </c>
      <c r="C9" s="438">
        <v>9</v>
      </c>
      <c r="D9" s="438">
        <v>2020</v>
      </c>
      <c r="E9" s="438">
        <v>5392</v>
      </c>
      <c r="F9" s="438">
        <v>0</v>
      </c>
      <c r="G9" s="438">
        <v>39546.341999999997</v>
      </c>
      <c r="H9" s="438">
        <v>39118.021999999997</v>
      </c>
      <c r="I9" s="438">
        <v>39118.021999999997</v>
      </c>
      <c r="J9" s="438">
        <v>39546.341999999997</v>
      </c>
      <c r="K9" s="438">
        <v>0</v>
      </c>
      <c r="L9" s="437">
        <v>6544</v>
      </c>
      <c r="M9" s="438">
        <v>0</v>
      </c>
      <c r="N9" s="438">
        <v>0</v>
      </c>
      <c r="P9" s="438">
        <v>39670.99</v>
      </c>
      <c r="Q9" s="438">
        <v>0</v>
      </c>
      <c r="R9" s="438">
        <v>9822021</v>
      </c>
      <c r="S9" s="437">
        <v>247.58699999999999</v>
      </c>
      <c r="U9" s="438">
        <v>0</v>
      </c>
      <c r="V9" s="438">
        <v>12930.973</v>
      </c>
      <c r="W9" s="438">
        <v>8462029</v>
      </c>
      <c r="X9" s="438">
        <v>8462029</v>
      </c>
      <c r="Z9" s="438">
        <v>0</v>
      </c>
      <c r="AA9" s="438">
        <v>1</v>
      </c>
      <c r="AB9" s="438">
        <v>1</v>
      </c>
      <c r="AC9" s="438">
        <v>0</v>
      </c>
      <c r="AD9" s="438" t="s">
        <v>332</v>
      </c>
      <c r="AE9" s="438">
        <v>0</v>
      </c>
      <c r="AH9" s="438">
        <v>0</v>
      </c>
      <c r="AI9" s="438">
        <v>0</v>
      </c>
      <c r="AJ9" s="437">
        <v>5105</v>
      </c>
      <c r="AK9" s="438" t="s">
        <v>561</v>
      </c>
      <c r="AL9" s="438" t="s">
        <v>102</v>
      </c>
      <c r="AM9" s="438">
        <v>0</v>
      </c>
      <c r="AN9" s="438">
        <v>0</v>
      </c>
      <c r="AO9" s="438">
        <v>0</v>
      </c>
      <c r="AP9" s="438">
        <v>0</v>
      </c>
      <c r="AQ9" s="438">
        <v>0</v>
      </c>
      <c r="AR9" s="438">
        <v>0</v>
      </c>
      <c r="AS9" s="438">
        <v>0</v>
      </c>
      <c r="AT9" s="438">
        <v>0</v>
      </c>
      <c r="AU9" s="438">
        <v>0</v>
      </c>
      <c r="AV9" s="438">
        <v>0</v>
      </c>
      <c r="AW9" s="438">
        <v>376950047</v>
      </c>
      <c r="AX9" s="438">
        <v>374303401</v>
      </c>
      <c r="AY9" s="438">
        <v>0</v>
      </c>
      <c r="AZ9" s="438">
        <v>11705063</v>
      </c>
      <c r="BA9" s="438">
        <v>1512.3330000000001</v>
      </c>
      <c r="BB9" s="438">
        <v>0</v>
      </c>
      <c r="BC9" s="438">
        <v>0</v>
      </c>
      <c r="BD9" s="438">
        <v>0</v>
      </c>
      <c r="BE9" s="438">
        <v>0</v>
      </c>
      <c r="BF9" s="438">
        <v>317345188</v>
      </c>
      <c r="BG9" s="438">
        <v>0</v>
      </c>
      <c r="BH9" s="438">
        <v>6847.4250000000002</v>
      </c>
      <c r="BI9" s="438">
        <v>1883042</v>
      </c>
      <c r="BJ9" s="438">
        <v>12</v>
      </c>
      <c r="BK9" s="438">
        <v>0</v>
      </c>
      <c r="BL9" s="438">
        <v>0</v>
      </c>
      <c r="BM9" s="438">
        <v>0</v>
      </c>
      <c r="BN9" s="438">
        <v>0</v>
      </c>
      <c r="BO9" s="438">
        <v>0</v>
      </c>
      <c r="BP9" s="438">
        <v>0</v>
      </c>
      <c r="BQ9" s="437">
        <v>5392</v>
      </c>
      <c r="BR9" s="438">
        <v>1</v>
      </c>
      <c r="BS9" s="438">
        <v>0</v>
      </c>
      <c r="BT9" s="438">
        <v>0</v>
      </c>
      <c r="BU9" s="438">
        <v>0</v>
      </c>
      <c r="BV9" s="438">
        <v>0</v>
      </c>
      <c r="BW9" s="438">
        <v>0</v>
      </c>
      <c r="BX9" s="438">
        <v>0</v>
      </c>
      <c r="BY9" s="438">
        <v>0</v>
      </c>
      <c r="BZ9" s="438">
        <v>0</v>
      </c>
      <c r="CA9" s="438">
        <v>0</v>
      </c>
      <c r="CB9" s="438">
        <v>0</v>
      </c>
      <c r="CC9" s="438">
        <v>0</v>
      </c>
      <c r="CG9" s="438">
        <v>0</v>
      </c>
      <c r="CH9" s="438">
        <v>763604</v>
      </c>
      <c r="CI9" s="438">
        <v>0</v>
      </c>
      <c r="CJ9" s="438">
        <v>5</v>
      </c>
      <c r="CK9" s="438">
        <v>0</v>
      </c>
      <c r="CL9" s="438">
        <v>0</v>
      </c>
      <c r="CN9" s="438">
        <v>0</v>
      </c>
      <c r="CO9" s="438">
        <v>1</v>
      </c>
      <c r="CP9" s="438">
        <v>0</v>
      </c>
      <c r="CQ9" s="438">
        <v>29.75</v>
      </c>
      <c r="CR9" s="438">
        <v>39546.341999999997</v>
      </c>
      <c r="CS9" s="438">
        <v>0</v>
      </c>
      <c r="CT9" s="438">
        <v>0</v>
      </c>
      <c r="CU9" s="438">
        <v>0</v>
      </c>
      <c r="CV9" s="438">
        <v>0</v>
      </c>
      <c r="CW9" s="438">
        <v>0</v>
      </c>
      <c r="CX9" s="438">
        <v>0</v>
      </c>
      <c r="CY9" s="438">
        <v>0</v>
      </c>
      <c r="CZ9" s="438">
        <v>0</v>
      </c>
      <c r="DA9" s="438">
        <v>1</v>
      </c>
      <c r="DB9" s="438">
        <v>255988336</v>
      </c>
      <c r="DC9" s="438">
        <v>0</v>
      </c>
      <c r="DD9" s="438">
        <v>1542.0830000000001</v>
      </c>
      <c r="DE9" s="438">
        <v>46365326</v>
      </c>
      <c r="DF9" s="438">
        <v>46365326</v>
      </c>
      <c r="DG9" s="438">
        <v>35425.83</v>
      </c>
      <c r="DH9" s="438">
        <v>0</v>
      </c>
      <c r="DI9" s="438">
        <v>0</v>
      </c>
      <c r="DK9" s="437">
        <v>5392</v>
      </c>
      <c r="DL9" s="438">
        <v>0</v>
      </c>
      <c r="DM9" s="438">
        <v>15207000</v>
      </c>
      <c r="DN9" s="438">
        <v>0</v>
      </c>
      <c r="DO9" s="438">
        <v>0</v>
      </c>
      <c r="DP9" s="438">
        <v>0</v>
      </c>
      <c r="DQ9" s="438">
        <v>0</v>
      </c>
      <c r="DR9" s="438">
        <v>0</v>
      </c>
      <c r="DS9" s="438">
        <v>0</v>
      </c>
      <c r="DT9" s="438">
        <v>0</v>
      </c>
      <c r="DU9" s="438">
        <v>0</v>
      </c>
      <c r="DV9" s="438">
        <v>0</v>
      </c>
      <c r="DW9" s="438">
        <v>0</v>
      </c>
      <c r="DX9" s="438">
        <v>0</v>
      </c>
      <c r="DY9" s="438">
        <v>0</v>
      </c>
      <c r="DZ9" s="438">
        <v>0</v>
      </c>
      <c r="EA9" s="438">
        <v>0.47299999999999998</v>
      </c>
      <c r="EB9" s="438">
        <v>0</v>
      </c>
      <c r="EC9" s="438">
        <v>856.51</v>
      </c>
      <c r="ED9" s="438">
        <v>6165502</v>
      </c>
      <c r="EE9" s="438">
        <v>0</v>
      </c>
      <c r="EF9" s="438">
        <v>0</v>
      </c>
      <c r="EG9" s="438">
        <v>0</v>
      </c>
      <c r="EH9" s="438">
        <v>9041498</v>
      </c>
      <c r="EI9" s="438">
        <v>0</v>
      </c>
      <c r="EJ9" s="438">
        <v>0</v>
      </c>
      <c r="EK9" s="438">
        <v>204.95699999999999</v>
      </c>
      <c r="EL9" s="438">
        <v>2.492</v>
      </c>
      <c r="EM9" s="438">
        <v>169.27</v>
      </c>
      <c r="EN9" s="438">
        <v>49.825000000000003</v>
      </c>
      <c r="EO9" s="438">
        <v>0</v>
      </c>
      <c r="EP9" s="438">
        <v>0</v>
      </c>
      <c r="EQ9" s="438">
        <v>427.017</v>
      </c>
      <c r="ER9" s="438">
        <v>0</v>
      </c>
      <c r="ES9" s="438">
        <v>1381.6469999999999</v>
      </c>
      <c r="ET9" s="438">
        <v>763604</v>
      </c>
      <c r="EU9" s="438">
        <v>11705063</v>
      </c>
      <c r="EV9" s="438">
        <v>0</v>
      </c>
      <c r="EW9" s="438">
        <v>0</v>
      </c>
      <c r="EX9" s="438">
        <v>0</v>
      </c>
      <c r="EZ9" s="438">
        <v>318266376</v>
      </c>
      <c r="FA9" s="438">
        <v>0</v>
      </c>
      <c r="FB9" s="438">
        <v>329971439</v>
      </c>
      <c r="FC9" s="438">
        <v>0.97334900000000002</v>
      </c>
      <c r="FD9" s="438">
        <v>0</v>
      </c>
      <c r="FE9" s="438">
        <v>45635656</v>
      </c>
      <c r="FF9" s="438">
        <v>10401369</v>
      </c>
      <c r="FG9" s="437">
        <v>5.7854999999999997E-2</v>
      </c>
      <c r="FH9" s="437">
        <v>5.2366000000000003E-2</v>
      </c>
      <c r="FI9" s="438">
        <v>0</v>
      </c>
      <c r="FJ9" s="438">
        <v>0</v>
      </c>
      <c r="FK9" s="438">
        <v>62168.476999999999</v>
      </c>
      <c r="FL9" s="438">
        <v>386772068</v>
      </c>
      <c r="FM9" s="438">
        <v>0</v>
      </c>
      <c r="FN9" s="438">
        <v>0</v>
      </c>
      <c r="FO9" s="438">
        <v>1870623</v>
      </c>
      <c r="FP9" s="438">
        <v>183572</v>
      </c>
      <c r="FQ9" s="438">
        <v>2054195</v>
      </c>
      <c r="FR9" s="438">
        <v>1870623</v>
      </c>
      <c r="FS9" s="438">
        <v>0</v>
      </c>
      <c r="FT9" s="438">
        <v>0</v>
      </c>
      <c r="FU9" s="438">
        <v>0</v>
      </c>
      <c r="FV9" s="438">
        <v>0</v>
      </c>
      <c r="FW9" s="438">
        <v>0</v>
      </c>
      <c r="FX9" s="438">
        <v>0</v>
      </c>
      <c r="FY9" s="438">
        <v>0</v>
      </c>
      <c r="FZ9" s="438">
        <v>0</v>
      </c>
      <c r="GA9" s="438">
        <v>0</v>
      </c>
      <c r="GB9" s="438">
        <v>11511</v>
      </c>
      <c r="GC9" s="438">
        <v>11511</v>
      </c>
      <c r="GD9" s="438">
        <v>1.3029999999999999</v>
      </c>
      <c r="GF9" s="438">
        <v>0</v>
      </c>
      <c r="GG9" s="438">
        <v>0</v>
      </c>
      <c r="GH9" s="438">
        <v>0</v>
      </c>
      <c r="GI9" s="438">
        <v>0</v>
      </c>
      <c r="GJ9" s="438">
        <v>0</v>
      </c>
      <c r="GK9" s="438">
        <v>4697.2669999999998</v>
      </c>
      <c r="GL9" s="438">
        <v>111682</v>
      </c>
      <c r="GM9" s="438">
        <v>0</v>
      </c>
      <c r="GN9" s="438">
        <v>563496</v>
      </c>
      <c r="GO9" s="438">
        <v>0</v>
      </c>
      <c r="GP9" s="438">
        <v>386008464</v>
      </c>
      <c r="GQ9" s="438">
        <v>386008464</v>
      </c>
      <c r="GR9" s="438">
        <v>0</v>
      </c>
      <c r="GS9" s="438">
        <v>0</v>
      </c>
      <c r="GT9" s="438">
        <v>0</v>
      </c>
      <c r="HB9" s="438">
        <v>0</v>
      </c>
      <c r="HC9" s="437">
        <v>6.0754000000000002E-2</v>
      </c>
      <c r="HD9" s="438">
        <v>0</v>
      </c>
    </row>
    <row r="10" spans="1:212" x14ac:dyDescent="0.2">
      <c r="A10" s="438">
        <v>25836</v>
      </c>
      <c r="B10" s="442">
        <v>15830</v>
      </c>
      <c r="C10" s="438">
        <v>9</v>
      </c>
      <c r="D10" s="438">
        <v>2020</v>
      </c>
      <c r="E10" s="438">
        <v>5392</v>
      </c>
      <c r="F10" s="438">
        <v>0</v>
      </c>
      <c r="G10" s="438">
        <v>3030.5419999999999</v>
      </c>
      <c r="H10" s="438">
        <v>2819.1709999999998</v>
      </c>
      <c r="I10" s="438">
        <v>2819.1709999999998</v>
      </c>
      <c r="J10" s="438">
        <v>3030.5419999999999</v>
      </c>
      <c r="K10" s="438">
        <v>0</v>
      </c>
      <c r="L10" s="437">
        <v>6544</v>
      </c>
      <c r="M10" s="438">
        <v>0</v>
      </c>
      <c r="N10" s="438">
        <v>0</v>
      </c>
      <c r="P10" s="438">
        <v>3060.2750000000001</v>
      </c>
      <c r="Q10" s="438">
        <v>0</v>
      </c>
      <c r="R10" s="438">
        <v>757684</v>
      </c>
      <c r="S10" s="437">
        <v>247.58699999999999</v>
      </c>
      <c r="U10" s="438">
        <v>0</v>
      </c>
      <c r="V10" s="438">
        <v>206.19499999999999</v>
      </c>
      <c r="W10" s="438">
        <v>134934</v>
      </c>
      <c r="X10" s="438">
        <v>134934</v>
      </c>
      <c r="Z10" s="438">
        <v>0</v>
      </c>
      <c r="AA10" s="438">
        <v>1</v>
      </c>
      <c r="AB10" s="438">
        <v>1</v>
      </c>
      <c r="AC10" s="438">
        <v>0</v>
      </c>
      <c r="AD10" s="438" t="s">
        <v>332</v>
      </c>
      <c r="AE10" s="438">
        <v>0</v>
      </c>
      <c r="AH10" s="438">
        <v>0</v>
      </c>
      <c r="AI10" s="438">
        <v>0</v>
      </c>
      <c r="AJ10" s="437">
        <v>5105</v>
      </c>
      <c r="AK10" s="438" t="s">
        <v>561</v>
      </c>
      <c r="AL10" s="438" t="s">
        <v>639</v>
      </c>
      <c r="AM10" s="438">
        <v>0</v>
      </c>
      <c r="AN10" s="438">
        <v>0</v>
      </c>
      <c r="AO10" s="438">
        <v>0</v>
      </c>
      <c r="AP10" s="438">
        <v>0</v>
      </c>
      <c r="AQ10" s="438">
        <v>0</v>
      </c>
      <c r="AR10" s="438">
        <v>0</v>
      </c>
      <c r="AS10" s="438">
        <v>0</v>
      </c>
      <c r="AT10" s="438">
        <v>0</v>
      </c>
      <c r="AU10" s="438">
        <v>0</v>
      </c>
      <c r="AV10" s="438">
        <v>0</v>
      </c>
      <c r="AW10" s="438">
        <v>28316982</v>
      </c>
      <c r="AX10" s="438">
        <v>28155379</v>
      </c>
      <c r="AY10" s="438">
        <v>0</v>
      </c>
      <c r="AZ10" s="438">
        <v>919287</v>
      </c>
      <c r="BA10" s="438">
        <v>0</v>
      </c>
      <c r="BB10" s="438">
        <v>118991</v>
      </c>
      <c r="BC10" s="438">
        <v>118991</v>
      </c>
      <c r="BD10" s="438">
        <v>151.52699999999999</v>
      </c>
      <c r="BE10" s="438">
        <v>0</v>
      </c>
      <c r="BF10" s="438">
        <v>24014950</v>
      </c>
      <c r="BG10" s="438">
        <v>0</v>
      </c>
      <c r="BH10" s="438">
        <v>587.64800000000002</v>
      </c>
      <c r="BI10" s="438">
        <v>161603</v>
      </c>
      <c r="BJ10" s="438">
        <v>12</v>
      </c>
      <c r="BK10" s="438">
        <v>0</v>
      </c>
      <c r="BL10" s="438">
        <v>0</v>
      </c>
      <c r="BM10" s="438">
        <v>0</v>
      </c>
      <c r="BN10" s="438">
        <v>0</v>
      </c>
      <c r="BO10" s="438">
        <v>0</v>
      </c>
      <c r="BP10" s="438">
        <v>0</v>
      </c>
      <c r="BQ10" s="437">
        <v>5392</v>
      </c>
      <c r="BR10" s="438">
        <v>1</v>
      </c>
      <c r="BS10" s="438">
        <v>0</v>
      </c>
      <c r="BT10" s="438">
        <v>0</v>
      </c>
      <c r="BU10" s="438">
        <v>0</v>
      </c>
      <c r="BV10" s="438">
        <v>0</v>
      </c>
      <c r="BW10" s="438">
        <v>0</v>
      </c>
      <c r="BX10" s="438">
        <v>0</v>
      </c>
      <c r="BY10" s="438">
        <v>0</v>
      </c>
      <c r="BZ10" s="438">
        <v>0</v>
      </c>
      <c r="CA10" s="438">
        <v>0</v>
      </c>
      <c r="CB10" s="438">
        <v>0</v>
      </c>
      <c r="CC10" s="438">
        <v>0</v>
      </c>
      <c r="CG10" s="438">
        <v>0</v>
      </c>
      <c r="CH10" s="438">
        <v>0</v>
      </c>
      <c r="CI10" s="438">
        <v>0</v>
      </c>
      <c r="CJ10" s="438">
        <v>4</v>
      </c>
      <c r="CK10" s="438">
        <v>0</v>
      </c>
      <c r="CL10" s="438">
        <v>0</v>
      </c>
      <c r="CN10" s="438">
        <v>0</v>
      </c>
      <c r="CO10" s="438">
        <v>1</v>
      </c>
      <c r="CP10" s="438">
        <v>0</v>
      </c>
      <c r="CQ10" s="438">
        <v>0</v>
      </c>
      <c r="CR10" s="438">
        <v>3030.5419999999999</v>
      </c>
      <c r="CS10" s="438">
        <v>0</v>
      </c>
      <c r="CT10" s="438">
        <v>0</v>
      </c>
      <c r="CU10" s="438">
        <v>0</v>
      </c>
      <c r="CV10" s="438">
        <v>0</v>
      </c>
      <c r="CW10" s="438">
        <v>0</v>
      </c>
      <c r="CX10" s="438">
        <v>0</v>
      </c>
      <c r="CY10" s="438">
        <v>0</v>
      </c>
      <c r="CZ10" s="438">
        <v>0</v>
      </c>
      <c r="DA10" s="438">
        <v>1</v>
      </c>
      <c r="DB10" s="438">
        <v>18448655</v>
      </c>
      <c r="DC10" s="438">
        <v>0</v>
      </c>
      <c r="DD10" s="438">
        <v>0</v>
      </c>
      <c r="DE10" s="438">
        <v>2786435</v>
      </c>
      <c r="DF10" s="438">
        <v>2786435</v>
      </c>
      <c r="DG10" s="438">
        <v>2129</v>
      </c>
      <c r="DH10" s="438">
        <v>0</v>
      </c>
      <c r="DI10" s="438">
        <v>0</v>
      </c>
      <c r="DK10" s="437">
        <v>5392</v>
      </c>
      <c r="DL10" s="438">
        <v>0</v>
      </c>
      <c r="DM10" s="438">
        <v>1904551</v>
      </c>
      <c r="DN10" s="438">
        <v>0</v>
      </c>
      <c r="DO10" s="438">
        <v>0</v>
      </c>
      <c r="DP10" s="438">
        <v>0</v>
      </c>
      <c r="DQ10" s="438">
        <v>0</v>
      </c>
      <c r="DR10" s="438">
        <v>0</v>
      </c>
      <c r="DS10" s="438">
        <v>0</v>
      </c>
      <c r="DT10" s="438">
        <v>0</v>
      </c>
      <c r="DU10" s="438">
        <v>0</v>
      </c>
      <c r="DV10" s="438">
        <v>0</v>
      </c>
      <c r="DW10" s="438">
        <v>0</v>
      </c>
      <c r="DX10" s="438">
        <v>0</v>
      </c>
      <c r="DY10" s="438">
        <v>0</v>
      </c>
      <c r="DZ10" s="438">
        <v>0</v>
      </c>
      <c r="EA10" s="438">
        <v>0.217</v>
      </c>
      <c r="EB10" s="438">
        <v>0</v>
      </c>
      <c r="EC10" s="438">
        <v>74.716999999999999</v>
      </c>
      <c r="ED10" s="438">
        <v>537843</v>
      </c>
      <c r="EE10" s="438">
        <v>0</v>
      </c>
      <c r="EF10" s="438">
        <v>0</v>
      </c>
      <c r="EG10" s="438">
        <v>0</v>
      </c>
      <c r="EH10" s="438">
        <v>1366708</v>
      </c>
      <c r="EI10" s="438">
        <v>0</v>
      </c>
      <c r="EJ10" s="438">
        <v>0</v>
      </c>
      <c r="EK10" s="438">
        <v>41.158000000000001</v>
      </c>
      <c r="EL10" s="438">
        <v>2.3759999999999999</v>
      </c>
      <c r="EM10" s="438">
        <v>18.553999999999998</v>
      </c>
      <c r="EN10" s="438">
        <v>4.3</v>
      </c>
      <c r="EO10" s="438">
        <v>0</v>
      </c>
      <c r="EP10" s="438">
        <v>0</v>
      </c>
      <c r="EQ10" s="438">
        <v>66.605000000000004</v>
      </c>
      <c r="ER10" s="438">
        <v>0</v>
      </c>
      <c r="ES10" s="438">
        <v>208.84899999999999</v>
      </c>
      <c r="ET10" s="438">
        <v>0</v>
      </c>
      <c r="EU10" s="438">
        <v>919287</v>
      </c>
      <c r="EV10" s="438">
        <v>0</v>
      </c>
      <c r="EW10" s="438">
        <v>0</v>
      </c>
      <c r="EX10" s="438">
        <v>0</v>
      </c>
      <c r="EZ10" s="438">
        <v>23914803</v>
      </c>
      <c r="FA10" s="438">
        <v>0</v>
      </c>
      <c r="FB10" s="438">
        <v>24834090</v>
      </c>
      <c r="FC10" s="438">
        <v>0.97334900000000002</v>
      </c>
      <c r="FD10" s="438">
        <v>0</v>
      </c>
      <c r="FE10" s="438">
        <v>3453457</v>
      </c>
      <c r="FF10" s="438">
        <v>787119</v>
      </c>
      <c r="FG10" s="437">
        <v>5.7854999999999997E-2</v>
      </c>
      <c r="FH10" s="437">
        <v>5.2366000000000003E-2</v>
      </c>
      <c r="FI10" s="438">
        <v>0</v>
      </c>
      <c r="FJ10" s="438">
        <v>0</v>
      </c>
      <c r="FK10" s="438">
        <v>4704.5709999999999</v>
      </c>
      <c r="FL10" s="438">
        <v>29074666</v>
      </c>
      <c r="FM10" s="438">
        <v>0</v>
      </c>
      <c r="FN10" s="438">
        <v>0</v>
      </c>
      <c r="FO10" s="438">
        <v>0</v>
      </c>
      <c r="FP10" s="438">
        <v>0</v>
      </c>
      <c r="FQ10" s="438">
        <v>0</v>
      </c>
      <c r="FR10" s="438">
        <v>0</v>
      </c>
      <c r="FS10" s="438">
        <v>0</v>
      </c>
      <c r="FT10" s="438">
        <v>0</v>
      </c>
      <c r="FU10" s="438">
        <v>0</v>
      </c>
      <c r="FV10" s="438">
        <v>0</v>
      </c>
      <c r="FW10" s="438">
        <v>0</v>
      </c>
      <c r="FX10" s="438">
        <v>0</v>
      </c>
      <c r="FY10" s="438">
        <v>0</v>
      </c>
      <c r="FZ10" s="438">
        <v>0</v>
      </c>
      <c r="GA10" s="438">
        <v>0</v>
      </c>
      <c r="GB10" s="438">
        <v>1278921</v>
      </c>
      <c r="GC10" s="438">
        <v>1278921</v>
      </c>
      <c r="GD10" s="438">
        <v>144.76599999999999</v>
      </c>
      <c r="GF10" s="438">
        <v>0</v>
      </c>
      <c r="GG10" s="438">
        <v>0</v>
      </c>
      <c r="GH10" s="438">
        <v>0</v>
      </c>
      <c r="GI10" s="438">
        <v>0</v>
      </c>
      <c r="GJ10" s="438">
        <v>0</v>
      </c>
      <c r="GK10" s="438">
        <v>4671.3310000000001</v>
      </c>
      <c r="GL10" s="438">
        <v>17677</v>
      </c>
      <c r="GM10" s="438">
        <v>0</v>
      </c>
      <c r="GN10" s="438">
        <v>0</v>
      </c>
      <c r="GO10" s="438">
        <v>0</v>
      </c>
      <c r="GP10" s="438">
        <v>29074666</v>
      </c>
      <c r="GQ10" s="438">
        <v>29074666</v>
      </c>
      <c r="GR10" s="438">
        <v>0</v>
      </c>
      <c r="GS10" s="438">
        <v>0</v>
      </c>
      <c r="GT10" s="438">
        <v>0</v>
      </c>
      <c r="HB10" s="438">
        <v>0</v>
      </c>
      <c r="HC10" s="437">
        <v>6.0754000000000002E-2</v>
      </c>
      <c r="HD10" s="438">
        <v>0</v>
      </c>
    </row>
    <row r="11" spans="1:212" x14ac:dyDescent="0.2">
      <c r="A11" s="438">
        <v>25836</v>
      </c>
      <c r="B11" s="442">
        <v>57813</v>
      </c>
      <c r="C11" s="438">
        <v>9</v>
      </c>
      <c r="D11" s="438">
        <v>2020</v>
      </c>
      <c r="E11" s="438">
        <v>5392</v>
      </c>
      <c r="F11" s="438">
        <v>0</v>
      </c>
      <c r="G11" s="438">
        <v>3048.2269999999999</v>
      </c>
      <c r="H11" s="438">
        <v>2962.7820000000002</v>
      </c>
      <c r="I11" s="438">
        <v>2962.7820000000002</v>
      </c>
      <c r="J11" s="438">
        <v>3048.2269999999999</v>
      </c>
      <c r="K11" s="438">
        <v>0</v>
      </c>
      <c r="L11" s="437">
        <v>6544</v>
      </c>
      <c r="M11" s="438">
        <v>0</v>
      </c>
      <c r="N11" s="438">
        <v>0</v>
      </c>
      <c r="P11" s="438">
        <v>3039.643</v>
      </c>
      <c r="Q11" s="438">
        <v>0</v>
      </c>
      <c r="R11" s="438">
        <v>752576</v>
      </c>
      <c r="S11" s="437">
        <v>247.58699999999999</v>
      </c>
      <c r="U11" s="438">
        <v>0</v>
      </c>
      <c r="V11" s="438">
        <v>1849.7329999999999</v>
      </c>
      <c r="W11" s="438">
        <v>1210465</v>
      </c>
      <c r="X11" s="438">
        <v>1210465</v>
      </c>
      <c r="Z11" s="438">
        <v>0</v>
      </c>
      <c r="AA11" s="438">
        <v>1</v>
      </c>
      <c r="AB11" s="438">
        <v>1</v>
      </c>
      <c r="AC11" s="438">
        <v>0</v>
      </c>
      <c r="AD11" s="438" t="s">
        <v>332</v>
      </c>
      <c r="AE11" s="438">
        <v>0</v>
      </c>
      <c r="AH11" s="438">
        <v>0</v>
      </c>
      <c r="AI11" s="438">
        <v>0</v>
      </c>
      <c r="AJ11" s="437">
        <v>5105</v>
      </c>
      <c r="AK11" s="438" t="s">
        <v>561</v>
      </c>
      <c r="AL11" s="438" t="s">
        <v>22</v>
      </c>
      <c r="AM11" s="438">
        <v>0</v>
      </c>
      <c r="AN11" s="438">
        <v>0</v>
      </c>
      <c r="AO11" s="438">
        <v>0</v>
      </c>
      <c r="AP11" s="438">
        <v>0</v>
      </c>
      <c r="AQ11" s="438">
        <v>0</v>
      </c>
      <c r="AR11" s="438">
        <v>0</v>
      </c>
      <c r="AS11" s="438">
        <v>0</v>
      </c>
      <c r="AT11" s="438">
        <v>0</v>
      </c>
      <c r="AU11" s="438">
        <v>0</v>
      </c>
      <c r="AV11" s="438">
        <v>0</v>
      </c>
      <c r="AW11" s="438">
        <v>30197593</v>
      </c>
      <c r="AX11" s="438">
        <v>30113739</v>
      </c>
      <c r="AY11" s="438">
        <v>0</v>
      </c>
      <c r="AZ11" s="438">
        <v>752576</v>
      </c>
      <c r="BA11" s="438">
        <v>162.833</v>
      </c>
      <c r="BB11" s="438">
        <v>0</v>
      </c>
      <c r="BC11" s="438">
        <v>0</v>
      </c>
      <c r="BD11" s="438">
        <v>0</v>
      </c>
      <c r="BE11" s="438">
        <v>0</v>
      </c>
      <c r="BF11" s="438">
        <v>25637305</v>
      </c>
      <c r="BG11" s="438">
        <v>0</v>
      </c>
      <c r="BH11" s="438">
        <v>0</v>
      </c>
      <c r="BI11" s="438">
        <v>0</v>
      </c>
      <c r="BJ11" s="438">
        <v>12</v>
      </c>
      <c r="BK11" s="438">
        <v>0</v>
      </c>
      <c r="BL11" s="438">
        <v>0</v>
      </c>
      <c r="BM11" s="438">
        <v>0</v>
      </c>
      <c r="BN11" s="438">
        <v>0</v>
      </c>
      <c r="BO11" s="438">
        <v>0</v>
      </c>
      <c r="BP11" s="438">
        <v>0</v>
      </c>
      <c r="BQ11" s="437">
        <v>5392</v>
      </c>
      <c r="BR11" s="438">
        <v>1</v>
      </c>
      <c r="BS11" s="438">
        <v>0</v>
      </c>
      <c r="BT11" s="438">
        <v>0</v>
      </c>
      <c r="BU11" s="438">
        <v>0</v>
      </c>
      <c r="BV11" s="438">
        <v>0</v>
      </c>
      <c r="BW11" s="438">
        <v>0</v>
      </c>
      <c r="BX11" s="438">
        <v>0</v>
      </c>
      <c r="BY11" s="438">
        <v>0</v>
      </c>
      <c r="BZ11" s="438">
        <v>0</v>
      </c>
      <c r="CA11" s="438">
        <v>0</v>
      </c>
      <c r="CB11" s="438">
        <v>0</v>
      </c>
      <c r="CC11" s="438">
        <v>0</v>
      </c>
      <c r="CG11" s="438">
        <v>0</v>
      </c>
      <c r="CH11" s="438">
        <v>83854</v>
      </c>
      <c r="CI11" s="438">
        <v>0</v>
      </c>
      <c r="CJ11" s="438">
        <v>4</v>
      </c>
      <c r="CK11" s="438">
        <v>0</v>
      </c>
      <c r="CL11" s="438">
        <v>0</v>
      </c>
      <c r="CN11" s="438">
        <v>0</v>
      </c>
      <c r="CO11" s="438">
        <v>1</v>
      </c>
      <c r="CP11" s="438">
        <v>0</v>
      </c>
      <c r="CQ11" s="438">
        <v>9.75</v>
      </c>
      <c r="CR11" s="438">
        <v>3048.2269999999999</v>
      </c>
      <c r="CS11" s="438">
        <v>0</v>
      </c>
      <c r="CT11" s="438">
        <v>0</v>
      </c>
      <c r="CU11" s="438">
        <v>0</v>
      </c>
      <c r="CV11" s="438">
        <v>0</v>
      </c>
      <c r="CW11" s="438">
        <v>0</v>
      </c>
      <c r="CX11" s="438">
        <v>0</v>
      </c>
      <c r="CY11" s="438">
        <v>0</v>
      </c>
      <c r="CZ11" s="438">
        <v>0</v>
      </c>
      <c r="DA11" s="438">
        <v>1</v>
      </c>
      <c r="DB11" s="438">
        <v>19388445</v>
      </c>
      <c r="DC11" s="438">
        <v>0</v>
      </c>
      <c r="DD11" s="438">
        <v>172.583</v>
      </c>
      <c r="DE11" s="438">
        <v>3735538</v>
      </c>
      <c r="DF11" s="438">
        <v>3735538</v>
      </c>
      <c r="DG11" s="438">
        <v>2854.17</v>
      </c>
      <c r="DH11" s="438">
        <v>0</v>
      </c>
      <c r="DI11" s="438">
        <v>0</v>
      </c>
      <c r="DK11" s="437">
        <v>5392</v>
      </c>
      <c r="DL11" s="438">
        <v>0</v>
      </c>
      <c r="DM11" s="438">
        <v>2004815</v>
      </c>
      <c r="DN11" s="438">
        <v>0</v>
      </c>
      <c r="DO11" s="438">
        <v>0</v>
      </c>
      <c r="DP11" s="438">
        <v>0</v>
      </c>
      <c r="DQ11" s="438">
        <v>0</v>
      </c>
      <c r="DR11" s="438">
        <v>0</v>
      </c>
      <c r="DS11" s="438">
        <v>0</v>
      </c>
      <c r="DT11" s="438">
        <v>0</v>
      </c>
      <c r="DU11" s="438">
        <v>0</v>
      </c>
      <c r="DV11" s="438">
        <v>0</v>
      </c>
      <c r="DW11" s="438">
        <v>0</v>
      </c>
      <c r="DX11" s="438">
        <v>0</v>
      </c>
      <c r="DY11" s="438">
        <v>0</v>
      </c>
      <c r="DZ11" s="438">
        <v>0</v>
      </c>
      <c r="EA11" s="438">
        <v>0</v>
      </c>
      <c r="EB11" s="438">
        <v>0</v>
      </c>
      <c r="EC11" s="438">
        <v>34.832999999999998</v>
      </c>
      <c r="ED11" s="438">
        <v>250742</v>
      </c>
      <c r="EE11" s="438">
        <v>0</v>
      </c>
      <c r="EF11" s="438">
        <v>0</v>
      </c>
      <c r="EG11" s="438">
        <v>0</v>
      </c>
      <c r="EH11" s="438">
        <v>1754073</v>
      </c>
      <c r="EI11" s="438">
        <v>0</v>
      </c>
      <c r="EJ11" s="438">
        <v>0</v>
      </c>
      <c r="EK11" s="438">
        <v>60.774999999999999</v>
      </c>
      <c r="EL11" s="438">
        <v>1.0569999999999999</v>
      </c>
      <c r="EM11" s="438">
        <v>17.759</v>
      </c>
      <c r="EN11" s="438">
        <v>5.8540000000000001</v>
      </c>
      <c r="EO11" s="438">
        <v>0</v>
      </c>
      <c r="EP11" s="438">
        <v>0</v>
      </c>
      <c r="EQ11" s="438">
        <v>85.444999999999993</v>
      </c>
      <c r="ER11" s="438">
        <v>0</v>
      </c>
      <c r="ES11" s="438">
        <v>268.04300000000001</v>
      </c>
      <c r="ET11" s="438">
        <v>83854</v>
      </c>
      <c r="EU11" s="438">
        <v>752576</v>
      </c>
      <c r="EV11" s="438">
        <v>0</v>
      </c>
      <c r="EW11" s="438">
        <v>0</v>
      </c>
      <c r="EX11" s="438">
        <v>0</v>
      </c>
      <c r="EZ11" s="438">
        <v>25586687</v>
      </c>
      <c r="FA11" s="438">
        <v>0</v>
      </c>
      <c r="FB11" s="438">
        <v>26339263</v>
      </c>
      <c r="FC11" s="438">
        <v>0.97334900000000002</v>
      </c>
      <c r="FD11" s="438">
        <v>0</v>
      </c>
      <c r="FE11" s="438">
        <v>3686759</v>
      </c>
      <c r="FF11" s="438">
        <v>840293</v>
      </c>
      <c r="FG11" s="437">
        <v>5.7854999999999997E-2</v>
      </c>
      <c r="FH11" s="437">
        <v>5.2366000000000003E-2</v>
      </c>
      <c r="FI11" s="438">
        <v>0</v>
      </c>
      <c r="FJ11" s="438">
        <v>0</v>
      </c>
      <c r="FK11" s="438">
        <v>5022.393</v>
      </c>
      <c r="FL11" s="438">
        <v>30950169</v>
      </c>
      <c r="FM11" s="438">
        <v>0</v>
      </c>
      <c r="FN11" s="438">
        <v>0</v>
      </c>
      <c r="FO11" s="438">
        <v>0</v>
      </c>
      <c r="FP11" s="438">
        <v>0</v>
      </c>
      <c r="FQ11" s="438">
        <v>0</v>
      </c>
      <c r="FR11" s="438">
        <v>0</v>
      </c>
      <c r="FS11" s="438">
        <v>0</v>
      </c>
      <c r="FT11" s="438">
        <v>0</v>
      </c>
      <c r="FU11" s="438">
        <v>0</v>
      </c>
      <c r="FV11" s="438">
        <v>0</v>
      </c>
      <c r="FW11" s="438">
        <v>0</v>
      </c>
      <c r="FX11" s="438">
        <v>0</v>
      </c>
      <c r="FY11" s="438">
        <v>0</v>
      </c>
      <c r="FZ11" s="438">
        <v>0</v>
      </c>
      <c r="GA11" s="438">
        <v>0</v>
      </c>
      <c r="GB11" s="438">
        <v>0</v>
      </c>
      <c r="GC11" s="438">
        <v>0</v>
      </c>
      <c r="GD11" s="438">
        <v>0</v>
      </c>
      <c r="GF11" s="438">
        <v>0</v>
      </c>
      <c r="GG11" s="438">
        <v>0</v>
      </c>
      <c r="GH11" s="438">
        <v>0</v>
      </c>
      <c r="GI11" s="438">
        <v>0</v>
      </c>
      <c r="GJ11" s="438">
        <v>0</v>
      </c>
      <c r="GK11" s="438">
        <v>4860.24</v>
      </c>
      <c r="GL11" s="438">
        <v>16615</v>
      </c>
      <c r="GM11" s="438">
        <v>0</v>
      </c>
      <c r="GN11" s="438">
        <v>0</v>
      </c>
      <c r="GO11" s="438">
        <v>0</v>
      </c>
      <c r="GP11" s="438">
        <v>30866315</v>
      </c>
      <c r="GQ11" s="438">
        <v>30866315</v>
      </c>
      <c r="GR11" s="438">
        <v>0</v>
      </c>
      <c r="GS11" s="438">
        <v>0</v>
      </c>
      <c r="GT11" s="438">
        <v>0</v>
      </c>
      <c r="HB11" s="438">
        <v>0</v>
      </c>
      <c r="HC11" s="437">
        <v>6.0754000000000002E-2</v>
      </c>
      <c r="HD11" s="438">
        <v>0</v>
      </c>
    </row>
    <row r="12" spans="1:212" x14ac:dyDescent="0.2">
      <c r="A12" s="438">
        <v>25836</v>
      </c>
      <c r="B12" s="442">
        <v>227820</v>
      </c>
      <c r="C12" s="438">
        <v>9</v>
      </c>
      <c r="D12" s="438">
        <v>2020</v>
      </c>
      <c r="E12" s="438">
        <v>5392</v>
      </c>
      <c r="F12" s="438">
        <v>0</v>
      </c>
      <c r="G12" s="438">
        <v>24714.357</v>
      </c>
      <c r="H12" s="438">
        <v>23940.281999999999</v>
      </c>
      <c r="I12" s="438">
        <v>23940.281999999999</v>
      </c>
      <c r="J12" s="438">
        <v>24714.357</v>
      </c>
      <c r="K12" s="438">
        <v>0</v>
      </c>
      <c r="L12" s="437">
        <v>6544</v>
      </c>
      <c r="M12" s="438">
        <v>0</v>
      </c>
      <c r="N12" s="438">
        <v>0</v>
      </c>
      <c r="P12" s="438">
        <v>24774.816999999999</v>
      </c>
      <c r="Q12" s="438">
        <v>0</v>
      </c>
      <c r="R12" s="438">
        <v>6133923</v>
      </c>
      <c r="S12" s="437">
        <v>247.58699999999999</v>
      </c>
      <c r="U12" s="438">
        <v>0</v>
      </c>
      <c r="V12" s="438">
        <v>8840.6669999999995</v>
      </c>
      <c r="W12" s="438">
        <v>5785332</v>
      </c>
      <c r="X12" s="438">
        <v>5785332</v>
      </c>
      <c r="Z12" s="438">
        <v>0</v>
      </c>
      <c r="AA12" s="438">
        <v>1</v>
      </c>
      <c r="AB12" s="438">
        <v>1</v>
      </c>
      <c r="AC12" s="438">
        <v>0</v>
      </c>
      <c r="AD12" s="438" t="s">
        <v>332</v>
      </c>
      <c r="AE12" s="438">
        <v>0</v>
      </c>
      <c r="AH12" s="438">
        <v>0</v>
      </c>
      <c r="AI12" s="438">
        <v>0</v>
      </c>
      <c r="AJ12" s="437">
        <v>5105</v>
      </c>
      <c r="AK12" s="438" t="s">
        <v>561</v>
      </c>
      <c r="AL12" s="438" t="s">
        <v>662</v>
      </c>
      <c r="AM12" s="438">
        <v>0</v>
      </c>
      <c r="AN12" s="438">
        <v>0</v>
      </c>
      <c r="AO12" s="438">
        <v>0</v>
      </c>
      <c r="AP12" s="438">
        <v>0</v>
      </c>
      <c r="AQ12" s="438">
        <v>0</v>
      </c>
      <c r="AR12" s="438">
        <v>0</v>
      </c>
      <c r="AS12" s="438">
        <v>0</v>
      </c>
      <c r="AT12" s="438">
        <v>0</v>
      </c>
      <c r="AU12" s="438">
        <v>0</v>
      </c>
      <c r="AV12" s="438">
        <v>0</v>
      </c>
      <c r="AW12" s="438">
        <v>241048038</v>
      </c>
      <c r="AX12" s="438">
        <v>239787581</v>
      </c>
      <c r="AY12" s="438">
        <v>0</v>
      </c>
      <c r="AZ12" s="438">
        <v>7394380</v>
      </c>
      <c r="BA12" s="438">
        <v>0</v>
      </c>
      <c r="BB12" s="438">
        <v>0</v>
      </c>
      <c r="BC12" s="438">
        <v>0</v>
      </c>
      <c r="BD12" s="438">
        <v>0</v>
      </c>
      <c r="BE12" s="438">
        <v>0</v>
      </c>
      <c r="BF12" s="438">
        <v>203514472</v>
      </c>
      <c r="BG12" s="438">
        <v>0</v>
      </c>
      <c r="BH12" s="438">
        <v>4583.4799999999996</v>
      </c>
      <c r="BI12" s="438">
        <v>1260457</v>
      </c>
      <c r="BJ12" s="438">
        <v>12</v>
      </c>
      <c r="BK12" s="438">
        <v>0</v>
      </c>
      <c r="BL12" s="438">
        <v>0</v>
      </c>
      <c r="BM12" s="438">
        <v>0</v>
      </c>
      <c r="BN12" s="438">
        <v>0</v>
      </c>
      <c r="BO12" s="438">
        <v>0</v>
      </c>
      <c r="BP12" s="438">
        <v>0</v>
      </c>
      <c r="BQ12" s="437">
        <v>5392</v>
      </c>
      <c r="BR12" s="438">
        <v>1</v>
      </c>
      <c r="BS12" s="438">
        <v>0</v>
      </c>
      <c r="BT12" s="438">
        <v>0</v>
      </c>
      <c r="BU12" s="438">
        <v>0</v>
      </c>
      <c r="BV12" s="438">
        <v>0</v>
      </c>
      <c r="BW12" s="438">
        <v>0</v>
      </c>
      <c r="BX12" s="438">
        <v>0</v>
      </c>
      <c r="BY12" s="438">
        <v>0</v>
      </c>
      <c r="BZ12" s="438">
        <v>0</v>
      </c>
      <c r="CA12" s="438">
        <v>0</v>
      </c>
      <c r="CB12" s="438">
        <v>0</v>
      </c>
      <c r="CC12" s="438">
        <v>0</v>
      </c>
      <c r="CG12" s="438">
        <v>0</v>
      </c>
      <c r="CH12" s="438">
        <v>0</v>
      </c>
      <c r="CI12" s="438">
        <v>0</v>
      </c>
      <c r="CJ12" s="438">
        <v>5</v>
      </c>
      <c r="CK12" s="438">
        <v>0</v>
      </c>
      <c r="CL12" s="438">
        <v>0</v>
      </c>
      <c r="CN12" s="438">
        <v>0</v>
      </c>
      <c r="CO12" s="438">
        <v>1</v>
      </c>
      <c r="CP12" s="438">
        <v>0</v>
      </c>
      <c r="CQ12" s="438">
        <v>0</v>
      </c>
      <c r="CR12" s="438">
        <v>24714.357</v>
      </c>
      <c r="CS12" s="438">
        <v>0</v>
      </c>
      <c r="CT12" s="438">
        <v>0</v>
      </c>
      <c r="CU12" s="438">
        <v>0</v>
      </c>
      <c r="CV12" s="438">
        <v>0</v>
      </c>
      <c r="CW12" s="438">
        <v>0</v>
      </c>
      <c r="CX12" s="438">
        <v>0</v>
      </c>
      <c r="CY12" s="438">
        <v>0</v>
      </c>
      <c r="CZ12" s="438">
        <v>0</v>
      </c>
      <c r="DA12" s="438">
        <v>1</v>
      </c>
      <c r="DB12" s="438">
        <v>156665205</v>
      </c>
      <c r="DC12" s="438">
        <v>0</v>
      </c>
      <c r="DD12" s="438">
        <v>0</v>
      </c>
      <c r="DE12" s="438">
        <v>30330131</v>
      </c>
      <c r="DF12" s="438">
        <v>30330131</v>
      </c>
      <c r="DG12" s="438">
        <v>23174</v>
      </c>
      <c r="DH12" s="438">
        <v>0</v>
      </c>
      <c r="DI12" s="438">
        <v>0</v>
      </c>
      <c r="DK12" s="437">
        <v>5392</v>
      </c>
      <c r="DL12" s="438">
        <v>0</v>
      </c>
      <c r="DM12" s="438">
        <v>13819866</v>
      </c>
      <c r="DN12" s="438">
        <v>0</v>
      </c>
      <c r="DO12" s="438">
        <v>0</v>
      </c>
      <c r="DP12" s="438">
        <v>0</v>
      </c>
      <c r="DQ12" s="438">
        <v>0</v>
      </c>
      <c r="DR12" s="438">
        <v>0</v>
      </c>
      <c r="DS12" s="438">
        <v>0</v>
      </c>
      <c r="DT12" s="438">
        <v>0</v>
      </c>
      <c r="DU12" s="438">
        <v>0</v>
      </c>
      <c r="DV12" s="438">
        <v>0</v>
      </c>
      <c r="DW12" s="438">
        <v>0</v>
      </c>
      <c r="DX12" s="438">
        <v>0</v>
      </c>
      <c r="DY12" s="438">
        <v>0</v>
      </c>
      <c r="DZ12" s="438">
        <v>0</v>
      </c>
      <c r="EA12" s="438">
        <v>0.42299999999999999</v>
      </c>
      <c r="EB12" s="438">
        <v>0</v>
      </c>
      <c r="EC12" s="438">
        <v>504.64</v>
      </c>
      <c r="ED12" s="438">
        <v>3632601</v>
      </c>
      <c r="EE12" s="438">
        <v>0</v>
      </c>
      <c r="EF12" s="438">
        <v>0</v>
      </c>
      <c r="EG12" s="438">
        <v>1.9079999999999999</v>
      </c>
      <c r="EH12" s="438">
        <v>10187265</v>
      </c>
      <c r="EI12" s="438">
        <v>0</v>
      </c>
      <c r="EJ12" s="438">
        <v>0</v>
      </c>
      <c r="EK12" s="438">
        <v>385.34699999999998</v>
      </c>
      <c r="EL12" s="438">
        <v>0.247</v>
      </c>
      <c r="EM12" s="438">
        <v>64.540000000000006</v>
      </c>
      <c r="EN12" s="438">
        <v>39.497</v>
      </c>
      <c r="EO12" s="438">
        <v>0</v>
      </c>
      <c r="EP12" s="438">
        <v>0</v>
      </c>
      <c r="EQ12" s="438">
        <v>492.649</v>
      </c>
      <c r="ER12" s="438">
        <v>0.68700000000000006</v>
      </c>
      <c r="ES12" s="438">
        <v>1556.7339999999999</v>
      </c>
      <c r="ET12" s="438">
        <v>0</v>
      </c>
      <c r="EU12" s="438">
        <v>7394380</v>
      </c>
      <c r="EV12" s="438">
        <v>0</v>
      </c>
      <c r="EW12" s="438">
        <v>0</v>
      </c>
      <c r="EX12" s="438">
        <v>0</v>
      </c>
      <c r="EZ12" s="438">
        <v>203850860</v>
      </c>
      <c r="FA12" s="438">
        <v>0</v>
      </c>
      <c r="FB12" s="438">
        <v>211245240</v>
      </c>
      <c r="FC12" s="438">
        <v>0.97334900000000002</v>
      </c>
      <c r="FD12" s="438">
        <v>0</v>
      </c>
      <c r="FE12" s="438">
        <v>29266290</v>
      </c>
      <c r="FF12" s="438">
        <v>6670431</v>
      </c>
      <c r="FG12" s="437">
        <v>5.7854999999999997E-2</v>
      </c>
      <c r="FH12" s="437">
        <v>5.2366000000000003E-2</v>
      </c>
      <c r="FI12" s="438">
        <v>0</v>
      </c>
      <c r="FJ12" s="438">
        <v>0</v>
      </c>
      <c r="FK12" s="438">
        <v>39868.841</v>
      </c>
      <c r="FL12" s="438">
        <v>247181961</v>
      </c>
      <c r="FM12" s="438">
        <v>0</v>
      </c>
      <c r="FN12" s="438">
        <v>0</v>
      </c>
      <c r="FO12" s="438">
        <v>820947</v>
      </c>
      <c r="FP12" s="438">
        <v>77072</v>
      </c>
      <c r="FQ12" s="438">
        <v>898019</v>
      </c>
      <c r="FR12" s="438">
        <v>820947</v>
      </c>
      <c r="FS12" s="438">
        <v>0</v>
      </c>
      <c r="FT12" s="438">
        <v>0</v>
      </c>
      <c r="FU12" s="438">
        <v>0</v>
      </c>
      <c r="FV12" s="438">
        <v>0</v>
      </c>
      <c r="FW12" s="438">
        <v>0</v>
      </c>
      <c r="FX12" s="438">
        <v>0</v>
      </c>
      <c r="FY12" s="438">
        <v>0</v>
      </c>
      <c r="FZ12" s="438">
        <v>0</v>
      </c>
      <c r="GA12" s="438">
        <v>0</v>
      </c>
      <c r="GB12" s="438">
        <v>2486230</v>
      </c>
      <c r="GC12" s="438">
        <v>2486230</v>
      </c>
      <c r="GD12" s="438">
        <v>281.42599999999999</v>
      </c>
      <c r="GF12" s="438">
        <v>0</v>
      </c>
      <c r="GG12" s="438">
        <v>0</v>
      </c>
      <c r="GH12" s="438">
        <v>0</v>
      </c>
      <c r="GI12" s="438">
        <v>0</v>
      </c>
      <c r="GJ12" s="438">
        <v>0</v>
      </c>
      <c r="GK12" s="438">
        <v>4835.2860000000001</v>
      </c>
      <c r="GL12" s="438">
        <v>15319</v>
      </c>
      <c r="GM12" s="438">
        <v>0</v>
      </c>
      <c r="GN12" s="438">
        <v>87195</v>
      </c>
      <c r="GO12" s="438">
        <v>0</v>
      </c>
      <c r="GP12" s="438">
        <v>247181961</v>
      </c>
      <c r="GQ12" s="438">
        <v>247181961</v>
      </c>
      <c r="GR12" s="438">
        <v>0</v>
      </c>
      <c r="GS12" s="438">
        <v>0</v>
      </c>
      <c r="GT12" s="438">
        <v>0</v>
      </c>
      <c r="HB12" s="438">
        <v>0</v>
      </c>
      <c r="HC12" s="437">
        <v>6.0754000000000002E-2</v>
      </c>
      <c r="HD12" s="438">
        <v>0</v>
      </c>
    </row>
    <row r="13" spans="1:212" x14ac:dyDescent="0.2">
      <c r="A13" s="438">
        <v>25836</v>
      </c>
      <c r="B13" s="442">
        <v>57830</v>
      </c>
      <c r="C13" s="438">
        <v>9</v>
      </c>
      <c r="D13" s="438">
        <v>2020</v>
      </c>
      <c r="E13" s="438">
        <v>5392</v>
      </c>
      <c r="F13" s="438">
        <v>0</v>
      </c>
      <c r="G13" s="438">
        <v>1251.1199999999999</v>
      </c>
      <c r="H13" s="438">
        <v>1179.7460000000001</v>
      </c>
      <c r="I13" s="438">
        <v>1179.7460000000001</v>
      </c>
      <c r="J13" s="438">
        <v>1251.1199999999999</v>
      </c>
      <c r="K13" s="438">
        <v>0</v>
      </c>
      <c r="L13" s="437">
        <v>6544</v>
      </c>
      <c r="M13" s="438">
        <v>0</v>
      </c>
      <c r="N13" s="438">
        <v>0</v>
      </c>
      <c r="P13" s="438">
        <v>1249.675</v>
      </c>
      <c r="Q13" s="438">
        <v>0</v>
      </c>
      <c r="R13" s="438">
        <v>309403</v>
      </c>
      <c r="S13" s="437">
        <v>247.58699999999999</v>
      </c>
      <c r="U13" s="438">
        <v>0</v>
      </c>
      <c r="V13" s="438">
        <v>506.84699999999998</v>
      </c>
      <c r="W13" s="438">
        <v>331681</v>
      </c>
      <c r="X13" s="438">
        <v>331681</v>
      </c>
      <c r="Z13" s="438">
        <v>0</v>
      </c>
      <c r="AA13" s="438">
        <v>1</v>
      </c>
      <c r="AB13" s="438">
        <v>1</v>
      </c>
      <c r="AC13" s="438">
        <v>0</v>
      </c>
      <c r="AD13" s="438" t="s">
        <v>332</v>
      </c>
      <c r="AE13" s="438">
        <v>0</v>
      </c>
      <c r="AH13" s="438">
        <v>0</v>
      </c>
      <c r="AI13" s="438">
        <v>0</v>
      </c>
      <c r="AJ13" s="437">
        <v>5105</v>
      </c>
      <c r="AK13" s="438" t="s">
        <v>561</v>
      </c>
      <c r="AL13" s="438" t="s">
        <v>47</v>
      </c>
      <c r="AM13" s="438">
        <v>0</v>
      </c>
      <c r="AN13" s="438">
        <v>0</v>
      </c>
      <c r="AO13" s="438">
        <v>0</v>
      </c>
      <c r="AP13" s="438">
        <v>0</v>
      </c>
      <c r="AQ13" s="438">
        <v>0</v>
      </c>
      <c r="AR13" s="438">
        <v>0</v>
      </c>
      <c r="AS13" s="438">
        <v>0</v>
      </c>
      <c r="AT13" s="438">
        <v>0</v>
      </c>
      <c r="AU13" s="438">
        <v>0</v>
      </c>
      <c r="AV13" s="438">
        <v>0</v>
      </c>
      <c r="AW13" s="438">
        <v>12639316</v>
      </c>
      <c r="AX13" s="438">
        <v>12500174</v>
      </c>
      <c r="AY13" s="438">
        <v>0</v>
      </c>
      <c r="AZ13" s="438">
        <v>410295</v>
      </c>
      <c r="BA13" s="438">
        <v>70.917000000000002</v>
      </c>
      <c r="BB13" s="438">
        <v>35338</v>
      </c>
      <c r="BC13" s="438">
        <v>35338</v>
      </c>
      <c r="BD13" s="438">
        <v>45</v>
      </c>
      <c r="BE13" s="438">
        <v>0</v>
      </c>
      <c r="BF13" s="438">
        <v>10639528</v>
      </c>
      <c r="BG13" s="438">
        <v>0</v>
      </c>
      <c r="BH13" s="438">
        <v>366.88</v>
      </c>
      <c r="BI13" s="438">
        <v>100892</v>
      </c>
      <c r="BJ13" s="438">
        <v>12</v>
      </c>
      <c r="BK13" s="438">
        <v>0</v>
      </c>
      <c r="BL13" s="438">
        <v>0</v>
      </c>
      <c r="BM13" s="438">
        <v>0</v>
      </c>
      <c r="BN13" s="438">
        <v>0</v>
      </c>
      <c r="BO13" s="438">
        <v>0</v>
      </c>
      <c r="BP13" s="438">
        <v>0</v>
      </c>
      <c r="BQ13" s="437">
        <v>5392</v>
      </c>
      <c r="BR13" s="438">
        <v>1</v>
      </c>
      <c r="BS13" s="438">
        <v>0</v>
      </c>
      <c r="BT13" s="438">
        <v>0</v>
      </c>
      <c r="BU13" s="438">
        <v>0</v>
      </c>
      <c r="BV13" s="438">
        <v>0</v>
      </c>
      <c r="BW13" s="438">
        <v>0</v>
      </c>
      <c r="BX13" s="438">
        <v>0</v>
      </c>
      <c r="BY13" s="438">
        <v>0</v>
      </c>
      <c r="BZ13" s="438">
        <v>0</v>
      </c>
      <c r="CA13" s="438">
        <v>0</v>
      </c>
      <c r="CB13" s="438">
        <v>0</v>
      </c>
      <c r="CC13" s="438">
        <v>0</v>
      </c>
      <c r="CG13" s="438">
        <v>0</v>
      </c>
      <c r="CH13" s="438">
        <v>38250</v>
      </c>
      <c r="CI13" s="438">
        <v>0</v>
      </c>
      <c r="CJ13" s="438">
        <v>4</v>
      </c>
      <c r="CK13" s="438">
        <v>0</v>
      </c>
      <c r="CL13" s="438">
        <v>0</v>
      </c>
      <c r="CN13" s="438">
        <v>0</v>
      </c>
      <c r="CO13" s="438">
        <v>1</v>
      </c>
      <c r="CP13" s="438">
        <v>0</v>
      </c>
      <c r="CQ13" s="438">
        <v>11.167</v>
      </c>
      <c r="CR13" s="438">
        <v>1251.1199999999999</v>
      </c>
      <c r="CS13" s="438">
        <v>0</v>
      </c>
      <c r="CT13" s="438">
        <v>0</v>
      </c>
      <c r="CU13" s="438">
        <v>0</v>
      </c>
      <c r="CV13" s="438">
        <v>0</v>
      </c>
      <c r="CW13" s="438">
        <v>0</v>
      </c>
      <c r="CX13" s="438">
        <v>0</v>
      </c>
      <c r="CY13" s="438">
        <v>0</v>
      </c>
      <c r="CZ13" s="438">
        <v>0</v>
      </c>
      <c r="DA13" s="438">
        <v>1</v>
      </c>
      <c r="DB13" s="438">
        <v>7720258</v>
      </c>
      <c r="DC13" s="438">
        <v>0</v>
      </c>
      <c r="DD13" s="438">
        <v>82.084000000000003</v>
      </c>
      <c r="DE13" s="438">
        <v>1544934</v>
      </c>
      <c r="DF13" s="438">
        <v>1544934</v>
      </c>
      <c r="DG13" s="438">
        <v>1180.42</v>
      </c>
      <c r="DH13" s="438">
        <v>0</v>
      </c>
      <c r="DI13" s="438">
        <v>0</v>
      </c>
      <c r="DK13" s="437">
        <v>5392</v>
      </c>
      <c r="DL13" s="438">
        <v>0</v>
      </c>
      <c r="DM13" s="438">
        <v>906180</v>
      </c>
      <c r="DN13" s="438">
        <v>0</v>
      </c>
      <c r="DO13" s="438">
        <v>0</v>
      </c>
      <c r="DP13" s="438">
        <v>0</v>
      </c>
      <c r="DQ13" s="438">
        <v>0</v>
      </c>
      <c r="DR13" s="438">
        <v>0</v>
      </c>
      <c r="DS13" s="438">
        <v>0</v>
      </c>
      <c r="DT13" s="438">
        <v>0</v>
      </c>
      <c r="DU13" s="438">
        <v>0</v>
      </c>
      <c r="DV13" s="438">
        <v>0</v>
      </c>
      <c r="DW13" s="438">
        <v>0</v>
      </c>
      <c r="DX13" s="438">
        <v>0</v>
      </c>
      <c r="DY13" s="438">
        <v>0</v>
      </c>
      <c r="DZ13" s="438">
        <v>0</v>
      </c>
      <c r="EA13" s="438">
        <v>0</v>
      </c>
      <c r="EB13" s="438">
        <v>0</v>
      </c>
      <c r="EC13" s="438">
        <v>48.798000000000002</v>
      </c>
      <c r="ED13" s="438">
        <v>351268</v>
      </c>
      <c r="EE13" s="438">
        <v>0</v>
      </c>
      <c r="EF13" s="438">
        <v>0</v>
      </c>
      <c r="EG13" s="438">
        <v>0</v>
      </c>
      <c r="EH13" s="438">
        <v>554912</v>
      </c>
      <c r="EI13" s="438">
        <v>0</v>
      </c>
      <c r="EJ13" s="438">
        <v>0</v>
      </c>
      <c r="EK13" s="438">
        <v>19.884</v>
      </c>
      <c r="EL13" s="438">
        <v>0.04</v>
      </c>
      <c r="EM13" s="438">
        <v>5.0549999999999997</v>
      </c>
      <c r="EN13" s="438">
        <v>1.972</v>
      </c>
      <c r="EO13" s="438">
        <v>0</v>
      </c>
      <c r="EP13" s="438">
        <v>0</v>
      </c>
      <c r="EQ13" s="438">
        <v>26.951000000000001</v>
      </c>
      <c r="ER13" s="438">
        <v>0</v>
      </c>
      <c r="ES13" s="438">
        <v>84.796999999999997</v>
      </c>
      <c r="ET13" s="438">
        <v>38250</v>
      </c>
      <c r="EU13" s="438">
        <v>410295</v>
      </c>
      <c r="EV13" s="438">
        <v>0</v>
      </c>
      <c r="EW13" s="438">
        <v>0</v>
      </c>
      <c r="EX13" s="438">
        <v>0</v>
      </c>
      <c r="EZ13" s="438">
        <v>10621439</v>
      </c>
      <c r="FA13" s="438">
        <v>0</v>
      </c>
      <c r="FB13" s="438">
        <v>11031734</v>
      </c>
      <c r="FC13" s="438">
        <v>0.97334900000000002</v>
      </c>
      <c r="FD13" s="438">
        <v>0</v>
      </c>
      <c r="FE13" s="438">
        <v>1530012</v>
      </c>
      <c r="FF13" s="438">
        <v>348723</v>
      </c>
      <c r="FG13" s="437">
        <v>5.7854999999999997E-2</v>
      </c>
      <c r="FH13" s="437">
        <v>5.2366000000000003E-2</v>
      </c>
      <c r="FI13" s="438">
        <v>0</v>
      </c>
      <c r="FJ13" s="438">
        <v>0</v>
      </c>
      <c r="FK13" s="438">
        <v>2084.3020000000001</v>
      </c>
      <c r="FL13" s="438">
        <v>12948719</v>
      </c>
      <c r="FM13" s="438">
        <v>0</v>
      </c>
      <c r="FN13" s="438">
        <v>0</v>
      </c>
      <c r="FO13" s="438">
        <v>0</v>
      </c>
      <c r="FP13" s="438">
        <v>0</v>
      </c>
      <c r="FQ13" s="438">
        <v>0</v>
      </c>
      <c r="FR13" s="438">
        <v>0</v>
      </c>
      <c r="FS13" s="438">
        <v>0</v>
      </c>
      <c r="FT13" s="438">
        <v>0</v>
      </c>
      <c r="FU13" s="438">
        <v>0</v>
      </c>
      <c r="FV13" s="438">
        <v>0</v>
      </c>
      <c r="FW13" s="438">
        <v>0</v>
      </c>
      <c r="FX13" s="438">
        <v>0</v>
      </c>
      <c r="FY13" s="438">
        <v>0</v>
      </c>
      <c r="FZ13" s="438">
        <v>0</v>
      </c>
      <c r="GA13" s="438">
        <v>0</v>
      </c>
      <c r="GB13" s="438">
        <v>392451</v>
      </c>
      <c r="GC13" s="438">
        <v>392451</v>
      </c>
      <c r="GD13" s="438">
        <v>44.423000000000002</v>
      </c>
      <c r="GF13" s="438">
        <v>0</v>
      </c>
      <c r="GG13" s="438">
        <v>0</v>
      </c>
      <c r="GH13" s="438">
        <v>0</v>
      </c>
      <c r="GI13" s="438">
        <v>0</v>
      </c>
      <c r="GJ13" s="438">
        <v>0</v>
      </c>
      <c r="GK13" s="438">
        <v>4840.8440000000001</v>
      </c>
      <c r="GL13" s="438">
        <v>25483</v>
      </c>
      <c r="GM13" s="438">
        <v>0</v>
      </c>
      <c r="GN13" s="438">
        <v>0</v>
      </c>
      <c r="GO13" s="438">
        <v>0</v>
      </c>
      <c r="GP13" s="438">
        <v>12910469</v>
      </c>
      <c r="GQ13" s="438">
        <v>12910469</v>
      </c>
      <c r="GR13" s="438">
        <v>0</v>
      </c>
      <c r="GS13" s="438">
        <v>0</v>
      </c>
      <c r="GT13" s="438">
        <v>0</v>
      </c>
      <c r="HB13" s="438">
        <v>0</v>
      </c>
      <c r="HC13" s="437">
        <v>6.0754000000000002E-2</v>
      </c>
      <c r="HD13" s="438">
        <v>0</v>
      </c>
    </row>
    <row r="14" spans="1:212" x14ac:dyDescent="0.2">
      <c r="A14" s="438">
        <v>25836</v>
      </c>
      <c r="B14" s="442">
        <v>57829</v>
      </c>
      <c r="C14" s="438">
        <v>9</v>
      </c>
      <c r="D14" s="438">
        <v>2020</v>
      </c>
      <c r="E14" s="438">
        <v>5392</v>
      </c>
      <c r="F14" s="438">
        <v>0</v>
      </c>
      <c r="G14" s="438">
        <v>1300.2729999999999</v>
      </c>
      <c r="H14" s="438">
        <v>1174.2</v>
      </c>
      <c r="I14" s="438">
        <v>1174.2</v>
      </c>
      <c r="J14" s="438">
        <v>1300.2729999999999</v>
      </c>
      <c r="K14" s="438">
        <v>0</v>
      </c>
      <c r="L14" s="437">
        <v>6544</v>
      </c>
      <c r="M14" s="438">
        <v>0</v>
      </c>
      <c r="N14" s="438">
        <v>0</v>
      </c>
      <c r="P14" s="438">
        <v>1299.1179999999999</v>
      </c>
      <c r="Q14" s="438">
        <v>0</v>
      </c>
      <c r="R14" s="438">
        <v>321645</v>
      </c>
      <c r="S14" s="437">
        <v>247.58699999999999</v>
      </c>
      <c r="U14" s="438">
        <v>0</v>
      </c>
      <c r="V14" s="438">
        <v>633.67200000000003</v>
      </c>
      <c r="W14" s="438">
        <v>414675</v>
      </c>
      <c r="X14" s="438">
        <v>414675</v>
      </c>
      <c r="Z14" s="438">
        <v>0</v>
      </c>
      <c r="AA14" s="438">
        <v>1</v>
      </c>
      <c r="AB14" s="438">
        <v>1</v>
      </c>
      <c r="AC14" s="438">
        <v>0</v>
      </c>
      <c r="AD14" s="438" t="s">
        <v>332</v>
      </c>
      <c r="AE14" s="438">
        <v>0</v>
      </c>
      <c r="AH14" s="438">
        <v>0</v>
      </c>
      <c r="AI14" s="438">
        <v>0</v>
      </c>
      <c r="AJ14" s="437">
        <v>5105</v>
      </c>
      <c r="AK14" s="438" t="s">
        <v>561</v>
      </c>
      <c r="AL14" s="438" t="s">
        <v>46</v>
      </c>
      <c r="AM14" s="438">
        <v>0</v>
      </c>
      <c r="AN14" s="438">
        <v>0</v>
      </c>
      <c r="AO14" s="438">
        <v>0</v>
      </c>
      <c r="AP14" s="438">
        <v>0</v>
      </c>
      <c r="AQ14" s="438">
        <v>0</v>
      </c>
      <c r="AR14" s="438">
        <v>0</v>
      </c>
      <c r="AS14" s="438">
        <v>0</v>
      </c>
      <c r="AT14" s="438">
        <v>0</v>
      </c>
      <c r="AU14" s="438">
        <v>0</v>
      </c>
      <c r="AV14" s="438">
        <v>0</v>
      </c>
      <c r="AW14" s="438">
        <v>13230720</v>
      </c>
      <c r="AX14" s="438">
        <v>13103320</v>
      </c>
      <c r="AY14" s="438">
        <v>0</v>
      </c>
      <c r="AZ14" s="438">
        <v>412295</v>
      </c>
      <c r="BA14" s="438">
        <v>67.917000000000002</v>
      </c>
      <c r="BB14" s="438">
        <v>24867</v>
      </c>
      <c r="BC14" s="438">
        <v>24867</v>
      </c>
      <c r="BD14" s="438">
        <v>31.667000000000002</v>
      </c>
      <c r="BE14" s="438">
        <v>0</v>
      </c>
      <c r="BF14" s="438">
        <v>11150664</v>
      </c>
      <c r="BG14" s="438">
        <v>0</v>
      </c>
      <c r="BH14" s="438">
        <v>329.637</v>
      </c>
      <c r="BI14" s="438">
        <v>90650</v>
      </c>
      <c r="BJ14" s="438">
        <v>12</v>
      </c>
      <c r="BK14" s="438">
        <v>0</v>
      </c>
      <c r="BL14" s="438">
        <v>0</v>
      </c>
      <c r="BM14" s="438">
        <v>0</v>
      </c>
      <c r="BN14" s="438">
        <v>0</v>
      </c>
      <c r="BO14" s="438">
        <v>0</v>
      </c>
      <c r="BP14" s="438">
        <v>0</v>
      </c>
      <c r="BQ14" s="437">
        <v>5392</v>
      </c>
      <c r="BR14" s="438">
        <v>1</v>
      </c>
      <c r="BS14" s="438">
        <v>0</v>
      </c>
      <c r="BT14" s="438">
        <v>0</v>
      </c>
      <c r="BU14" s="438">
        <v>0</v>
      </c>
      <c r="BV14" s="438">
        <v>0</v>
      </c>
      <c r="BW14" s="438">
        <v>0</v>
      </c>
      <c r="BX14" s="438">
        <v>0</v>
      </c>
      <c r="BY14" s="438">
        <v>0</v>
      </c>
      <c r="BZ14" s="438">
        <v>0</v>
      </c>
      <c r="CA14" s="438">
        <v>0</v>
      </c>
      <c r="CB14" s="438">
        <v>0</v>
      </c>
      <c r="CC14" s="438">
        <v>0</v>
      </c>
      <c r="CG14" s="438">
        <v>0</v>
      </c>
      <c r="CH14" s="438">
        <v>36750</v>
      </c>
      <c r="CI14" s="438">
        <v>0</v>
      </c>
      <c r="CJ14" s="438">
        <v>5</v>
      </c>
      <c r="CK14" s="438">
        <v>0</v>
      </c>
      <c r="CL14" s="438">
        <v>0</v>
      </c>
      <c r="CN14" s="438">
        <v>0</v>
      </c>
      <c r="CO14" s="438">
        <v>1</v>
      </c>
      <c r="CP14" s="438">
        <v>0</v>
      </c>
      <c r="CQ14" s="438">
        <v>11.167</v>
      </c>
      <c r="CR14" s="438">
        <v>1300.2729999999999</v>
      </c>
      <c r="CS14" s="438">
        <v>0</v>
      </c>
      <c r="CT14" s="438">
        <v>0</v>
      </c>
      <c r="CU14" s="438">
        <v>0</v>
      </c>
      <c r="CV14" s="438">
        <v>0</v>
      </c>
      <c r="CW14" s="438">
        <v>0</v>
      </c>
      <c r="CX14" s="438">
        <v>0</v>
      </c>
      <c r="CY14" s="438">
        <v>0</v>
      </c>
      <c r="CZ14" s="438">
        <v>0</v>
      </c>
      <c r="DA14" s="438">
        <v>1</v>
      </c>
      <c r="DB14" s="438">
        <v>7683965</v>
      </c>
      <c r="DC14" s="438">
        <v>0</v>
      </c>
      <c r="DD14" s="438">
        <v>79.084000000000003</v>
      </c>
      <c r="DE14" s="438">
        <v>1506861</v>
      </c>
      <c r="DF14" s="438">
        <v>1506861</v>
      </c>
      <c r="DG14" s="438">
        <v>1151.33</v>
      </c>
      <c r="DH14" s="438">
        <v>0</v>
      </c>
      <c r="DI14" s="438">
        <v>0</v>
      </c>
      <c r="DK14" s="437">
        <v>5392</v>
      </c>
      <c r="DL14" s="438">
        <v>0</v>
      </c>
      <c r="DM14" s="438">
        <v>1073621</v>
      </c>
      <c r="DN14" s="438">
        <v>0</v>
      </c>
      <c r="DO14" s="438">
        <v>0</v>
      </c>
      <c r="DP14" s="438">
        <v>0</v>
      </c>
      <c r="DQ14" s="438">
        <v>0</v>
      </c>
      <c r="DR14" s="438">
        <v>0</v>
      </c>
      <c r="DS14" s="438">
        <v>0</v>
      </c>
      <c r="DT14" s="438">
        <v>0</v>
      </c>
      <c r="DU14" s="438">
        <v>0</v>
      </c>
      <c r="DV14" s="438">
        <v>0</v>
      </c>
      <c r="DW14" s="438">
        <v>0</v>
      </c>
      <c r="DX14" s="438">
        <v>0</v>
      </c>
      <c r="DY14" s="438">
        <v>0</v>
      </c>
      <c r="DZ14" s="438">
        <v>0</v>
      </c>
      <c r="EA14" s="438">
        <v>0</v>
      </c>
      <c r="EB14" s="438">
        <v>0</v>
      </c>
      <c r="EC14" s="438">
        <v>32.948</v>
      </c>
      <c r="ED14" s="438">
        <v>237173</v>
      </c>
      <c r="EE14" s="438">
        <v>0</v>
      </c>
      <c r="EF14" s="438">
        <v>0</v>
      </c>
      <c r="EG14" s="438">
        <v>0</v>
      </c>
      <c r="EH14" s="438">
        <v>836448</v>
      </c>
      <c r="EI14" s="438">
        <v>0</v>
      </c>
      <c r="EJ14" s="438">
        <v>0</v>
      </c>
      <c r="EK14" s="438">
        <v>26.76</v>
      </c>
      <c r="EL14" s="438">
        <v>3.0000000000000001E-3</v>
      </c>
      <c r="EM14" s="438">
        <v>11.709999999999999</v>
      </c>
      <c r="EN14" s="438">
        <v>2.48</v>
      </c>
      <c r="EO14" s="438">
        <v>0</v>
      </c>
      <c r="EP14" s="438">
        <v>0</v>
      </c>
      <c r="EQ14" s="438">
        <v>40.953000000000003</v>
      </c>
      <c r="ER14" s="438">
        <v>0</v>
      </c>
      <c r="ES14" s="438">
        <v>127.819</v>
      </c>
      <c r="ET14" s="438">
        <v>36750</v>
      </c>
      <c r="EU14" s="438">
        <v>412295</v>
      </c>
      <c r="EV14" s="438">
        <v>0</v>
      </c>
      <c r="EW14" s="438">
        <v>0</v>
      </c>
      <c r="EX14" s="438">
        <v>0</v>
      </c>
      <c r="EZ14" s="438">
        <v>11134328</v>
      </c>
      <c r="FA14" s="438">
        <v>0</v>
      </c>
      <c r="FB14" s="438">
        <v>11546623</v>
      </c>
      <c r="FC14" s="438">
        <v>0.97334900000000002</v>
      </c>
      <c r="FD14" s="438">
        <v>0</v>
      </c>
      <c r="FE14" s="438">
        <v>1603516</v>
      </c>
      <c r="FF14" s="438">
        <v>365476</v>
      </c>
      <c r="FG14" s="437">
        <v>5.7854999999999997E-2</v>
      </c>
      <c r="FH14" s="437">
        <v>5.2366000000000003E-2</v>
      </c>
      <c r="FI14" s="438">
        <v>0</v>
      </c>
      <c r="FJ14" s="438">
        <v>0</v>
      </c>
      <c r="FK14" s="438">
        <v>2184.4349999999999</v>
      </c>
      <c r="FL14" s="438">
        <v>13552365</v>
      </c>
      <c r="FM14" s="438">
        <v>0</v>
      </c>
      <c r="FN14" s="438">
        <v>0</v>
      </c>
      <c r="FO14" s="438">
        <v>0</v>
      </c>
      <c r="FP14" s="438">
        <v>0</v>
      </c>
      <c r="FQ14" s="438">
        <v>0</v>
      </c>
      <c r="FR14" s="438">
        <v>0</v>
      </c>
      <c r="FS14" s="438">
        <v>0</v>
      </c>
      <c r="FT14" s="438">
        <v>0</v>
      </c>
      <c r="FU14" s="438">
        <v>0</v>
      </c>
      <c r="FV14" s="438">
        <v>0</v>
      </c>
      <c r="FW14" s="438">
        <v>0</v>
      </c>
      <c r="FX14" s="438">
        <v>0</v>
      </c>
      <c r="FY14" s="438">
        <v>0</v>
      </c>
      <c r="FZ14" s="438">
        <v>0</v>
      </c>
      <c r="GA14" s="438">
        <v>0</v>
      </c>
      <c r="GB14" s="438">
        <v>751984</v>
      </c>
      <c r="GC14" s="438">
        <v>751984</v>
      </c>
      <c r="GD14" s="438">
        <v>85.12</v>
      </c>
      <c r="GF14" s="438">
        <v>0</v>
      </c>
      <c r="GG14" s="438">
        <v>0</v>
      </c>
      <c r="GH14" s="438">
        <v>0</v>
      </c>
      <c r="GI14" s="438">
        <v>0</v>
      </c>
      <c r="GJ14" s="438">
        <v>0</v>
      </c>
      <c r="GK14" s="438">
        <v>4852.8860000000004</v>
      </c>
      <c r="GL14" s="438">
        <v>29074</v>
      </c>
      <c r="GM14" s="438">
        <v>0</v>
      </c>
      <c r="GN14" s="438">
        <v>0</v>
      </c>
      <c r="GO14" s="438">
        <v>0</v>
      </c>
      <c r="GP14" s="438">
        <v>13515615</v>
      </c>
      <c r="GQ14" s="438">
        <v>13515615</v>
      </c>
      <c r="GR14" s="438">
        <v>0</v>
      </c>
      <c r="GS14" s="438">
        <v>0</v>
      </c>
      <c r="GT14" s="438">
        <v>0</v>
      </c>
      <c r="HB14" s="438">
        <v>0</v>
      </c>
      <c r="HC14" s="437">
        <v>6.0754000000000002E-2</v>
      </c>
      <c r="HD14" s="438">
        <v>0</v>
      </c>
    </row>
    <row r="15" spans="1:212" x14ac:dyDescent="0.2">
      <c r="A15" s="438">
        <v>25836</v>
      </c>
      <c r="B15" s="442">
        <v>3801</v>
      </c>
      <c r="C15" s="438">
        <v>9</v>
      </c>
      <c r="D15" s="438">
        <v>2020</v>
      </c>
      <c r="E15" s="438">
        <v>5392</v>
      </c>
      <c r="F15" s="438">
        <v>0</v>
      </c>
      <c r="G15" s="438">
        <v>888.18499999999995</v>
      </c>
      <c r="H15" s="438">
        <v>840.41600000000005</v>
      </c>
      <c r="I15" s="438">
        <v>840.41600000000005</v>
      </c>
      <c r="J15" s="438">
        <v>888.18499999999995</v>
      </c>
      <c r="K15" s="438">
        <v>0</v>
      </c>
      <c r="L15" s="437">
        <v>6544</v>
      </c>
      <c r="M15" s="438">
        <v>0</v>
      </c>
      <c r="N15" s="438">
        <v>0</v>
      </c>
      <c r="P15" s="438">
        <v>890.95699999999999</v>
      </c>
      <c r="Q15" s="438">
        <v>0</v>
      </c>
      <c r="R15" s="438">
        <v>220589</v>
      </c>
      <c r="S15" s="437">
        <v>247.58699999999999</v>
      </c>
      <c r="U15" s="438">
        <v>0</v>
      </c>
      <c r="V15" s="438">
        <v>44.633000000000003</v>
      </c>
      <c r="W15" s="438">
        <v>29208</v>
      </c>
      <c r="X15" s="438">
        <v>29208</v>
      </c>
      <c r="Z15" s="438">
        <v>0</v>
      </c>
      <c r="AA15" s="438">
        <v>1</v>
      </c>
      <c r="AB15" s="438">
        <v>1</v>
      </c>
      <c r="AC15" s="438">
        <v>0</v>
      </c>
      <c r="AD15" s="438" t="s">
        <v>332</v>
      </c>
      <c r="AE15" s="438">
        <v>0</v>
      </c>
      <c r="AH15" s="438">
        <v>0</v>
      </c>
      <c r="AI15" s="438">
        <v>0</v>
      </c>
      <c r="AJ15" s="437">
        <v>5105</v>
      </c>
      <c r="AK15" s="438" t="s">
        <v>561</v>
      </c>
      <c r="AL15" s="438" t="s">
        <v>56</v>
      </c>
      <c r="AM15" s="438">
        <v>0</v>
      </c>
      <c r="AN15" s="438">
        <v>0</v>
      </c>
      <c r="AO15" s="438">
        <v>0</v>
      </c>
      <c r="AP15" s="438">
        <v>0</v>
      </c>
      <c r="AQ15" s="438">
        <v>0</v>
      </c>
      <c r="AR15" s="438">
        <v>0</v>
      </c>
      <c r="AS15" s="438">
        <v>0</v>
      </c>
      <c r="AT15" s="438">
        <v>0</v>
      </c>
      <c r="AU15" s="438">
        <v>0</v>
      </c>
      <c r="AV15" s="438">
        <v>0</v>
      </c>
      <c r="AW15" s="438">
        <v>8258109</v>
      </c>
      <c r="AX15" s="438">
        <v>8169181</v>
      </c>
      <c r="AY15" s="438">
        <v>0</v>
      </c>
      <c r="AZ15" s="438">
        <v>282767</v>
      </c>
      <c r="BA15" s="438">
        <v>53.25</v>
      </c>
      <c r="BB15" s="438">
        <v>34552</v>
      </c>
      <c r="BC15" s="438">
        <v>34552</v>
      </c>
      <c r="BD15" s="438">
        <v>44</v>
      </c>
      <c r="BE15" s="438">
        <v>0</v>
      </c>
      <c r="BF15" s="438">
        <v>6968473</v>
      </c>
      <c r="BG15" s="438">
        <v>0</v>
      </c>
      <c r="BH15" s="438">
        <v>226.1</v>
      </c>
      <c r="BI15" s="438">
        <v>62178</v>
      </c>
      <c r="BJ15" s="438">
        <v>12</v>
      </c>
      <c r="BK15" s="438">
        <v>0</v>
      </c>
      <c r="BL15" s="438">
        <v>0</v>
      </c>
      <c r="BM15" s="438">
        <v>0</v>
      </c>
      <c r="BN15" s="438">
        <v>0</v>
      </c>
      <c r="BO15" s="438">
        <v>0</v>
      </c>
      <c r="BP15" s="438">
        <v>0</v>
      </c>
      <c r="BQ15" s="437">
        <v>5392</v>
      </c>
      <c r="BR15" s="438">
        <v>1</v>
      </c>
      <c r="BS15" s="438">
        <v>0</v>
      </c>
      <c r="BT15" s="438">
        <v>0</v>
      </c>
      <c r="BU15" s="438">
        <v>0</v>
      </c>
      <c r="BV15" s="438">
        <v>0</v>
      </c>
      <c r="BW15" s="438">
        <v>0</v>
      </c>
      <c r="BX15" s="438">
        <v>0</v>
      </c>
      <c r="BY15" s="438">
        <v>0</v>
      </c>
      <c r="BZ15" s="438">
        <v>0</v>
      </c>
      <c r="CA15" s="438">
        <v>0</v>
      </c>
      <c r="CB15" s="438">
        <v>0</v>
      </c>
      <c r="CC15" s="438">
        <v>0</v>
      </c>
      <c r="CG15" s="438">
        <v>0</v>
      </c>
      <c r="CH15" s="438">
        <v>26750</v>
      </c>
      <c r="CI15" s="438">
        <v>0</v>
      </c>
      <c r="CJ15" s="438">
        <v>4</v>
      </c>
      <c r="CK15" s="438">
        <v>0</v>
      </c>
      <c r="CL15" s="438">
        <v>0</v>
      </c>
      <c r="CN15" s="438">
        <v>0</v>
      </c>
      <c r="CO15" s="438">
        <v>1</v>
      </c>
      <c r="CP15" s="438">
        <v>0</v>
      </c>
      <c r="CQ15" s="438">
        <v>0.5</v>
      </c>
      <c r="CR15" s="438">
        <v>888.18499999999995</v>
      </c>
      <c r="CS15" s="438">
        <v>0</v>
      </c>
      <c r="CT15" s="438">
        <v>0</v>
      </c>
      <c r="CU15" s="438">
        <v>0</v>
      </c>
      <c r="CV15" s="438">
        <v>0</v>
      </c>
      <c r="CW15" s="438">
        <v>0</v>
      </c>
      <c r="CX15" s="438">
        <v>0</v>
      </c>
      <c r="CY15" s="438">
        <v>0</v>
      </c>
      <c r="CZ15" s="438">
        <v>0</v>
      </c>
      <c r="DA15" s="438">
        <v>1</v>
      </c>
      <c r="DB15" s="438">
        <v>5499682</v>
      </c>
      <c r="DC15" s="438">
        <v>0</v>
      </c>
      <c r="DD15" s="438">
        <v>53.75</v>
      </c>
      <c r="DE15" s="438">
        <v>751683</v>
      </c>
      <c r="DF15" s="438">
        <v>751683</v>
      </c>
      <c r="DG15" s="438">
        <v>574.33000000000004</v>
      </c>
      <c r="DH15" s="438">
        <v>0</v>
      </c>
      <c r="DI15" s="438">
        <v>0</v>
      </c>
      <c r="DK15" s="437">
        <v>5392</v>
      </c>
      <c r="DL15" s="438">
        <v>0</v>
      </c>
      <c r="DM15" s="438">
        <v>606449</v>
      </c>
      <c r="DN15" s="438">
        <v>0</v>
      </c>
      <c r="DO15" s="438">
        <v>0</v>
      </c>
      <c r="DP15" s="438">
        <v>0</v>
      </c>
      <c r="DQ15" s="438">
        <v>0</v>
      </c>
      <c r="DR15" s="438">
        <v>0</v>
      </c>
      <c r="DS15" s="438">
        <v>0</v>
      </c>
      <c r="DT15" s="438">
        <v>0</v>
      </c>
      <c r="DU15" s="438">
        <v>0</v>
      </c>
      <c r="DV15" s="438">
        <v>0</v>
      </c>
      <c r="DW15" s="438">
        <v>0</v>
      </c>
      <c r="DX15" s="438">
        <v>0</v>
      </c>
      <c r="DY15" s="438">
        <v>0</v>
      </c>
      <c r="DZ15" s="438">
        <v>0</v>
      </c>
      <c r="EA15" s="438">
        <v>5.1999999999999998E-2</v>
      </c>
      <c r="EB15" s="438">
        <v>0</v>
      </c>
      <c r="EC15" s="438">
        <v>26.065000000000001</v>
      </c>
      <c r="ED15" s="438">
        <v>187626</v>
      </c>
      <c r="EE15" s="438">
        <v>0</v>
      </c>
      <c r="EF15" s="438">
        <v>0</v>
      </c>
      <c r="EG15" s="438">
        <v>0</v>
      </c>
      <c r="EH15" s="438">
        <v>418823</v>
      </c>
      <c r="EI15" s="438">
        <v>0</v>
      </c>
      <c r="EJ15" s="438">
        <v>0</v>
      </c>
      <c r="EK15" s="438">
        <v>20.157</v>
      </c>
      <c r="EL15" s="438">
        <v>0</v>
      </c>
      <c r="EM15" s="438">
        <v>0</v>
      </c>
      <c r="EN15" s="438">
        <v>0.65400000000000003</v>
      </c>
      <c r="EO15" s="438">
        <v>0</v>
      </c>
      <c r="EP15" s="438">
        <v>0</v>
      </c>
      <c r="EQ15" s="438">
        <v>20.863</v>
      </c>
      <c r="ER15" s="438">
        <v>0</v>
      </c>
      <c r="ES15" s="438">
        <v>64.001000000000005</v>
      </c>
      <c r="ET15" s="438">
        <v>26750</v>
      </c>
      <c r="EU15" s="438">
        <v>282767</v>
      </c>
      <c r="EV15" s="438">
        <v>0</v>
      </c>
      <c r="EW15" s="438">
        <v>0</v>
      </c>
      <c r="EX15" s="438">
        <v>0</v>
      </c>
      <c r="EZ15" s="438">
        <v>6938683</v>
      </c>
      <c r="FA15" s="438">
        <v>0</v>
      </c>
      <c r="FB15" s="438">
        <v>7221450</v>
      </c>
      <c r="FC15" s="438">
        <v>0.97334900000000002</v>
      </c>
      <c r="FD15" s="438">
        <v>0</v>
      </c>
      <c r="FE15" s="438">
        <v>1002098</v>
      </c>
      <c r="FF15" s="438">
        <v>228400</v>
      </c>
      <c r="FG15" s="437">
        <v>5.7854999999999997E-2</v>
      </c>
      <c r="FH15" s="437">
        <v>5.2366000000000003E-2</v>
      </c>
      <c r="FI15" s="438">
        <v>0</v>
      </c>
      <c r="FJ15" s="438">
        <v>0</v>
      </c>
      <c r="FK15" s="438">
        <v>1365.136</v>
      </c>
      <c r="FL15" s="438">
        <v>8478698</v>
      </c>
      <c r="FM15" s="438">
        <v>0</v>
      </c>
      <c r="FN15" s="438">
        <v>0</v>
      </c>
      <c r="FO15" s="438">
        <v>0</v>
      </c>
      <c r="FP15" s="438">
        <v>0</v>
      </c>
      <c r="FQ15" s="438">
        <v>0</v>
      </c>
      <c r="FR15" s="438">
        <v>0</v>
      </c>
      <c r="FS15" s="438">
        <v>0</v>
      </c>
      <c r="FT15" s="438">
        <v>0</v>
      </c>
      <c r="FU15" s="438">
        <v>0</v>
      </c>
      <c r="FV15" s="438">
        <v>0</v>
      </c>
      <c r="FW15" s="438">
        <v>0</v>
      </c>
      <c r="FX15" s="438">
        <v>0</v>
      </c>
      <c r="FY15" s="438">
        <v>0</v>
      </c>
      <c r="FZ15" s="438">
        <v>0</v>
      </c>
      <c r="GA15" s="438">
        <v>0</v>
      </c>
      <c r="GB15" s="438">
        <v>237698</v>
      </c>
      <c r="GC15" s="438">
        <v>237698</v>
      </c>
      <c r="GD15" s="438">
        <v>26.905999999999999</v>
      </c>
      <c r="GF15" s="438">
        <v>0</v>
      </c>
      <c r="GG15" s="438">
        <v>0</v>
      </c>
      <c r="GH15" s="438">
        <v>0</v>
      </c>
      <c r="GI15" s="438">
        <v>0</v>
      </c>
      <c r="GJ15" s="438">
        <v>0</v>
      </c>
      <c r="GK15" s="438">
        <v>4630.5739999999996</v>
      </c>
      <c r="GL15" s="438">
        <v>8776</v>
      </c>
      <c r="GM15" s="438">
        <v>0</v>
      </c>
      <c r="GN15" s="438">
        <v>0</v>
      </c>
      <c r="GO15" s="438">
        <v>0</v>
      </c>
      <c r="GP15" s="438">
        <v>8451948</v>
      </c>
      <c r="GQ15" s="438">
        <v>8451948</v>
      </c>
      <c r="GR15" s="438">
        <v>0</v>
      </c>
      <c r="GS15" s="438">
        <v>0</v>
      </c>
      <c r="GT15" s="438">
        <v>0</v>
      </c>
      <c r="HB15" s="438">
        <v>0</v>
      </c>
      <c r="HC15" s="437">
        <v>6.0754000000000002E-2</v>
      </c>
      <c r="HD15" s="438">
        <v>0</v>
      </c>
    </row>
    <row r="16" spans="1:212" x14ac:dyDescent="0.2">
      <c r="A16" s="438">
        <v>25836</v>
      </c>
      <c r="B16" s="442">
        <v>13801</v>
      </c>
      <c r="C16" s="438">
        <v>9</v>
      </c>
      <c r="D16" s="438">
        <v>2020</v>
      </c>
      <c r="E16" s="438">
        <v>5392</v>
      </c>
      <c r="F16" s="438">
        <v>0</v>
      </c>
      <c r="G16" s="438">
        <v>407.24200000000002</v>
      </c>
      <c r="H16" s="438">
        <v>397.89299999999997</v>
      </c>
      <c r="I16" s="438">
        <v>397.89299999999997</v>
      </c>
      <c r="J16" s="438">
        <v>407.24200000000002</v>
      </c>
      <c r="K16" s="438">
        <v>0</v>
      </c>
      <c r="L16" s="437">
        <v>6544</v>
      </c>
      <c r="M16" s="438">
        <v>0</v>
      </c>
      <c r="N16" s="438">
        <v>0</v>
      </c>
      <c r="P16" s="438">
        <v>410.5</v>
      </c>
      <c r="Q16" s="438">
        <v>0</v>
      </c>
      <c r="R16" s="438">
        <v>101634</v>
      </c>
      <c r="S16" s="437">
        <v>247.58699999999999</v>
      </c>
      <c r="U16" s="438">
        <v>0</v>
      </c>
      <c r="V16" s="438">
        <v>6.593</v>
      </c>
      <c r="W16" s="438">
        <v>4314</v>
      </c>
      <c r="X16" s="438">
        <v>4314</v>
      </c>
      <c r="Z16" s="438">
        <v>0</v>
      </c>
      <c r="AA16" s="438">
        <v>1</v>
      </c>
      <c r="AB16" s="438">
        <v>1</v>
      </c>
      <c r="AC16" s="438">
        <v>0</v>
      </c>
      <c r="AD16" s="438" t="s">
        <v>332</v>
      </c>
      <c r="AE16" s="438">
        <v>0</v>
      </c>
      <c r="AH16" s="438">
        <v>0</v>
      </c>
      <c r="AI16" s="438">
        <v>0</v>
      </c>
      <c r="AJ16" s="437">
        <v>5105</v>
      </c>
      <c r="AK16" s="438" t="s">
        <v>561</v>
      </c>
      <c r="AL16" s="438" t="s">
        <v>57</v>
      </c>
      <c r="AM16" s="438">
        <v>0</v>
      </c>
      <c r="AN16" s="438">
        <v>0</v>
      </c>
      <c r="AO16" s="438">
        <v>0</v>
      </c>
      <c r="AP16" s="438">
        <v>0</v>
      </c>
      <c r="AQ16" s="438">
        <v>0</v>
      </c>
      <c r="AR16" s="438">
        <v>0</v>
      </c>
      <c r="AS16" s="438">
        <v>0</v>
      </c>
      <c r="AT16" s="438">
        <v>0</v>
      </c>
      <c r="AU16" s="438">
        <v>0</v>
      </c>
      <c r="AV16" s="438">
        <v>0</v>
      </c>
      <c r="AW16" s="438">
        <v>3822454</v>
      </c>
      <c r="AX16" s="438">
        <v>3802745</v>
      </c>
      <c r="AY16" s="438">
        <v>0</v>
      </c>
      <c r="AZ16" s="438">
        <v>101634</v>
      </c>
      <c r="BA16" s="438">
        <v>38.667000000000002</v>
      </c>
      <c r="BB16" s="438">
        <v>15322</v>
      </c>
      <c r="BC16" s="438">
        <v>15322</v>
      </c>
      <c r="BD16" s="438">
        <v>19.510999999999999</v>
      </c>
      <c r="BE16" s="438">
        <v>0</v>
      </c>
      <c r="BF16" s="438">
        <v>3242945</v>
      </c>
      <c r="BG16" s="438">
        <v>0</v>
      </c>
      <c r="BH16" s="438">
        <v>0</v>
      </c>
      <c r="BI16" s="438">
        <v>0</v>
      </c>
      <c r="BJ16" s="438">
        <v>12</v>
      </c>
      <c r="BK16" s="438">
        <v>0</v>
      </c>
      <c r="BL16" s="438">
        <v>0</v>
      </c>
      <c r="BM16" s="438">
        <v>0</v>
      </c>
      <c r="BN16" s="438">
        <v>0</v>
      </c>
      <c r="BO16" s="438">
        <v>0</v>
      </c>
      <c r="BP16" s="438">
        <v>0</v>
      </c>
      <c r="BQ16" s="437">
        <v>5392</v>
      </c>
      <c r="BR16" s="438">
        <v>1</v>
      </c>
      <c r="BS16" s="438">
        <v>0</v>
      </c>
      <c r="BT16" s="438">
        <v>0</v>
      </c>
      <c r="BU16" s="438">
        <v>0</v>
      </c>
      <c r="BV16" s="438">
        <v>0</v>
      </c>
      <c r="BW16" s="438">
        <v>0</v>
      </c>
      <c r="BX16" s="438">
        <v>0</v>
      </c>
      <c r="BY16" s="438">
        <v>0</v>
      </c>
      <c r="BZ16" s="438">
        <v>0</v>
      </c>
      <c r="CA16" s="438">
        <v>0</v>
      </c>
      <c r="CB16" s="438">
        <v>0</v>
      </c>
      <c r="CC16" s="438">
        <v>0</v>
      </c>
      <c r="CG16" s="438">
        <v>0</v>
      </c>
      <c r="CH16" s="438">
        <v>19709</v>
      </c>
      <c r="CI16" s="438">
        <v>0</v>
      </c>
      <c r="CJ16" s="438">
        <v>4</v>
      </c>
      <c r="CK16" s="438">
        <v>0</v>
      </c>
      <c r="CL16" s="438">
        <v>0</v>
      </c>
      <c r="CN16" s="438">
        <v>0</v>
      </c>
      <c r="CO16" s="438">
        <v>1</v>
      </c>
      <c r="CP16" s="438">
        <v>0</v>
      </c>
      <c r="CQ16" s="438">
        <v>1.5</v>
      </c>
      <c r="CR16" s="438">
        <v>407.24200000000002</v>
      </c>
      <c r="CS16" s="438">
        <v>0</v>
      </c>
      <c r="CT16" s="438">
        <v>0</v>
      </c>
      <c r="CU16" s="438">
        <v>0</v>
      </c>
      <c r="CV16" s="438">
        <v>0</v>
      </c>
      <c r="CW16" s="438">
        <v>0</v>
      </c>
      <c r="CX16" s="438">
        <v>0</v>
      </c>
      <c r="CY16" s="438">
        <v>0</v>
      </c>
      <c r="CZ16" s="438">
        <v>0</v>
      </c>
      <c r="DA16" s="438">
        <v>1</v>
      </c>
      <c r="DB16" s="438">
        <v>2603812</v>
      </c>
      <c r="DC16" s="438">
        <v>0</v>
      </c>
      <c r="DD16" s="438">
        <v>40.167000000000002</v>
      </c>
      <c r="DE16" s="438">
        <v>508901</v>
      </c>
      <c r="DF16" s="438">
        <v>508901</v>
      </c>
      <c r="DG16" s="438">
        <v>388.83</v>
      </c>
      <c r="DH16" s="438">
        <v>0</v>
      </c>
      <c r="DI16" s="438">
        <v>0</v>
      </c>
      <c r="DK16" s="437">
        <v>5392</v>
      </c>
      <c r="DL16" s="438">
        <v>0</v>
      </c>
      <c r="DM16" s="438">
        <v>199389</v>
      </c>
      <c r="DN16" s="438">
        <v>0</v>
      </c>
      <c r="DO16" s="438">
        <v>0</v>
      </c>
      <c r="DP16" s="438">
        <v>0</v>
      </c>
      <c r="DQ16" s="438">
        <v>0</v>
      </c>
      <c r="DR16" s="438">
        <v>0</v>
      </c>
      <c r="DS16" s="438">
        <v>0</v>
      </c>
      <c r="DT16" s="438">
        <v>0</v>
      </c>
      <c r="DU16" s="438">
        <v>0</v>
      </c>
      <c r="DV16" s="438">
        <v>0</v>
      </c>
      <c r="DW16" s="438">
        <v>0</v>
      </c>
      <c r="DX16" s="438">
        <v>0</v>
      </c>
      <c r="DY16" s="438">
        <v>0</v>
      </c>
      <c r="DZ16" s="438">
        <v>0</v>
      </c>
      <c r="EA16" s="438">
        <v>0</v>
      </c>
      <c r="EB16" s="438">
        <v>0</v>
      </c>
      <c r="EC16" s="438">
        <v>0</v>
      </c>
      <c r="ED16" s="438">
        <v>0</v>
      </c>
      <c r="EE16" s="438">
        <v>0</v>
      </c>
      <c r="EF16" s="438">
        <v>0</v>
      </c>
      <c r="EG16" s="438">
        <v>0</v>
      </c>
      <c r="EH16" s="438">
        <v>199389</v>
      </c>
      <c r="EI16" s="438">
        <v>0</v>
      </c>
      <c r="EJ16" s="438">
        <v>0</v>
      </c>
      <c r="EK16" s="438">
        <v>6.6870000000000003</v>
      </c>
      <c r="EL16" s="438">
        <v>0</v>
      </c>
      <c r="EM16" s="438">
        <v>1.4510000000000001</v>
      </c>
      <c r="EN16" s="438">
        <v>1.2110000000000001</v>
      </c>
      <c r="EO16" s="438">
        <v>0</v>
      </c>
      <c r="EP16" s="438">
        <v>0</v>
      </c>
      <c r="EQ16" s="438">
        <v>9.3490000000000002</v>
      </c>
      <c r="ER16" s="438">
        <v>0</v>
      </c>
      <c r="ES16" s="438">
        <v>30.469000000000001</v>
      </c>
      <c r="ET16" s="438">
        <v>19709</v>
      </c>
      <c r="EU16" s="438">
        <v>101634</v>
      </c>
      <c r="EV16" s="438">
        <v>0</v>
      </c>
      <c r="EW16" s="438">
        <v>0</v>
      </c>
      <c r="EX16" s="438">
        <v>0</v>
      </c>
      <c r="EZ16" s="438">
        <v>3230104</v>
      </c>
      <c r="FA16" s="438">
        <v>0</v>
      </c>
      <c r="FB16" s="438">
        <v>3331738</v>
      </c>
      <c r="FC16" s="438">
        <v>0.97334900000000002</v>
      </c>
      <c r="FD16" s="438">
        <v>0</v>
      </c>
      <c r="FE16" s="438">
        <v>466350</v>
      </c>
      <c r="FF16" s="438">
        <v>106291</v>
      </c>
      <c r="FG16" s="437">
        <v>5.7854999999999997E-2</v>
      </c>
      <c r="FH16" s="437">
        <v>5.2366000000000003E-2</v>
      </c>
      <c r="FI16" s="438">
        <v>0</v>
      </c>
      <c r="FJ16" s="438">
        <v>0</v>
      </c>
      <c r="FK16" s="438">
        <v>635.29899999999998</v>
      </c>
      <c r="FL16" s="438">
        <v>3924088</v>
      </c>
      <c r="FM16" s="438">
        <v>0</v>
      </c>
      <c r="FN16" s="438">
        <v>0</v>
      </c>
      <c r="FO16" s="438">
        <v>0</v>
      </c>
      <c r="FP16" s="438">
        <v>0</v>
      </c>
      <c r="FQ16" s="438">
        <v>0</v>
      </c>
      <c r="FR16" s="438">
        <v>0</v>
      </c>
      <c r="FS16" s="438">
        <v>0</v>
      </c>
      <c r="FT16" s="438">
        <v>0</v>
      </c>
      <c r="FU16" s="438">
        <v>0</v>
      </c>
      <c r="FV16" s="438">
        <v>0</v>
      </c>
      <c r="FW16" s="438">
        <v>0</v>
      </c>
      <c r="FX16" s="438">
        <v>0</v>
      </c>
      <c r="FY16" s="438">
        <v>0</v>
      </c>
      <c r="FZ16" s="438">
        <v>0</v>
      </c>
      <c r="GA16" s="438">
        <v>0</v>
      </c>
      <c r="GB16" s="438">
        <v>0</v>
      </c>
      <c r="GC16" s="438">
        <v>0</v>
      </c>
      <c r="GD16" s="438">
        <v>0</v>
      </c>
      <c r="GF16" s="438">
        <v>0</v>
      </c>
      <c r="GG16" s="438">
        <v>0</v>
      </c>
      <c r="GH16" s="438">
        <v>0</v>
      </c>
      <c r="GI16" s="438">
        <v>0</v>
      </c>
      <c r="GJ16" s="438">
        <v>0</v>
      </c>
      <c r="GK16" s="438">
        <v>4707.4570000000003</v>
      </c>
      <c r="GL16" s="438">
        <v>10443</v>
      </c>
      <c r="GM16" s="438">
        <v>0</v>
      </c>
      <c r="GN16" s="438">
        <v>0</v>
      </c>
      <c r="GO16" s="438">
        <v>0</v>
      </c>
      <c r="GP16" s="438">
        <v>3904379</v>
      </c>
      <c r="GQ16" s="438">
        <v>3904379</v>
      </c>
      <c r="GR16" s="438">
        <v>0</v>
      </c>
      <c r="GS16" s="438">
        <v>0</v>
      </c>
      <c r="GT16" s="438">
        <v>0</v>
      </c>
      <c r="HB16" s="438">
        <v>0</v>
      </c>
      <c r="HC16" s="437">
        <v>6.0754000000000002E-2</v>
      </c>
      <c r="HD16" s="438">
        <v>0</v>
      </c>
    </row>
    <row r="17" spans="1:212" x14ac:dyDescent="0.2">
      <c r="A17" s="438">
        <v>25836</v>
      </c>
      <c r="B17" s="442">
        <v>14801</v>
      </c>
      <c r="C17" s="438">
        <v>9</v>
      </c>
      <c r="D17" s="438">
        <v>2020</v>
      </c>
      <c r="E17" s="438">
        <v>5392</v>
      </c>
      <c r="F17" s="438">
        <v>0</v>
      </c>
      <c r="G17" s="438">
        <v>1574.8130000000001</v>
      </c>
      <c r="H17" s="438">
        <v>1453.7470000000001</v>
      </c>
      <c r="I17" s="438">
        <v>1453.7470000000001</v>
      </c>
      <c r="J17" s="438">
        <v>1574.8130000000001</v>
      </c>
      <c r="K17" s="438">
        <v>0</v>
      </c>
      <c r="L17" s="437">
        <v>6544</v>
      </c>
      <c r="M17" s="438">
        <v>0</v>
      </c>
      <c r="N17" s="438">
        <v>0</v>
      </c>
      <c r="P17" s="438">
        <v>1556.0630000000001</v>
      </c>
      <c r="Q17" s="438">
        <v>0</v>
      </c>
      <c r="R17" s="438">
        <v>385261</v>
      </c>
      <c r="S17" s="437">
        <v>247.58699999999999</v>
      </c>
      <c r="U17" s="438">
        <v>0</v>
      </c>
      <c r="V17" s="438">
        <v>100.651</v>
      </c>
      <c r="W17" s="438">
        <v>65866</v>
      </c>
      <c r="X17" s="438">
        <v>65866</v>
      </c>
      <c r="Z17" s="438">
        <v>0</v>
      </c>
      <c r="AA17" s="438">
        <v>1</v>
      </c>
      <c r="AB17" s="438">
        <v>1</v>
      </c>
      <c r="AC17" s="438">
        <v>0</v>
      </c>
      <c r="AD17" s="438" t="s">
        <v>332</v>
      </c>
      <c r="AE17" s="438">
        <v>0</v>
      </c>
      <c r="AH17" s="438">
        <v>0</v>
      </c>
      <c r="AI17" s="438">
        <v>0</v>
      </c>
      <c r="AJ17" s="437">
        <v>5105</v>
      </c>
      <c r="AK17" s="438" t="s">
        <v>561</v>
      </c>
      <c r="AL17" s="438" t="s">
        <v>37</v>
      </c>
      <c r="AM17" s="438">
        <v>0</v>
      </c>
      <c r="AN17" s="438">
        <v>0</v>
      </c>
      <c r="AO17" s="438">
        <v>0</v>
      </c>
      <c r="AP17" s="438">
        <v>0</v>
      </c>
      <c r="AQ17" s="438">
        <v>0</v>
      </c>
      <c r="AR17" s="438">
        <v>0</v>
      </c>
      <c r="AS17" s="438">
        <v>0</v>
      </c>
      <c r="AT17" s="438">
        <v>0</v>
      </c>
      <c r="AU17" s="438">
        <v>0</v>
      </c>
      <c r="AV17" s="438">
        <v>0</v>
      </c>
      <c r="AW17" s="438">
        <v>16639654</v>
      </c>
      <c r="AX17" s="438">
        <v>16206580</v>
      </c>
      <c r="AY17" s="438">
        <v>0</v>
      </c>
      <c r="AZ17" s="438">
        <v>818335</v>
      </c>
      <c r="BA17" s="438">
        <v>0</v>
      </c>
      <c r="BB17" s="438">
        <v>0</v>
      </c>
      <c r="BC17" s="438">
        <v>0</v>
      </c>
      <c r="BD17" s="438">
        <v>0</v>
      </c>
      <c r="BE17" s="438">
        <v>0</v>
      </c>
      <c r="BF17" s="438">
        <v>13781046</v>
      </c>
      <c r="BG17" s="438">
        <v>0</v>
      </c>
      <c r="BH17" s="438">
        <v>1851.0239999999999</v>
      </c>
      <c r="BI17" s="438">
        <v>433074</v>
      </c>
      <c r="BJ17" s="438">
        <v>12</v>
      </c>
      <c r="BK17" s="438">
        <v>0</v>
      </c>
      <c r="BL17" s="438">
        <v>0</v>
      </c>
      <c r="BM17" s="438">
        <v>0</v>
      </c>
      <c r="BN17" s="438">
        <v>0</v>
      </c>
      <c r="BO17" s="438">
        <v>0</v>
      </c>
      <c r="BP17" s="438">
        <v>0</v>
      </c>
      <c r="BQ17" s="437">
        <v>5392</v>
      </c>
      <c r="BR17" s="438">
        <v>1</v>
      </c>
      <c r="BS17" s="438">
        <v>0</v>
      </c>
      <c r="BT17" s="438">
        <v>0</v>
      </c>
      <c r="BU17" s="438">
        <v>0</v>
      </c>
      <c r="BV17" s="438">
        <v>0</v>
      </c>
      <c r="BW17" s="438">
        <v>0</v>
      </c>
      <c r="BX17" s="438">
        <v>0</v>
      </c>
      <c r="BY17" s="438">
        <v>0</v>
      </c>
      <c r="BZ17" s="438">
        <v>0</v>
      </c>
      <c r="CA17" s="438">
        <v>0</v>
      </c>
      <c r="CB17" s="438">
        <v>0</v>
      </c>
      <c r="CC17" s="438">
        <v>0</v>
      </c>
      <c r="CG17" s="438">
        <v>0</v>
      </c>
      <c r="CH17" s="438">
        <v>0</v>
      </c>
      <c r="CI17" s="438">
        <v>0</v>
      </c>
      <c r="CJ17" s="438">
        <v>4</v>
      </c>
      <c r="CK17" s="438">
        <v>0</v>
      </c>
      <c r="CL17" s="438">
        <v>0</v>
      </c>
      <c r="CN17" s="438">
        <v>0</v>
      </c>
      <c r="CO17" s="438">
        <v>1</v>
      </c>
      <c r="CP17" s="438">
        <v>8.7609999999999992</v>
      </c>
      <c r="CQ17" s="438">
        <v>0</v>
      </c>
      <c r="CR17" s="438">
        <v>1574.8130000000001</v>
      </c>
      <c r="CS17" s="438">
        <v>0</v>
      </c>
      <c r="CT17" s="438">
        <v>0</v>
      </c>
      <c r="CU17" s="438">
        <v>0</v>
      </c>
      <c r="CV17" s="438">
        <v>0</v>
      </c>
      <c r="CW17" s="438">
        <v>0</v>
      </c>
      <c r="CX17" s="438">
        <v>0</v>
      </c>
      <c r="CY17" s="438">
        <v>0</v>
      </c>
      <c r="CZ17" s="438">
        <v>0</v>
      </c>
      <c r="DA17" s="438">
        <v>1</v>
      </c>
      <c r="DB17" s="438">
        <v>9513320</v>
      </c>
      <c r="DC17" s="438">
        <v>0</v>
      </c>
      <c r="DD17" s="438">
        <v>0</v>
      </c>
      <c r="DE17" s="438">
        <v>2176966</v>
      </c>
      <c r="DF17" s="438">
        <v>2315136</v>
      </c>
      <c r="DG17" s="438">
        <v>1663.33</v>
      </c>
      <c r="DH17" s="438">
        <v>0</v>
      </c>
      <c r="DI17" s="438">
        <v>138170</v>
      </c>
      <c r="DK17" s="437">
        <v>5392</v>
      </c>
      <c r="DL17" s="438">
        <v>0</v>
      </c>
      <c r="DM17" s="438">
        <v>1292287</v>
      </c>
      <c r="DN17" s="438">
        <v>0</v>
      </c>
      <c r="DO17" s="438">
        <v>0</v>
      </c>
      <c r="DP17" s="438">
        <v>0</v>
      </c>
      <c r="DQ17" s="438">
        <v>0</v>
      </c>
      <c r="DR17" s="438">
        <v>0</v>
      </c>
      <c r="DS17" s="438">
        <v>0</v>
      </c>
      <c r="DT17" s="438">
        <v>0</v>
      </c>
      <c r="DU17" s="438">
        <v>0</v>
      </c>
      <c r="DV17" s="438">
        <v>0</v>
      </c>
      <c r="DW17" s="438">
        <v>0</v>
      </c>
      <c r="DX17" s="438">
        <v>0</v>
      </c>
      <c r="DY17" s="438">
        <v>0</v>
      </c>
      <c r="DZ17" s="438">
        <v>0</v>
      </c>
      <c r="EA17" s="438">
        <v>0</v>
      </c>
      <c r="EB17" s="438">
        <v>0</v>
      </c>
      <c r="EC17" s="438">
        <v>148.666</v>
      </c>
      <c r="ED17" s="438">
        <v>1070157</v>
      </c>
      <c r="EE17" s="438">
        <v>0</v>
      </c>
      <c r="EF17" s="438">
        <v>0</v>
      </c>
      <c r="EG17" s="438">
        <v>0</v>
      </c>
      <c r="EH17" s="438">
        <v>222130</v>
      </c>
      <c r="EI17" s="438">
        <v>0</v>
      </c>
      <c r="EJ17" s="438">
        <v>0</v>
      </c>
      <c r="EK17" s="438">
        <v>10.698</v>
      </c>
      <c r="EL17" s="438">
        <v>0</v>
      </c>
      <c r="EM17" s="438">
        <v>0</v>
      </c>
      <c r="EN17" s="438">
        <v>0.37</v>
      </c>
      <c r="EO17" s="438">
        <v>0</v>
      </c>
      <c r="EP17" s="438">
        <v>0</v>
      </c>
      <c r="EQ17" s="438">
        <v>11.068</v>
      </c>
      <c r="ER17" s="438">
        <v>0</v>
      </c>
      <c r="ES17" s="438">
        <v>33.944000000000003</v>
      </c>
      <c r="ET17" s="438">
        <v>0</v>
      </c>
      <c r="EU17" s="438">
        <v>818335</v>
      </c>
      <c r="EV17" s="438">
        <v>0</v>
      </c>
      <c r="EW17" s="438">
        <v>0</v>
      </c>
      <c r="EX17" s="438">
        <v>0</v>
      </c>
      <c r="EZ17" s="438">
        <v>13773114</v>
      </c>
      <c r="FA17" s="438">
        <v>0</v>
      </c>
      <c r="FB17" s="438">
        <v>14591449</v>
      </c>
      <c r="FC17" s="438">
        <v>0.97334900000000002</v>
      </c>
      <c r="FD17" s="438">
        <v>0</v>
      </c>
      <c r="FE17" s="438">
        <v>1981776</v>
      </c>
      <c r="FF17" s="438">
        <v>451690</v>
      </c>
      <c r="FG17" s="437">
        <v>5.7854999999999997E-2</v>
      </c>
      <c r="FH17" s="437">
        <v>5.2366000000000003E-2</v>
      </c>
      <c r="FI17" s="438">
        <v>0</v>
      </c>
      <c r="FJ17" s="438">
        <v>0</v>
      </c>
      <c r="FK17" s="438">
        <v>2699.7310000000002</v>
      </c>
      <c r="FL17" s="438">
        <v>17024915</v>
      </c>
      <c r="FM17" s="438">
        <v>0</v>
      </c>
      <c r="FN17" s="438">
        <v>0</v>
      </c>
      <c r="FO17" s="438">
        <v>0</v>
      </c>
      <c r="FP17" s="438">
        <v>0</v>
      </c>
      <c r="FQ17" s="438">
        <v>0</v>
      </c>
      <c r="FR17" s="438">
        <v>0</v>
      </c>
      <c r="FS17" s="438">
        <v>0</v>
      </c>
      <c r="FT17" s="438">
        <v>0</v>
      </c>
      <c r="FU17" s="438">
        <v>0</v>
      </c>
      <c r="FV17" s="438">
        <v>0</v>
      </c>
      <c r="FW17" s="438">
        <v>0</v>
      </c>
      <c r="FX17" s="438">
        <v>0</v>
      </c>
      <c r="FY17" s="438">
        <v>0</v>
      </c>
      <c r="FZ17" s="438">
        <v>0</v>
      </c>
      <c r="GA17" s="438">
        <v>0</v>
      </c>
      <c r="GB17" s="438">
        <v>971766</v>
      </c>
      <c r="GC17" s="438">
        <v>971766</v>
      </c>
      <c r="GD17" s="438">
        <v>109.998</v>
      </c>
      <c r="GF17" s="438">
        <v>0</v>
      </c>
      <c r="GG17" s="438">
        <v>0</v>
      </c>
      <c r="GH17" s="438">
        <v>0</v>
      </c>
      <c r="GI17" s="438">
        <v>0</v>
      </c>
      <c r="GJ17" s="438">
        <v>0</v>
      </c>
      <c r="GK17" s="438">
        <v>4734.3190000000004</v>
      </c>
      <c r="GL17" s="438">
        <v>5339</v>
      </c>
      <c r="GM17" s="438">
        <v>0</v>
      </c>
      <c r="GN17" s="438">
        <v>0</v>
      </c>
      <c r="GO17" s="438">
        <v>0</v>
      </c>
      <c r="GP17" s="438">
        <v>17024915</v>
      </c>
      <c r="GQ17" s="438">
        <v>17024915</v>
      </c>
      <c r="GR17" s="438">
        <v>0</v>
      </c>
      <c r="GS17" s="438">
        <v>0</v>
      </c>
      <c r="GT17" s="438">
        <v>0</v>
      </c>
      <c r="HB17" s="438">
        <v>0</v>
      </c>
      <c r="HC17" s="437">
        <v>0</v>
      </c>
      <c r="HD17" s="438">
        <v>0</v>
      </c>
    </row>
    <row r="18" spans="1:212" x14ac:dyDescent="0.2">
      <c r="A18" s="438">
        <v>25836</v>
      </c>
      <c r="B18" s="442">
        <v>14803</v>
      </c>
      <c r="C18" s="438">
        <v>9</v>
      </c>
      <c r="D18" s="438">
        <v>2020</v>
      </c>
      <c r="E18" s="438">
        <v>5392</v>
      </c>
      <c r="F18" s="438">
        <v>0</v>
      </c>
      <c r="G18" s="438">
        <v>674.995</v>
      </c>
      <c r="H18" s="438">
        <v>632.23699999999997</v>
      </c>
      <c r="I18" s="438">
        <v>632.23699999999997</v>
      </c>
      <c r="J18" s="438">
        <v>674.995</v>
      </c>
      <c r="K18" s="438">
        <v>0</v>
      </c>
      <c r="L18" s="437">
        <v>6544</v>
      </c>
      <c r="M18" s="438">
        <v>0</v>
      </c>
      <c r="N18" s="438">
        <v>0</v>
      </c>
      <c r="P18" s="438">
        <v>700.33</v>
      </c>
      <c r="Q18" s="438">
        <v>0</v>
      </c>
      <c r="R18" s="438">
        <v>173393</v>
      </c>
      <c r="S18" s="437">
        <v>247.58699999999999</v>
      </c>
      <c r="U18" s="438">
        <v>0</v>
      </c>
      <c r="V18" s="438">
        <v>28.05</v>
      </c>
      <c r="W18" s="438">
        <v>18356</v>
      </c>
      <c r="X18" s="438">
        <v>18356</v>
      </c>
      <c r="Z18" s="438">
        <v>0</v>
      </c>
      <c r="AA18" s="438">
        <v>1</v>
      </c>
      <c r="AB18" s="438">
        <v>1</v>
      </c>
      <c r="AC18" s="438">
        <v>0</v>
      </c>
      <c r="AD18" s="438" t="s">
        <v>332</v>
      </c>
      <c r="AE18" s="438">
        <v>0</v>
      </c>
      <c r="AH18" s="438">
        <v>0</v>
      </c>
      <c r="AI18" s="438">
        <v>0</v>
      </c>
      <c r="AJ18" s="437">
        <v>5105</v>
      </c>
      <c r="AK18" s="438" t="s">
        <v>561</v>
      </c>
      <c r="AL18" s="438" t="s">
        <v>333</v>
      </c>
      <c r="AM18" s="438">
        <v>0</v>
      </c>
      <c r="AN18" s="438">
        <v>0</v>
      </c>
      <c r="AO18" s="438">
        <v>0</v>
      </c>
      <c r="AP18" s="438">
        <v>0</v>
      </c>
      <c r="AQ18" s="438">
        <v>0</v>
      </c>
      <c r="AR18" s="438">
        <v>0</v>
      </c>
      <c r="AS18" s="438">
        <v>0</v>
      </c>
      <c r="AT18" s="438">
        <v>0</v>
      </c>
      <c r="AU18" s="438">
        <v>0</v>
      </c>
      <c r="AV18" s="438">
        <v>0</v>
      </c>
      <c r="AW18" s="438">
        <v>6773275</v>
      </c>
      <c r="AX18" s="438">
        <v>6742824</v>
      </c>
      <c r="AY18" s="438">
        <v>0</v>
      </c>
      <c r="AZ18" s="438">
        <v>192115</v>
      </c>
      <c r="BA18" s="438">
        <v>23.332999999999998</v>
      </c>
      <c r="BB18" s="438">
        <v>13219</v>
      </c>
      <c r="BC18" s="438">
        <v>13219</v>
      </c>
      <c r="BD18" s="438">
        <v>16.832999999999998</v>
      </c>
      <c r="BE18" s="438">
        <v>0</v>
      </c>
      <c r="BF18" s="438">
        <v>5677342</v>
      </c>
      <c r="BG18" s="438">
        <v>0</v>
      </c>
      <c r="BH18" s="438">
        <v>68.08</v>
      </c>
      <c r="BI18" s="438">
        <v>18722</v>
      </c>
      <c r="BJ18" s="438">
        <v>12</v>
      </c>
      <c r="BK18" s="438">
        <v>0</v>
      </c>
      <c r="BL18" s="438">
        <v>0</v>
      </c>
      <c r="BM18" s="438">
        <v>0</v>
      </c>
      <c r="BN18" s="438">
        <v>0</v>
      </c>
      <c r="BO18" s="438">
        <v>0</v>
      </c>
      <c r="BP18" s="438">
        <v>0</v>
      </c>
      <c r="BQ18" s="437">
        <v>5392</v>
      </c>
      <c r="BR18" s="438">
        <v>1</v>
      </c>
      <c r="BS18" s="438">
        <v>0</v>
      </c>
      <c r="BT18" s="438">
        <v>0</v>
      </c>
      <c r="BU18" s="438">
        <v>0</v>
      </c>
      <c r="BV18" s="438">
        <v>0</v>
      </c>
      <c r="BW18" s="438">
        <v>0</v>
      </c>
      <c r="BX18" s="438">
        <v>0</v>
      </c>
      <c r="BY18" s="438">
        <v>0</v>
      </c>
      <c r="BZ18" s="438">
        <v>0</v>
      </c>
      <c r="CA18" s="438">
        <v>0</v>
      </c>
      <c r="CB18" s="438">
        <v>0</v>
      </c>
      <c r="CC18" s="438">
        <v>0</v>
      </c>
      <c r="CG18" s="438">
        <v>0</v>
      </c>
      <c r="CH18" s="438">
        <v>11729</v>
      </c>
      <c r="CI18" s="438">
        <v>0</v>
      </c>
      <c r="CJ18" s="438">
        <v>5</v>
      </c>
      <c r="CK18" s="438">
        <v>0</v>
      </c>
      <c r="CL18" s="438">
        <v>0</v>
      </c>
      <c r="CN18" s="438">
        <v>0</v>
      </c>
      <c r="CO18" s="438">
        <v>1</v>
      </c>
      <c r="CP18" s="438">
        <v>8.4000000000000005E-2</v>
      </c>
      <c r="CQ18" s="438">
        <v>0.25</v>
      </c>
      <c r="CR18" s="438">
        <v>674.995</v>
      </c>
      <c r="CS18" s="438">
        <v>0</v>
      </c>
      <c r="CT18" s="438">
        <v>0</v>
      </c>
      <c r="CU18" s="438">
        <v>0</v>
      </c>
      <c r="CV18" s="438">
        <v>0</v>
      </c>
      <c r="CW18" s="438">
        <v>0</v>
      </c>
      <c r="CX18" s="438">
        <v>0</v>
      </c>
      <c r="CY18" s="438">
        <v>0</v>
      </c>
      <c r="CZ18" s="438">
        <v>0</v>
      </c>
      <c r="DA18" s="438">
        <v>1</v>
      </c>
      <c r="DB18" s="438">
        <v>4137359</v>
      </c>
      <c r="DC18" s="438">
        <v>0</v>
      </c>
      <c r="DD18" s="438">
        <v>23.582999999999998</v>
      </c>
      <c r="DE18" s="438">
        <v>872538</v>
      </c>
      <c r="DF18" s="438">
        <v>873863</v>
      </c>
      <c r="DG18" s="438">
        <v>666.67</v>
      </c>
      <c r="DH18" s="438">
        <v>0</v>
      </c>
      <c r="DI18" s="438">
        <v>1325</v>
      </c>
      <c r="DK18" s="437">
        <v>5392</v>
      </c>
      <c r="DL18" s="438">
        <v>0</v>
      </c>
      <c r="DM18" s="438">
        <v>622456</v>
      </c>
      <c r="DN18" s="438">
        <v>0</v>
      </c>
      <c r="DO18" s="438">
        <v>0</v>
      </c>
      <c r="DP18" s="438">
        <v>0</v>
      </c>
      <c r="DQ18" s="438">
        <v>0</v>
      </c>
      <c r="DR18" s="438">
        <v>0</v>
      </c>
      <c r="DS18" s="438">
        <v>0</v>
      </c>
      <c r="DT18" s="438">
        <v>0</v>
      </c>
      <c r="DU18" s="438">
        <v>0</v>
      </c>
      <c r="DV18" s="438">
        <v>0</v>
      </c>
      <c r="DW18" s="438">
        <v>0</v>
      </c>
      <c r="DX18" s="438">
        <v>0</v>
      </c>
      <c r="DY18" s="438">
        <v>0</v>
      </c>
      <c r="DZ18" s="438">
        <v>0</v>
      </c>
      <c r="EA18" s="438">
        <v>0</v>
      </c>
      <c r="EB18" s="438">
        <v>0</v>
      </c>
      <c r="EC18" s="438">
        <v>19.414999999999999</v>
      </c>
      <c r="ED18" s="438">
        <v>139757</v>
      </c>
      <c r="EE18" s="438">
        <v>0</v>
      </c>
      <c r="EF18" s="438">
        <v>0</v>
      </c>
      <c r="EG18" s="438">
        <v>0</v>
      </c>
      <c r="EH18" s="438">
        <v>482699</v>
      </c>
      <c r="EI18" s="438">
        <v>0</v>
      </c>
      <c r="EJ18" s="438">
        <v>0</v>
      </c>
      <c r="EK18" s="438">
        <v>21.702000000000002</v>
      </c>
      <c r="EL18" s="438">
        <v>0</v>
      </c>
      <c r="EM18" s="438">
        <v>0.90200000000000002</v>
      </c>
      <c r="EN18" s="438">
        <v>1.19</v>
      </c>
      <c r="EO18" s="438">
        <v>0</v>
      </c>
      <c r="EP18" s="438">
        <v>0</v>
      </c>
      <c r="EQ18" s="438">
        <v>23.794</v>
      </c>
      <c r="ER18" s="438">
        <v>0</v>
      </c>
      <c r="ES18" s="438">
        <v>73.762</v>
      </c>
      <c r="ET18" s="438">
        <v>11729</v>
      </c>
      <c r="EU18" s="438">
        <v>192115</v>
      </c>
      <c r="EV18" s="438">
        <v>0</v>
      </c>
      <c r="EW18" s="438">
        <v>0</v>
      </c>
      <c r="EX18" s="438">
        <v>0</v>
      </c>
      <c r="EZ18" s="438">
        <v>5740315</v>
      </c>
      <c r="FA18" s="438">
        <v>0</v>
      </c>
      <c r="FB18" s="438">
        <v>5932430</v>
      </c>
      <c r="FC18" s="438">
        <v>0.97334900000000002</v>
      </c>
      <c r="FD18" s="438">
        <v>0</v>
      </c>
      <c r="FE18" s="438">
        <v>816427</v>
      </c>
      <c r="FF18" s="438">
        <v>186082</v>
      </c>
      <c r="FG18" s="437">
        <v>5.7854999999999997E-2</v>
      </c>
      <c r="FH18" s="437">
        <v>5.2366000000000003E-2</v>
      </c>
      <c r="FI18" s="438">
        <v>0</v>
      </c>
      <c r="FJ18" s="438">
        <v>0</v>
      </c>
      <c r="FK18" s="438">
        <v>1112.201</v>
      </c>
      <c r="FL18" s="438">
        <v>6946668</v>
      </c>
      <c r="FM18" s="438">
        <v>0</v>
      </c>
      <c r="FN18" s="438">
        <v>0</v>
      </c>
      <c r="FO18" s="438">
        <v>80919</v>
      </c>
      <c r="FP18" s="438">
        <v>0</v>
      </c>
      <c r="FQ18" s="438">
        <v>80919</v>
      </c>
      <c r="FR18" s="438">
        <v>80919</v>
      </c>
      <c r="FS18" s="438">
        <v>0</v>
      </c>
      <c r="FT18" s="438">
        <v>0</v>
      </c>
      <c r="FU18" s="438">
        <v>0</v>
      </c>
      <c r="FV18" s="438">
        <v>0</v>
      </c>
      <c r="FW18" s="438">
        <v>0</v>
      </c>
      <c r="FX18" s="438">
        <v>0</v>
      </c>
      <c r="FY18" s="438">
        <v>0</v>
      </c>
      <c r="FZ18" s="438">
        <v>0</v>
      </c>
      <c r="GA18" s="438">
        <v>0</v>
      </c>
      <c r="GB18" s="438">
        <v>167536</v>
      </c>
      <c r="GC18" s="438">
        <v>167536</v>
      </c>
      <c r="GD18" s="438">
        <v>18.963999999999999</v>
      </c>
      <c r="GF18" s="438">
        <v>0</v>
      </c>
      <c r="GG18" s="438">
        <v>0</v>
      </c>
      <c r="GH18" s="438">
        <v>0</v>
      </c>
      <c r="GI18" s="438">
        <v>0</v>
      </c>
      <c r="GJ18" s="438">
        <v>0</v>
      </c>
      <c r="GK18" s="438">
        <v>4670.4049999999997</v>
      </c>
      <c r="GL18" s="438">
        <v>4782</v>
      </c>
      <c r="GM18" s="438">
        <v>0</v>
      </c>
      <c r="GN18" s="438">
        <v>0</v>
      </c>
      <c r="GO18" s="438">
        <v>0</v>
      </c>
      <c r="GP18" s="438">
        <v>6934939</v>
      </c>
      <c r="GQ18" s="438">
        <v>6934939</v>
      </c>
      <c r="GR18" s="438">
        <v>0</v>
      </c>
      <c r="GS18" s="438">
        <v>0</v>
      </c>
      <c r="GT18" s="438">
        <v>0</v>
      </c>
      <c r="HB18" s="438">
        <v>0</v>
      </c>
      <c r="HC18" s="437">
        <v>0</v>
      </c>
      <c r="HD18" s="438">
        <v>0</v>
      </c>
    </row>
    <row r="19" spans="1:212" x14ac:dyDescent="0.2">
      <c r="A19" s="438">
        <v>25836</v>
      </c>
      <c r="B19" s="442">
        <v>14804</v>
      </c>
      <c r="C19" s="438">
        <v>9</v>
      </c>
      <c r="D19" s="438">
        <v>2020</v>
      </c>
      <c r="E19" s="438">
        <v>5392</v>
      </c>
      <c r="F19" s="438">
        <v>0</v>
      </c>
      <c r="G19" s="438">
        <v>1662.4179999999999</v>
      </c>
      <c r="H19" s="438">
        <v>1576.021</v>
      </c>
      <c r="I19" s="438">
        <v>1576.021</v>
      </c>
      <c r="J19" s="438">
        <v>1662.4179999999999</v>
      </c>
      <c r="K19" s="438">
        <v>0</v>
      </c>
      <c r="L19" s="437">
        <v>6544</v>
      </c>
      <c r="M19" s="438">
        <v>0</v>
      </c>
      <c r="N19" s="438">
        <v>0</v>
      </c>
      <c r="P19" s="438">
        <v>1671.818</v>
      </c>
      <c r="Q19" s="438">
        <v>0</v>
      </c>
      <c r="R19" s="438">
        <v>413920</v>
      </c>
      <c r="S19" s="437">
        <v>247.58699999999999</v>
      </c>
      <c r="U19" s="438">
        <v>0</v>
      </c>
      <c r="V19" s="438">
        <v>12.167</v>
      </c>
      <c r="W19" s="438">
        <v>7962</v>
      </c>
      <c r="X19" s="438">
        <v>7962</v>
      </c>
      <c r="Z19" s="438">
        <v>0</v>
      </c>
      <c r="AA19" s="438">
        <v>1</v>
      </c>
      <c r="AB19" s="438">
        <v>1</v>
      </c>
      <c r="AC19" s="438">
        <v>0</v>
      </c>
      <c r="AD19" s="438" t="s">
        <v>332</v>
      </c>
      <c r="AE19" s="438">
        <v>0</v>
      </c>
      <c r="AH19" s="438">
        <v>0</v>
      </c>
      <c r="AI19" s="438">
        <v>0</v>
      </c>
      <c r="AJ19" s="437">
        <v>5105</v>
      </c>
      <c r="AK19" s="438" t="s">
        <v>561</v>
      </c>
      <c r="AL19" s="438" t="s">
        <v>1</v>
      </c>
      <c r="AM19" s="438">
        <v>0</v>
      </c>
      <c r="AN19" s="438">
        <v>0</v>
      </c>
      <c r="AO19" s="438">
        <v>0</v>
      </c>
      <c r="AP19" s="438">
        <v>0</v>
      </c>
      <c r="AQ19" s="438">
        <v>0</v>
      </c>
      <c r="AR19" s="438">
        <v>0</v>
      </c>
      <c r="AS19" s="438">
        <v>0</v>
      </c>
      <c r="AT19" s="438">
        <v>0</v>
      </c>
      <c r="AU19" s="438">
        <v>0</v>
      </c>
      <c r="AV19" s="438">
        <v>0</v>
      </c>
      <c r="AW19" s="438">
        <v>14487706</v>
      </c>
      <c r="AX19" s="438">
        <v>14334199</v>
      </c>
      <c r="AY19" s="438">
        <v>0</v>
      </c>
      <c r="AZ19" s="438">
        <v>547177</v>
      </c>
      <c r="BA19" s="438">
        <v>35.75</v>
      </c>
      <c r="BB19" s="438">
        <v>0</v>
      </c>
      <c r="BC19" s="438">
        <v>0</v>
      </c>
      <c r="BD19" s="438">
        <v>0</v>
      </c>
      <c r="BE19" s="438">
        <v>0</v>
      </c>
      <c r="BF19" s="438">
        <v>12249665</v>
      </c>
      <c r="BG19" s="438">
        <v>0</v>
      </c>
      <c r="BH19" s="438">
        <v>484.57</v>
      </c>
      <c r="BI19" s="438">
        <v>133257</v>
      </c>
      <c r="BJ19" s="438">
        <v>12</v>
      </c>
      <c r="BK19" s="438">
        <v>0</v>
      </c>
      <c r="BL19" s="438">
        <v>0</v>
      </c>
      <c r="BM19" s="438">
        <v>0</v>
      </c>
      <c r="BN19" s="438">
        <v>0</v>
      </c>
      <c r="BO19" s="438">
        <v>0</v>
      </c>
      <c r="BP19" s="438">
        <v>0</v>
      </c>
      <c r="BQ19" s="437">
        <v>5392</v>
      </c>
      <c r="BR19" s="438">
        <v>1</v>
      </c>
      <c r="BS19" s="438">
        <v>0</v>
      </c>
      <c r="BT19" s="438">
        <v>0</v>
      </c>
      <c r="BU19" s="438">
        <v>0</v>
      </c>
      <c r="BV19" s="438">
        <v>0</v>
      </c>
      <c r="BW19" s="438">
        <v>0</v>
      </c>
      <c r="BX19" s="438">
        <v>0</v>
      </c>
      <c r="BY19" s="438">
        <v>0</v>
      </c>
      <c r="BZ19" s="438">
        <v>0</v>
      </c>
      <c r="CA19" s="438">
        <v>0</v>
      </c>
      <c r="CB19" s="438">
        <v>0</v>
      </c>
      <c r="CC19" s="438">
        <v>0</v>
      </c>
      <c r="CG19" s="438">
        <v>0</v>
      </c>
      <c r="CH19" s="438">
        <v>20250</v>
      </c>
      <c r="CI19" s="438">
        <v>0</v>
      </c>
      <c r="CJ19" s="438">
        <v>4</v>
      </c>
      <c r="CK19" s="438">
        <v>0</v>
      </c>
      <c r="CL19" s="438">
        <v>0</v>
      </c>
      <c r="CN19" s="438">
        <v>0</v>
      </c>
      <c r="CO19" s="438">
        <v>1</v>
      </c>
      <c r="CP19" s="438">
        <v>0</v>
      </c>
      <c r="CQ19" s="438">
        <v>9.5</v>
      </c>
      <c r="CR19" s="438">
        <v>1662.4179999999999</v>
      </c>
      <c r="CS19" s="438">
        <v>0</v>
      </c>
      <c r="CT19" s="438">
        <v>0</v>
      </c>
      <c r="CU19" s="438">
        <v>0</v>
      </c>
      <c r="CV19" s="438">
        <v>0</v>
      </c>
      <c r="CW19" s="438">
        <v>0</v>
      </c>
      <c r="CX19" s="438">
        <v>0</v>
      </c>
      <c r="CY19" s="438">
        <v>0</v>
      </c>
      <c r="CZ19" s="438">
        <v>0</v>
      </c>
      <c r="DA19" s="438">
        <v>1</v>
      </c>
      <c r="DB19" s="438">
        <v>10313481</v>
      </c>
      <c r="DC19" s="438">
        <v>0</v>
      </c>
      <c r="DD19" s="438">
        <v>45.25</v>
      </c>
      <c r="DE19" s="438">
        <v>346178</v>
      </c>
      <c r="DF19" s="438">
        <v>346178</v>
      </c>
      <c r="DG19" s="438">
        <v>264.5</v>
      </c>
      <c r="DH19" s="438">
        <v>0</v>
      </c>
      <c r="DI19" s="438">
        <v>0</v>
      </c>
      <c r="DK19" s="437">
        <v>5392</v>
      </c>
      <c r="DL19" s="438">
        <v>0</v>
      </c>
      <c r="DM19" s="438">
        <v>1760218</v>
      </c>
      <c r="DN19" s="438">
        <v>0</v>
      </c>
      <c r="DO19" s="438">
        <v>0</v>
      </c>
      <c r="DP19" s="438">
        <v>0</v>
      </c>
      <c r="DQ19" s="438">
        <v>0</v>
      </c>
      <c r="DR19" s="438">
        <v>0</v>
      </c>
      <c r="DS19" s="438">
        <v>0</v>
      </c>
      <c r="DT19" s="438">
        <v>0</v>
      </c>
      <c r="DU19" s="438">
        <v>0</v>
      </c>
      <c r="DV19" s="438">
        <v>0</v>
      </c>
      <c r="DW19" s="438">
        <v>0</v>
      </c>
      <c r="DX19" s="438">
        <v>0</v>
      </c>
      <c r="DY19" s="438">
        <v>0</v>
      </c>
      <c r="DZ19" s="438">
        <v>0</v>
      </c>
      <c r="EA19" s="438">
        <v>0</v>
      </c>
      <c r="EB19" s="438">
        <v>0</v>
      </c>
      <c r="EC19" s="438">
        <v>21</v>
      </c>
      <c r="ED19" s="438">
        <v>151166</v>
      </c>
      <c r="EE19" s="438">
        <v>0</v>
      </c>
      <c r="EF19" s="438">
        <v>0</v>
      </c>
      <c r="EG19" s="438">
        <v>0</v>
      </c>
      <c r="EH19" s="438">
        <v>719853</v>
      </c>
      <c r="EI19" s="438">
        <v>889199</v>
      </c>
      <c r="EJ19" s="438">
        <v>33.97</v>
      </c>
      <c r="EK19" s="438">
        <v>31.088000000000001</v>
      </c>
      <c r="EL19" s="438">
        <v>0</v>
      </c>
      <c r="EM19" s="438">
        <v>0.48599999999999999</v>
      </c>
      <c r="EN19" s="438">
        <v>3.056</v>
      </c>
      <c r="EO19" s="438">
        <v>0</v>
      </c>
      <c r="EP19" s="438">
        <v>0</v>
      </c>
      <c r="EQ19" s="438">
        <v>68.599999999999994</v>
      </c>
      <c r="ER19" s="438">
        <v>0</v>
      </c>
      <c r="ES19" s="438">
        <v>110.002</v>
      </c>
      <c r="ET19" s="438">
        <v>20250</v>
      </c>
      <c r="EU19" s="438">
        <v>547177</v>
      </c>
      <c r="EV19" s="438">
        <v>0</v>
      </c>
      <c r="EW19" s="438">
        <v>0</v>
      </c>
      <c r="EX19" s="438">
        <v>0</v>
      </c>
      <c r="EZ19" s="438">
        <v>12171145</v>
      </c>
      <c r="FA19" s="438">
        <v>0</v>
      </c>
      <c r="FB19" s="438">
        <v>12718322</v>
      </c>
      <c r="FC19" s="438">
        <v>0.97334900000000002</v>
      </c>
      <c r="FD19" s="438">
        <v>0</v>
      </c>
      <c r="FE19" s="438">
        <v>1761557</v>
      </c>
      <c r="FF19" s="438">
        <v>401497</v>
      </c>
      <c r="FG19" s="437">
        <v>5.7854999999999997E-2</v>
      </c>
      <c r="FH19" s="437">
        <v>5.2366000000000003E-2</v>
      </c>
      <c r="FI19" s="438">
        <v>0</v>
      </c>
      <c r="FJ19" s="438">
        <v>0</v>
      </c>
      <c r="FK19" s="438">
        <v>2399.7310000000002</v>
      </c>
      <c r="FL19" s="438">
        <v>14901626</v>
      </c>
      <c r="FM19" s="438">
        <v>0</v>
      </c>
      <c r="FN19" s="438">
        <v>0</v>
      </c>
      <c r="FO19" s="438">
        <v>0</v>
      </c>
      <c r="FP19" s="438">
        <v>0</v>
      </c>
      <c r="FQ19" s="438">
        <v>0</v>
      </c>
      <c r="FR19" s="438">
        <v>0</v>
      </c>
      <c r="FS19" s="438">
        <v>0</v>
      </c>
      <c r="FT19" s="438">
        <v>0</v>
      </c>
      <c r="FU19" s="438">
        <v>0</v>
      </c>
      <c r="FV19" s="438">
        <v>0</v>
      </c>
      <c r="FW19" s="438">
        <v>0</v>
      </c>
      <c r="FX19" s="438">
        <v>0</v>
      </c>
      <c r="FY19" s="438">
        <v>0</v>
      </c>
      <c r="FZ19" s="438">
        <v>0</v>
      </c>
      <c r="GA19" s="438">
        <v>0</v>
      </c>
      <c r="GB19" s="438">
        <v>157226</v>
      </c>
      <c r="GC19" s="438">
        <v>157226</v>
      </c>
      <c r="GD19" s="438">
        <v>17.797000000000001</v>
      </c>
      <c r="GF19" s="438">
        <v>0</v>
      </c>
      <c r="GG19" s="438">
        <v>0</v>
      </c>
      <c r="GH19" s="438">
        <v>0</v>
      </c>
      <c r="GI19" s="438">
        <v>0</v>
      </c>
      <c r="GJ19" s="438">
        <v>0</v>
      </c>
      <c r="GK19" s="438">
        <v>4755.6239999999998</v>
      </c>
      <c r="GL19" s="438">
        <v>7453</v>
      </c>
      <c r="GM19" s="438">
        <v>0</v>
      </c>
      <c r="GN19" s="438">
        <v>0</v>
      </c>
      <c r="GO19" s="438">
        <v>0</v>
      </c>
      <c r="GP19" s="438">
        <v>14881376</v>
      </c>
      <c r="GQ19" s="438">
        <v>14881376</v>
      </c>
      <c r="GR19" s="438">
        <v>0</v>
      </c>
      <c r="GS19" s="438">
        <v>0</v>
      </c>
      <c r="GT19" s="438">
        <v>0</v>
      </c>
      <c r="HB19" s="438">
        <v>0</v>
      </c>
      <c r="HC19" s="437">
        <v>6.0754000000000002E-2</v>
      </c>
      <c r="HD19" s="438">
        <v>0</v>
      </c>
    </row>
    <row r="20" spans="1:212" x14ac:dyDescent="0.2">
      <c r="A20" s="438">
        <v>25836</v>
      </c>
      <c r="B20" s="442">
        <v>15801</v>
      </c>
      <c r="C20" s="438">
        <v>9</v>
      </c>
      <c r="D20" s="438">
        <v>2020</v>
      </c>
      <c r="E20" s="438">
        <v>5392</v>
      </c>
      <c r="F20" s="438">
        <v>0</v>
      </c>
      <c r="G20" s="438">
        <v>203.71700000000001</v>
      </c>
      <c r="H20" s="438">
        <v>104.59099999999999</v>
      </c>
      <c r="I20" s="438">
        <v>104.59099999999999</v>
      </c>
      <c r="J20" s="438">
        <v>203.71700000000001</v>
      </c>
      <c r="K20" s="438">
        <v>0</v>
      </c>
      <c r="L20" s="437">
        <v>6544</v>
      </c>
      <c r="M20" s="438">
        <v>0</v>
      </c>
      <c r="N20" s="438">
        <v>0</v>
      </c>
      <c r="P20" s="438">
        <v>208.017</v>
      </c>
      <c r="Q20" s="438">
        <v>0</v>
      </c>
      <c r="R20" s="438">
        <v>51502</v>
      </c>
      <c r="S20" s="437">
        <v>247.58699999999999</v>
      </c>
      <c r="U20" s="438">
        <v>0</v>
      </c>
      <c r="V20" s="438">
        <v>1.9</v>
      </c>
      <c r="W20" s="438">
        <v>1243</v>
      </c>
      <c r="X20" s="438">
        <v>1243</v>
      </c>
      <c r="Z20" s="438">
        <v>0</v>
      </c>
      <c r="AA20" s="438">
        <v>1</v>
      </c>
      <c r="AB20" s="438">
        <v>1</v>
      </c>
      <c r="AC20" s="438">
        <v>0</v>
      </c>
      <c r="AD20" s="438" t="s">
        <v>332</v>
      </c>
      <c r="AE20" s="438">
        <v>0</v>
      </c>
      <c r="AH20" s="438">
        <v>0</v>
      </c>
      <c r="AI20" s="438">
        <v>0</v>
      </c>
      <c r="AJ20" s="437">
        <v>5105</v>
      </c>
      <c r="AK20" s="438" t="s">
        <v>561</v>
      </c>
      <c r="AL20" s="438" t="s">
        <v>38</v>
      </c>
      <c r="AM20" s="438">
        <v>0</v>
      </c>
      <c r="AN20" s="438">
        <v>0</v>
      </c>
      <c r="AO20" s="438">
        <v>0</v>
      </c>
      <c r="AP20" s="438">
        <v>0</v>
      </c>
      <c r="AQ20" s="438">
        <v>0</v>
      </c>
      <c r="AR20" s="438">
        <v>0</v>
      </c>
      <c r="AS20" s="438">
        <v>0</v>
      </c>
      <c r="AT20" s="438">
        <v>0</v>
      </c>
      <c r="AU20" s="438">
        <v>0</v>
      </c>
      <c r="AV20" s="438">
        <v>0</v>
      </c>
      <c r="AW20" s="438">
        <v>2374088</v>
      </c>
      <c r="AX20" s="438">
        <v>2307399</v>
      </c>
      <c r="AY20" s="438">
        <v>0</v>
      </c>
      <c r="AZ20" s="438">
        <v>107524</v>
      </c>
      <c r="BA20" s="438">
        <v>20.832999999999998</v>
      </c>
      <c r="BB20" s="438">
        <v>0</v>
      </c>
      <c r="BC20" s="438">
        <v>0</v>
      </c>
      <c r="BD20" s="438">
        <v>0</v>
      </c>
      <c r="BE20" s="438">
        <v>0</v>
      </c>
      <c r="BF20" s="438">
        <v>1959283</v>
      </c>
      <c r="BG20" s="438">
        <v>0</v>
      </c>
      <c r="BH20" s="438">
        <v>223.864</v>
      </c>
      <c r="BI20" s="438">
        <v>56022</v>
      </c>
      <c r="BJ20" s="438">
        <v>12</v>
      </c>
      <c r="BK20" s="438">
        <v>0</v>
      </c>
      <c r="BL20" s="438">
        <v>0</v>
      </c>
      <c r="BM20" s="438">
        <v>0</v>
      </c>
      <c r="BN20" s="438">
        <v>0</v>
      </c>
      <c r="BO20" s="438">
        <v>0</v>
      </c>
      <c r="BP20" s="438">
        <v>0</v>
      </c>
      <c r="BQ20" s="437">
        <v>5392</v>
      </c>
      <c r="BR20" s="438">
        <v>1</v>
      </c>
      <c r="BS20" s="438">
        <v>0</v>
      </c>
      <c r="BT20" s="438">
        <v>0</v>
      </c>
      <c r="BU20" s="438">
        <v>0</v>
      </c>
      <c r="BV20" s="438">
        <v>0</v>
      </c>
      <c r="BW20" s="438">
        <v>0</v>
      </c>
      <c r="BX20" s="438">
        <v>0</v>
      </c>
      <c r="BY20" s="438">
        <v>0</v>
      </c>
      <c r="BZ20" s="438">
        <v>0</v>
      </c>
      <c r="CA20" s="438">
        <v>0</v>
      </c>
      <c r="CB20" s="438">
        <v>0</v>
      </c>
      <c r="CC20" s="438">
        <v>0</v>
      </c>
      <c r="CG20" s="438">
        <v>0</v>
      </c>
      <c r="CH20" s="438">
        <v>10667</v>
      </c>
      <c r="CI20" s="438">
        <v>0</v>
      </c>
      <c r="CJ20" s="438">
        <v>4</v>
      </c>
      <c r="CK20" s="438">
        <v>0</v>
      </c>
      <c r="CL20" s="438">
        <v>0</v>
      </c>
      <c r="CN20" s="438">
        <v>0</v>
      </c>
      <c r="CO20" s="438">
        <v>1</v>
      </c>
      <c r="CP20" s="438">
        <v>0.58299999999999996</v>
      </c>
      <c r="CQ20" s="438">
        <v>1</v>
      </c>
      <c r="CR20" s="438">
        <v>203.71700000000001</v>
      </c>
      <c r="CS20" s="438">
        <v>0</v>
      </c>
      <c r="CT20" s="438">
        <v>0</v>
      </c>
      <c r="CU20" s="438">
        <v>0</v>
      </c>
      <c r="CV20" s="438">
        <v>0</v>
      </c>
      <c r="CW20" s="438">
        <v>0</v>
      </c>
      <c r="CX20" s="438">
        <v>0</v>
      </c>
      <c r="CY20" s="438">
        <v>0</v>
      </c>
      <c r="CZ20" s="438">
        <v>0</v>
      </c>
      <c r="DA20" s="438">
        <v>1</v>
      </c>
      <c r="DB20" s="438">
        <v>684444</v>
      </c>
      <c r="DC20" s="438">
        <v>0</v>
      </c>
      <c r="DD20" s="438">
        <v>21.832999999999998</v>
      </c>
      <c r="DE20" s="438">
        <v>309963</v>
      </c>
      <c r="DF20" s="438">
        <v>319158</v>
      </c>
      <c r="DG20" s="438">
        <v>236.83</v>
      </c>
      <c r="DH20" s="438">
        <v>0</v>
      </c>
      <c r="DI20" s="438">
        <v>9195</v>
      </c>
      <c r="DK20" s="437">
        <v>5392</v>
      </c>
      <c r="DL20" s="438">
        <v>0</v>
      </c>
      <c r="DM20" s="438">
        <v>140166</v>
      </c>
      <c r="DN20" s="438">
        <v>0</v>
      </c>
      <c r="DO20" s="438">
        <v>0</v>
      </c>
      <c r="DP20" s="438">
        <v>0</v>
      </c>
      <c r="DQ20" s="438">
        <v>0</v>
      </c>
      <c r="DR20" s="438">
        <v>0</v>
      </c>
      <c r="DS20" s="438">
        <v>0</v>
      </c>
      <c r="DT20" s="438">
        <v>0</v>
      </c>
      <c r="DU20" s="438">
        <v>0</v>
      </c>
      <c r="DV20" s="438">
        <v>0</v>
      </c>
      <c r="DW20" s="438">
        <v>0</v>
      </c>
      <c r="DX20" s="438">
        <v>0</v>
      </c>
      <c r="DY20" s="438">
        <v>0</v>
      </c>
      <c r="DZ20" s="438">
        <v>0</v>
      </c>
      <c r="EA20" s="438">
        <v>0</v>
      </c>
      <c r="EB20" s="438">
        <v>0</v>
      </c>
      <c r="EC20" s="438">
        <v>17</v>
      </c>
      <c r="ED20" s="438">
        <v>122373</v>
      </c>
      <c r="EE20" s="438">
        <v>0</v>
      </c>
      <c r="EF20" s="438">
        <v>0</v>
      </c>
      <c r="EG20" s="438">
        <v>0</v>
      </c>
      <c r="EH20" s="438">
        <v>17793</v>
      </c>
      <c r="EI20" s="438">
        <v>0</v>
      </c>
      <c r="EJ20" s="438">
        <v>0</v>
      </c>
      <c r="EK20" s="438">
        <v>0.84799999999999998</v>
      </c>
      <c r="EL20" s="438">
        <v>0</v>
      </c>
      <c r="EM20" s="438">
        <v>0</v>
      </c>
      <c r="EN20" s="438">
        <v>3.5000000000000003E-2</v>
      </c>
      <c r="EO20" s="438">
        <v>0</v>
      </c>
      <c r="EP20" s="438">
        <v>0</v>
      </c>
      <c r="EQ20" s="438">
        <v>0.88300000000000001</v>
      </c>
      <c r="ER20" s="438">
        <v>0</v>
      </c>
      <c r="ES20" s="438">
        <v>2.7189999999999999</v>
      </c>
      <c r="ET20" s="438">
        <v>10667</v>
      </c>
      <c r="EU20" s="438">
        <v>107524</v>
      </c>
      <c r="EV20" s="438">
        <v>0</v>
      </c>
      <c r="EW20" s="438">
        <v>0</v>
      </c>
      <c r="EX20" s="438">
        <v>0</v>
      </c>
      <c r="EZ20" s="438">
        <v>1961427</v>
      </c>
      <c r="FA20" s="438">
        <v>0</v>
      </c>
      <c r="FB20" s="438">
        <v>2068951</v>
      </c>
      <c r="FC20" s="438">
        <v>0.97334900000000002</v>
      </c>
      <c r="FD20" s="438">
        <v>0</v>
      </c>
      <c r="FE20" s="438">
        <v>281754</v>
      </c>
      <c r="FF20" s="438">
        <v>64218</v>
      </c>
      <c r="FG20" s="437">
        <v>5.7854999999999997E-2</v>
      </c>
      <c r="FH20" s="437">
        <v>5.2366000000000003E-2</v>
      </c>
      <c r="FI20" s="438">
        <v>0</v>
      </c>
      <c r="FJ20" s="438">
        <v>0</v>
      </c>
      <c r="FK20" s="438">
        <v>383.827</v>
      </c>
      <c r="FL20" s="438">
        <v>2425590</v>
      </c>
      <c r="FM20" s="438">
        <v>0</v>
      </c>
      <c r="FN20" s="438">
        <v>0</v>
      </c>
      <c r="FO20" s="438">
        <v>0</v>
      </c>
      <c r="FP20" s="438">
        <v>0</v>
      </c>
      <c r="FQ20" s="438">
        <v>0</v>
      </c>
      <c r="FR20" s="438">
        <v>0</v>
      </c>
      <c r="FS20" s="438">
        <v>0</v>
      </c>
      <c r="FT20" s="438">
        <v>0</v>
      </c>
      <c r="FU20" s="438">
        <v>0</v>
      </c>
      <c r="FV20" s="438">
        <v>0</v>
      </c>
      <c r="FW20" s="438">
        <v>0</v>
      </c>
      <c r="FX20" s="438">
        <v>0</v>
      </c>
      <c r="FY20" s="438">
        <v>0</v>
      </c>
      <c r="FZ20" s="438">
        <v>0</v>
      </c>
      <c r="GA20" s="438">
        <v>0</v>
      </c>
      <c r="GB20" s="438">
        <v>867918</v>
      </c>
      <c r="GC20" s="438">
        <v>867918</v>
      </c>
      <c r="GD20" s="438">
        <v>98.242999999999995</v>
      </c>
      <c r="GF20" s="438">
        <v>0</v>
      </c>
      <c r="GG20" s="438">
        <v>0</v>
      </c>
      <c r="GH20" s="438">
        <v>0</v>
      </c>
      <c r="GI20" s="438">
        <v>0</v>
      </c>
      <c r="GJ20" s="438">
        <v>0</v>
      </c>
      <c r="GK20" s="438">
        <v>4850.107</v>
      </c>
      <c r="GL20" s="438">
        <v>10800</v>
      </c>
      <c r="GM20" s="438">
        <v>0</v>
      </c>
      <c r="GN20" s="438">
        <v>30454</v>
      </c>
      <c r="GO20" s="438">
        <v>0</v>
      </c>
      <c r="GP20" s="438">
        <v>2414923</v>
      </c>
      <c r="GQ20" s="438">
        <v>2414923</v>
      </c>
      <c r="GR20" s="438">
        <v>0</v>
      </c>
      <c r="GS20" s="438">
        <v>0</v>
      </c>
      <c r="GT20" s="438">
        <v>0</v>
      </c>
      <c r="HB20" s="438">
        <v>0</v>
      </c>
      <c r="HC20" s="437">
        <v>0</v>
      </c>
      <c r="HD20" s="438">
        <v>0</v>
      </c>
    </row>
    <row r="21" spans="1:212" x14ac:dyDescent="0.2">
      <c r="A21" s="438">
        <v>25836</v>
      </c>
      <c r="B21" s="442">
        <v>15802</v>
      </c>
      <c r="C21" s="438">
        <v>9</v>
      </c>
      <c r="D21" s="438">
        <v>2020</v>
      </c>
      <c r="E21" s="438">
        <v>5392</v>
      </c>
      <c r="F21" s="438">
        <v>0</v>
      </c>
      <c r="G21" s="438">
        <v>805.04200000000003</v>
      </c>
      <c r="H21" s="438">
        <v>746.53899999999999</v>
      </c>
      <c r="I21" s="438">
        <v>746.53899999999999</v>
      </c>
      <c r="J21" s="438">
        <v>805.04200000000003</v>
      </c>
      <c r="K21" s="438">
        <v>0</v>
      </c>
      <c r="L21" s="437">
        <v>6544</v>
      </c>
      <c r="M21" s="438">
        <v>0</v>
      </c>
      <c r="N21" s="438">
        <v>0</v>
      </c>
      <c r="P21" s="438">
        <v>804.35199999999998</v>
      </c>
      <c r="Q21" s="438">
        <v>0</v>
      </c>
      <c r="R21" s="438">
        <v>199147</v>
      </c>
      <c r="S21" s="437">
        <v>247.58699999999999</v>
      </c>
      <c r="U21" s="438">
        <v>0</v>
      </c>
      <c r="V21" s="438">
        <v>129.56800000000001</v>
      </c>
      <c r="W21" s="438">
        <v>84789</v>
      </c>
      <c r="X21" s="438">
        <v>84789</v>
      </c>
      <c r="Z21" s="438">
        <v>0</v>
      </c>
      <c r="AA21" s="438">
        <v>1</v>
      </c>
      <c r="AB21" s="438">
        <v>1</v>
      </c>
      <c r="AC21" s="438">
        <v>0</v>
      </c>
      <c r="AD21" s="438" t="s">
        <v>332</v>
      </c>
      <c r="AE21" s="438">
        <v>0</v>
      </c>
      <c r="AH21" s="438">
        <v>0</v>
      </c>
      <c r="AI21" s="438">
        <v>0</v>
      </c>
      <c r="AJ21" s="437">
        <v>5105</v>
      </c>
      <c r="AK21" s="438" t="s">
        <v>561</v>
      </c>
      <c r="AL21" s="438" t="s">
        <v>58</v>
      </c>
      <c r="AM21" s="438">
        <v>0</v>
      </c>
      <c r="AN21" s="438">
        <v>0</v>
      </c>
      <c r="AO21" s="438">
        <v>0</v>
      </c>
      <c r="AP21" s="438">
        <v>0</v>
      </c>
      <c r="AQ21" s="438">
        <v>0</v>
      </c>
      <c r="AR21" s="438">
        <v>0</v>
      </c>
      <c r="AS21" s="438">
        <v>0</v>
      </c>
      <c r="AT21" s="438">
        <v>0</v>
      </c>
      <c r="AU21" s="438">
        <v>0</v>
      </c>
      <c r="AV21" s="438">
        <v>0</v>
      </c>
      <c r="AW21" s="438">
        <v>8893200</v>
      </c>
      <c r="AX21" s="438">
        <v>8839162</v>
      </c>
      <c r="AY21" s="438">
        <v>0</v>
      </c>
      <c r="AZ21" s="438">
        <v>229768</v>
      </c>
      <c r="BA21" s="438">
        <v>46.832999999999998</v>
      </c>
      <c r="BB21" s="438">
        <v>0</v>
      </c>
      <c r="BC21" s="438">
        <v>0</v>
      </c>
      <c r="BD21" s="438">
        <v>0</v>
      </c>
      <c r="BE21" s="438">
        <v>0</v>
      </c>
      <c r="BF21" s="438">
        <v>7414606</v>
      </c>
      <c r="BG21" s="438">
        <v>0</v>
      </c>
      <c r="BH21" s="438">
        <v>111.349</v>
      </c>
      <c r="BI21" s="438">
        <v>30621</v>
      </c>
      <c r="BJ21" s="438">
        <v>12</v>
      </c>
      <c r="BK21" s="438">
        <v>0</v>
      </c>
      <c r="BL21" s="438">
        <v>0</v>
      </c>
      <c r="BM21" s="438">
        <v>0</v>
      </c>
      <c r="BN21" s="438">
        <v>0</v>
      </c>
      <c r="BO21" s="438">
        <v>0</v>
      </c>
      <c r="BP21" s="438">
        <v>0</v>
      </c>
      <c r="BQ21" s="437">
        <v>5392</v>
      </c>
      <c r="BR21" s="438">
        <v>1</v>
      </c>
      <c r="BS21" s="438">
        <v>0</v>
      </c>
      <c r="BT21" s="438">
        <v>0</v>
      </c>
      <c r="BU21" s="438">
        <v>0</v>
      </c>
      <c r="BV21" s="438">
        <v>0</v>
      </c>
      <c r="BW21" s="438">
        <v>0</v>
      </c>
      <c r="BX21" s="438">
        <v>0</v>
      </c>
      <c r="BY21" s="438">
        <v>0</v>
      </c>
      <c r="BZ21" s="438">
        <v>0</v>
      </c>
      <c r="CA21" s="438">
        <v>0</v>
      </c>
      <c r="CB21" s="438">
        <v>0</v>
      </c>
      <c r="CC21" s="438">
        <v>0</v>
      </c>
      <c r="CG21" s="438">
        <v>0</v>
      </c>
      <c r="CH21" s="438">
        <v>23417</v>
      </c>
      <c r="CI21" s="438">
        <v>0</v>
      </c>
      <c r="CJ21" s="438">
        <v>4</v>
      </c>
      <c r="CK21" s="438">
        <v>0</v>
      </c>
      <c r="CL21" s="438">
        <v>0</v>
      </c>
      <c r="CN21" s="438">
        <v>0</v>
      </c>
      <c r="CO21" s="438">
        <v>1</v>
      </c>
      <c r="CP21" s="438">
        <v>0.48699999999999999</v>
      </c>
      <c r="CQ21" s="438">
        <v>0</v>
      </c>
      <c r="CR21" s="438">
        <v>805.04200000000003</v>
      </c>
      <c r="CS21" s="438">
        <v>0</v>
      </c>
      <c r="CT21" s="438">
        <v>0</v>
      </c>
      <c r="CU21" s="438">
        <v>0</v>
      </c>
      <c r="CV21" s="438">
        <v>0</v>
      </c>
      <c r="CW21" s="438">
        <v>0</v>
      </c>
      <c r="CX21" s="438">
        <v>0</v>
      </c>
      <c r="CY21" s="438">
        <v>0</v>
      </c>
      <c r="CZ21" s="438">
        <v>0</v>
      </c>
      <c r="DA21" s="438">
        <v>1</v>
      </c>
      <c r="DB21" s="438">
        <v>4885351</v>
      </c>
      <c r="DC21" s="438">
        <v>0</v>
      </c>
      <c r="DD21" s="438">
        <v>46.832999999999998</v>
      </c>
      <c r="DE21" s="438">
        <v>1775610</v>
      </c>
      <c r="DF21" s="438">
        <v>1783290</v>
      </c>
      <c r="DG21" s="438">
        <v>1356.67</v>
      </c>
      <c r="DH21" s="438">
        <v>0</v>
      </c>
      <c r="DI21" s="438">
        <v>7680</v>
      </c>
      <c r="DK21" s="437">
        <v>5392</v>
      </c>
      <c r="DL21" s="438">
        <v>0</v>
      </c>
      <c r="DM21" s="438">
        <v>420403</v>
      </c>
      <c r="DN21" s="438">
        <v>0</v>
      </c>
      <c r="DO21" s="438">
        <v>0</v>
      </c>
      <c r="DP21" s="438">
        <v>0</v>
      </c>
      <c r="DQ21" s="438">
        <v>0</v>
      </c>
      <c r="DR21" s="438">
        <v>0</v>
      </c>
      <c r="DS21" s="438">
        <v>0</v>
      </c>
      <c r="DT21" s="438">
        <v>0</v>
      </c>
      <c r="DU21" s="438">
        <v>0</v>
      </c>
      <c r="DV21" s="438">
        <v>0</v>
      </c>
      <c r="DW21" s="438">
        <v>0</v>
      </c>
      <c r="DX21" s="438">
        <v>0</v>
      </c>
      <c r="DY21" s="438">
        <v>0</v>
      </c>
      <c r="DZ21" s="438">
        <v>0</v>
      </c>
      <c r="EA21" s="438">
        <v>0</v>
      </c>
      <c r="EB21" s="438">
        <v>0</v>
      </c>
      <c r="EC21" s="438">
        <v>33.134999999999998</v>
      </c>
      <c r="ED21" s="438">
        <v>238519</v>
      </c>
      <c r="EE21" s="438">
        <v>0</v>
      </c>
      <c r="EF21" s="438">
        <v>0</v>
      </c>
      <c r="EG21" s="438">
        <v>0</v>
      </c>
      <c r="EH21" s="438">
        <v>164791</v>
      </c>
      <c r="EI21" s="438">
        <v>17093</v>
      </c>
      <c r="EJ21" s="438">
        <v>0.65300000000000002</v>
      </c>
      <c r="EK21" s="438">
        <v>6.4489999999999998</v>
      </c>
      <c r="EL21" s="438">
        <v>0</v>
      </c>
      <c r="EM21" s="438">
        <v>0</v>
      </c>
      <c r="EN21" s="438">
        <v>1.167</v>
      </c>
      <c r="EO21" s="438">
        <v>0</v>
      </c>
      <c r="EP21" s="438">
        <v>0</v>
      </c>
      <c r="EQ21" s="438">
        <v>8.2690000000000001</v>
      </c>
      <c r="ER21" s="438">
        <v>0</v>
      </c>
      <c r="ES21" s="438">
        <v>25.181999999999999</v>
      </c>
      <c r="ET21" s="438">
        <v>23417</v>
      </c>
      <c r="EU21" s="438">
        <v>229768</v>
      </c>
      <c r="EV21" s="438">
        <v>0</v>
      </c>
      <c r="EW21" s="438">
        <v>0</v>
      </c>
      <c r="EX21" s="438">
        <v>0</v>
      </c>
      <c r="EZ21" s="438">
        <v>7529886</v>
      </c>
      <c r="FA21" s="438">
        <v>0</v>
      </c>
      <c r="FB21" s="438">
        <v>7759654</v>
      </c>
      <c r="FC21" s="438">
        <v>0.97334900000000002</v>
      </c>
      <c r="FD21" s="438">
        <v>0</v>
      </c>
      <c r="FE21" s="438">
        <v>1066253</v>
      </c>
      <c r="FF21" s="438">
        <v>243023</v>
      </c>
      <c r="FG21" s="437">
        <v>5.7854999999999997E-2</v>
      </c>
      <c r="FH21" s="437">
        <v>5.2366000000000003E-2</v>
      </c>
      <c r="FI21" s="438">
        <v>0</v>
      </c>
      <c r="FJ21" s="438">
        <v>0</v>
      </c>
      <c r="FK21" s="438">
        <v>1452.5340000000001</v>
      </c>
      <c r="FL21" s="438">
        <v>9092347</v>
      </c>
      <c r="FM21" s="438">
        <v>0</v>
      </c>
      <c r="FN21" s="438">
        <v>0</v>
      </c>
      <c r="FO21" s="438">
        <v>111413</v>
      </c>
      <c r="FP21" s="438">
        <v>0</v>
      </c>
      <c r="FQ21" s="438">
        <v>111413</v>
      </c>
      <c r="FR21" s="438">
        <v>111413</v>
      </c>
      <c r="FS21" s="438">
        <v>0</v>
      </c>
      <c r="FT21" s="438">
        <v>0</v>
      </c>
      <c r="FU21" s="438">
        <v>0</v>
      </c>
      <c r="FV21" s="438">
        <v>0</v>
      </c>
      <c r="FW21" s="438">
        <v>0</v>
      </c>
      <c r="FX21" s="438">
        <v>0</v>
      </c>
      <c r="FY21" s="438">
        <v>0</v>
      </c>
      <c r="FZ21" s="438">
        <v>0</v>
      </c>
      <c r="GA21" s="438">
        <v>0</v>
      </c>
      <c r="GB21" s="438">
        <v>443787</v>
      </c>
      <c r="GC21" s="438">
        <v>443787</v>
      </c>
      <c r="GD21" s="438">
        <v>50.234000000000002</v>
      </c>
      <c r="GF21" s="438">
        <v>0</v>
      </c>
      <c r="GG21" s="438">
        <v>0</v>
      </c>
      <c r="GH21" s="438">
        <v>0</v>
      </c>
      <c r="GI21" s="438">
        <v>0</v>
      </c>
      <c r="GJ21" s="438">
        <v>0</v>
      </c>
      <c r="GK21" s="438">
        <v>4835.2860000000001</v>
      </c>
      <c r="GL21" s="438">
        <v>14274</v>
      </c>
      <c r="GM21" s="438">
        <v>0</v>
      </c>
      <c r="GN21" s="438">
        <v>78951</v>
      </c>
      <c r="GO21" s="438">
        <v>0</v>
      </c>
      <c r="GP21" s="438">
        <v>9068930</v>
      </c>
      <c r="GQ21" s="438">
        <v>9068930</v>
      </c>
      <c r="GR21" s="438">
        <v>0</v>
      </c>
      <c r="GS21" s="438">
        <v>0</v>
      </c>
      <c r="GT21" s="438">
        <v>0</v>
      </c>
      <c r="HB21" s="438">
        <v>0</v>
      </c>
      <c r="HC21" s="437">
        <v>6.0754000000000002E-2</v>
      </c>
      <c r="HD21" s="438">
        <v>0</v>
      </c>
    </row>
    <row r="22" spans="1:212" x14ac:dyDescent="0.2">
      <c r="A22" s="438">
        <v>25836</v>
      </c>
      <c r="B22" s="442">
        <v>15805</v>
      </c>
      <c r="C22" s="438">
        <v>9</v>
      </c>
      <c r="D22" s="438">
        <v>2020</v>
      </c>
      <c r="E22" s="438">
        <v>5392</v>
      </c>
      <c r="F22" s="438">
        <v>0</v>
      </c>
      <c r="G22" s="438">
        <v>574.29300000000001</v>
      </c>
      <c r="H22" s="438">
        <v>570.08299999999997</v>
      </c>
      <c r="I22" s="438">
        <v>570.08299999999997</v>
      </c>
      <c r="J22" s="438">
        <v>574.29300000000001</v>
      </c>
      <c r="K22" s="438">
        <v>0</v>
      </c>
      <c r="L22" s="437">
        <v>6544</v>
      </c>
      <c r="M22" s="438">
        <v>0</v>
      </c>
      <c r="N22" s="438">
        <v>0</v>
      </c>
      <c r="P22" s="438">
        <v>577.85699999999997</v>
      </c>
      <c r="Q22" s="438">
        <v>0</v>
      </c>
      <c r="R22" s="438">
        <v>143070</v>
      </c>
      <c r="S22" s="437">
        <v>247.58699999999999</v>
      </c>
      <c r="U22" s="438">
        <v>0</v>
      </c>
      <c r="V22" s="438">
        <v>61.034999999999997</v>
      </c>
      <c r="W22" s="438">
        <v>39941</v>
      </c>
      <c r="X22" s="438">
        <v>39941</v>
      </c>
      <c r="Z22" s="438">
        <v>0</v>
      </c>
      <c r="AA22" s="438">
        <v>1</v>
      </c>
      <c r="AB22" s="438">
        <v>1</v>
      </c>
      <c r="AC22" s="438">
        <v>0</v>
      </c>
      <c r="AD22" s="438" t="s">
        <v>332</v>
      </c>
      <c r="AE22" s="438">
        <v>0</v>
      </c>
      <c r="AH22" s="438">
        <v>0</v>
      </c>
      <c r="AI22" s="438">
        <v>0</v>
      </c>
      <c r="AJ22" s="437">
        <v>5105</v>
      </c>
      <c r="AK22" s="438" t="s">
        <v>561</v>
      </c>
      <c r="AL22" s="438" t="s">
        <v>638</v>
      </c>
      <c r="AM22" s="438">
        <v>0</v>
      </c>
      <c r="AN22" s="438">
        <v>0</v>
      </c>
      <c r="AO22" s="438">
        <v>0</v>
      </c>
      <c r="AP22" s="438">
        <v>0</v>
      </c>
      <c r="AQ22" s="438">
        <v>0</v>
      </c>
      <c r="AR22" s="438">
        <v>0</v>
      </c>
      <c r="AS22" s="438">
        <v>0</v>
      </c>
      <c r="AT22" s="438">
        <v>0</v>
      </c>
      <c r="AU22" s="438">
        <v>0</v>
      </c>
      <c r="AV22" s="438">
        <v>0</v>
      </c>
      <c r="AW22" s="438">
        <v>5534074</v>
      </c>
      <c r="AX22" s="438">
        <v>5481494</v>
      </c>
      <c r="AY22" s="438">
        <v>0</v>
      </c>
      <c r="AZ22" s="438">
        <v>195650</v>
      </c>
      <c r="BA22" s="438">
        <v>0</v>
      </c>
      <c r="BB22" s="438">
        <v>0</v>
      </c>
      <c r="BC22" s="438">
        <v>0</v>
      </c>
      <c r="BD22" s="438">
        <v>0</v>
      </c>
      <c r="BE22" s="438">
        <v>0</v>
      </c>
      <c r="BF22" s="438">
        <v>4667139</v>
      </c>
      <c r="BG22" s="438">
        <v>0</v>
      </c>
      <c r="BH22" s="438">
        <v>191.2</v>
      </c>
      <c r="BI22" s="438">
        <v>52580</v>
      </c>
      <c r="BJ22" s="438">
        <v>12</v>
      </c>
      <c r="BK22" s="438">
        <v>0</v>
      </c>
      <c r="BL22" s="438">
        <v>0</v>
      </c>
      <c r="BM22" s="438">
        <v>0</v>
      </c>
      <c r="BN22" s="438">
        <v>0</v>
      </c>
      <c r="BO22" s="438">
        <v>0</v>
      </c>
      <c r="BP22" s="438">
        <v>0</v>
      </c>
      <c r="BQ22" s="437">
        <v>5392</v>
      </c>
      <c r="BR22" s="438">
        <v>1</v>
      </c>
      <c r="BS22" s="438">
        <v>0</v>
      </c>
      <c r="BT22" s="438">
        <v>0</v>
      </c>
      <c r="BU22" s="438">
        <v>0</v>
      </c>
      <c r="BV22" s="438">
        <v>0</v>
      </c>
      <c r="BW22" s="438">
        <v>0</v>
      </c>
      <c r="BX22" s="438">
        <v>0</v>
      </c>
      <c r="BY22" s="438">
        <v>0</v>
      </c>
      <c r="BZ22" s="438">
        <v>0</v>
      </c>
      <c r="CA22" s="438">
        <v>0</v>
      </c>
      <c r="CB22" s="438">
        <v>0</v>
      </c>
      <c r="CC22" s="438">
        <v>0</v>
      </c>
      <c r="CG22" s="438">
        <v>0</v>
      </c>
      <c r="CH22" s="438">
        <v>0</v>
      </c>
      <c r="CI22" s="438">
        <v>0</v>
      </c>
      <c r="CJ22" s="438">
        <v>4</v>
      </c>
      <c r="CK22" s="438">
        <v>0</v>
      </c>
      <c r="CL22" s="438">
        <v>0</v>
      </c>
      <c r="CN22" s="438">
        <v>0</v>
      </c>
      <c r="CO22" s="438">
        <v>1</v>
      </c>
      <c r="CP22" s="438">
        <v>0</v>
      </c>
      <c r="CQ22" s="438">
        <v>0</v>
      </c>
      <c r="CR22" s="438">
        <v>574.29300000000001</v>
      </c>
      <c r="CS22" s="438">
        <v>0</v>
      </c>
      <c r="CT22" s="438">
        <v>0</v>
      </c>
      <c r="CU22" s="438">
        <v>0</v>
      </c>
      <c r="CV22" s="438">
        <v>0</v>
      </c>
      <c r="CW22" s="438">
        <v>0</v>
      </c>
      <c r="CX22" s="438">
        <v>0</v>
      </c>
      <c r="CY22" s="438">
        <v>0</v>
      </c>
      <c r="CZ22" s="438">
        <v>0</v>
      </c>
      <c r="DA22" s="438">
        <v>1</v>
      </c>
      <c r="DB22" s="438">
        <v>3730623</v>
      </c>
      <c r="DC22" s="438">
        <v>0</v>
      </c>
      <c r="DD22" s="438">
        <v>0</v>
      </c>
      <c r="DE22" s="438">
        <v>772414</v>
      </c>
      <c r="DF22" s="438">
        <v>772414</v>
      </c>
      <c r="DG22" s="438">
        <v>590.16999999999996</v>
      </c>
      <c r="DH22" s="438">
        <v>0</v>
      </c>
      <c r="DI22" s="438">
        <v>0</v>
      </c>
      <c r="DK22" s="437">
        <v>5392</v>
      </c>
      <c r="DL22" s="438">
        <v>0</v>
      </c>
      <c r="DM22" s="438">
        <v>251949</v>
      </c>
      <c r="DN22" s="438">
        <v>0</v>
      </c>
      <c r="DO22" s="438">
        <v>0</v>
      </c>
      <c r="DP22" s="438">
        <v>0</v>
      </c>
      <c r="DQ22" s="438">
        <v>0</v>
      </c>
      <c r="DR22" s="438">
        <v>0</v>
      </c>
      <c r="DS22" s="438">
        <v>0</v>
      </c>
      <c r="DT22" s="438">
        <v>0</v>
      </c>
      <c r="DU22" s="438">
        <v>0</v>
      </c>
      <c r="DV22" s="438">
        <v>0</v>
      </c>
      <c r="DW22" s="438">
        <v>0</v>
      </c>
      <c r="DX22" s="438">
        <v>0</v>
      </c>
      <c r="DY22" s="438">
        <v>0</v>
      </c>
      <c r="DZ22" s="438">
        <v>0</v>
      </c>
      <c r="EA22" s="438">
        <v>1.4999999999999999E-2</v>
      </c>
      <c r="EB22" s="438">
        <v>0</v>
      </c>
      <c r="EC22" s="438">
        <v>22.297000000000001</v>
      </c>
      <c r="ED22" s="438">
        <v>160503</v>
      </c>
      <c r="EE22" s="438">
        <v>0</v>
      </c>
      <c r="EF22" s="438">
        <v>0</v>
      </c>
      <c r="EG22" s="438">
        <v>0</v>
      </c>
      <c r="EH22" s="438">
        <v>91446</v>
      </c>
      <c r="EI22" s="438">
        <v>0</v>
      </c>
      <c r="EJ22" s="438">
        <v>0</v>
      </c>
      <c r="EK22" s="438">
        <v>0.93799999999999994</v>
      </c>
      <c r="EL22" s="438">
        <v>0</v>
      </c>
      <c r="EM22" s="438">
        <v>2.6</v>
      </c>
      <c r="EN22" s="438">
        <v>0.65700000000000003</v>
      </c>
      <c r="EO22" s="438">
        <v>0</v>
      </c>
      <c r="EP22" s="438">
        <v>0</v>
      </c>
      <c r="EQ22" s="438">
        <v>4.21</v>
      </c>
      <c r="ER22" s="438">
        <v>0</v>
      </c>
      <c r="ES22" s="438">
        <v>13.974</v>
      </c>
      <c r="ET22" s="438">
        <v>0</v>
      </c>
      <c r="EU22" s="438">
        <v>195650</v>
      </c>
      <c r="EV22" s="438">
        <v>0</v>
      </c>
      <c r="EW22" s="438">
        <v>0</v>
      </c>
      <c r="EX22" s="438">
        <v>0</v>
      </c>
      <c r="EZ22" s="438">
        <v>4657367</v>
      </c>
      <c r="FA22" s="438">
        <v>0</v>
      </c>
      <c r="FB22" s="438">
        <v>4853017</v>
      </c>
      <c r="FC22" s="438">
        <v>0.97334900000000002</v>
      </c>
      <c r="FD22" s="438">
        <v>0</v>
      </c>
      <c r="FE22" s="438">
        <v>671156</v>
      </c>
      <c r="FF22" s="438">
        <v>152971</v>
      </c>
      <c r="FG22" s="437">
        <v>5.7854999999999997E-2</v>
      </c>
      <c r="FH22" s="437">
        <v>5.2366000000000003E-2</v>
      </c>
      <c r="FI22" s="438">
        <v>0</v>
      </c>
      <c r="FJ22" s="438">
        <v>0</v>
      </c>
      <c r="FK22" s="438">
        <v>914.30100000000004</v>
      </c>
      <c r="FL22" s="438">
        <v>5677144</v>
      </c>
      <c r="FM22" s="438">
        <v>0</v>
      </c>
      <c r="FN22" s="438">
        <v>0</v>
      </c>
      <c r="FO22" s="438">
        <v>5510</v>
      </c>
      <c r="FP22" s="438">
        <v>0</v>
      </c>
      <c r="FQ22" s="438">
        <v>5510</v>
      </c>
      <c r="FR22" s="438">
        <v>5510</v>
      </c>
      <c r="FS22" s="438">
        <v>0</v>
      </c>
      <c r="FT22" s="438">
        <v>0</v>
      </c>
      <c r="FU22" s="438">
        <v>0</v>
      </c>
      <c r="FV22" s="438">
        <v>0</v>
      </c>
      <c r="FW22" s="438">
        <v>0</v>
      </c>
      <c r="FX22" s="438">
        <v>0</v>
      </c>
      <c r="FY22" s="438">
        <v>0</v>
      </c>
      <c r="FZ22" s="438">
        <v>0</v>
      </c>
      <c r="GA22" s="438">
        <v>0</v>
      </c>
      <c r="GB22" s="438">
        <v>0</v>
      </c>
      <c r="GC22" s="438">
        <v>0</v>
      </c>
      <c r="GD22" s="438">
        <v>0</v>
      </c>
      <c r="GF22" s="438">
        <v>0</v>
      </c>
      <c r="GG22" s="438">
        <v>0</v>
      </c>
      <c r="GH22" s="438">
        <v>0</v>
      </c>
      <c r="GI22" s="438">
        <v>0</v>
      </c>
      <c r="GJ22" s="438">
        <v>0</v>
      </c>
      <c r="GK22" s="438">
        <v>4612.0479999999998</v>
      </c>
      <c r="GL22" s="438">
        <v>19008</v>
      </c>
      <c r="GM22" s="438">
        <v>0</v>
      </c>
      <c r="GN22" s="438">
        <v>0</v>
      </c>
      <c r="GO22" s="438">
        <v>0</v>
      </c>
      <c r="GP22" s="438">
        <v>5677144</v>
      </c>
      <c r="GQ22" s="438">
        <v>5677144</v>
      </c>
      <c r="GR22" s="438">
        <v>0</v>
      </c>
      <c r="GS22" s="438">
        <v>0</v>
      </c>
      <c r="GT22" s="438">
        <v>0</v>
      </c>
      <c r="HB22" s="438">
        <v>0</v>
      </c>
      <c r="HC22" s="437">
        <v>6.0754000000000002E-2</v>
      </c>
      <c r="HD22" s="438">
        <v>0</v>
      </c>
    </row>
    <row r="23" spans="1:212" x14ac:dyDescent="0.2">
      <c r="A23" s="438">
        <v>25836</v>
      </c>
      <c r="B23" s="442">
        <v>15806</v>
      </c>
      <c r="C23" s="438">
        <v>9</v>
      </c>
      <c r="D23" s="438">
        <v>2020</v>
      </c>
      <c r="E23" s="438">
        <v>5392</v>
      </c>
      <c r="F23" s="438">
        <v>0</v>
      </c>
      <c r="G23" s="438">
        <v>556.56200000000001</v>
      </c>
      <c r="H23" s="438">
        <v>521.35199999999998</v>
      </c>
      <c r="I23" s="438">
        <v>521.35199999999998</v>
      </c>
      <c r="J23" s="438">
        <v>556.56200000000001</v>
      </c>
      <c r="K23" s="438">
        <v>0</v>
      </c>
      <c r="L23" s="437">
        <v>6544</v>
      </c>
      <c r="M23" s="438">
        <v>0</v>
      </c>
      <c r="N23" s="438">
        <v>0</v>
      </c>
      <c r="P23" s="438">
        <v>563.70000000000005</v>
      </c>
      <c r="Q23" s="438">
        <v>0</v>
      </c>
      <c r="R23" s="438">
        <v>139565</v>
      </c>
      <c r="S23" s="437">
        <v>247.58699999999999</v>
      </c>
      <c r="U23" s="438">
        <v>0</v>
      </c>
      <c r="V23" s="438">
        <v>104.425</v>
      </c>
      <c r="W23" s="438">
        <v>68336</v>
      </c>
      <c r="X23" s="438">
        <v>68336</v>
      </c>
      <c r="Z23" s="438">
        <v>0</v>
      </c>
      <c r="AA23" s="438">
        <v>1</v>
      </c>
      <c r="AB23" s="438">
        <v>1</v>
      </c>
      <c r="AC23" s="438">
        <v>0</v>
      </c>
      <c r="AD23" s="438" t="s">
        <v>332</v>
      </c>
      <c r="AE23" s="438">
        <v>0</v>
      </c>
      <c r="AH23" s="438">
        <v>0</v>
      </c>
      <c r="AI23" s="438">
        <v>0</v>
      </c>
      <c r="AJ23" s="437">
        <v>5105</v>
      </c>
      <c r="AK23" s="438" t="s">
        <v>561</v>
      </c>
      <c r="AL23" s="438" t="s">
        <v>59</v>
      </c>
      <c r="AM23" s="438">
        <v>0</v>
      </c>
      <c r="AN23" s="438">
        <v>0</v>
      </c>
      <c r="AO23" s="438">
        <v>0</v>
      </c>
      <c r="AP23" s="438">
        <v>0</v>
      </c>
      <c r="AQ23" s="438">
        <v>0</v>
      </c>
      <c r="AR23" s="438">
        <v>0</v>
      </c>
      <c r="AS23" s="438">
        <v>0</v>
      </c>
      <c r="AT23" s="438">
        <v>0</v>
      </c>
      <c r="AU23" s="438">
        <v>0</v>
      </c>
      <c r="AV23" s="438">
        <v>0</v>
      </c>
      <c r="AW23" s="438">
        <v>5772615</v>
      </c>
      <c r="AX23" s="438">
        <v>5691450</v>
      </c>
      <c r="AY23" s="438">
        <v>0</v>
      </c>
      <c r="AZ23" s="438">
        <v>188563</v>
      </c>
      <c r="BA23" s="438">
        <v>63.832999999999998</v>
      </c>
      <c r="BB23" s="438">
        <v>0</v>
      </c>
      <c r="BC23" s="438">
        <v>0</v>
      </c>
      <c r="BD23" s="438">
        <v>0</v>
      </c>
      <c r="BE23" s="438">
        <v>0</v>
      </c>
      <c r="BF23" s="438">
        <v>4780031</v>
      </c>
      <c r="BG23" s="438">
        <v>0</v>
      </c>
      <c r="BH23" s="438">
        <v>178.17400000000001</v>
      </c>
      <c r="BI23" s="438">
        <v>48998</v>
      </c>
      <c r="BJ23" s="438">
        <v>12</v>
      </c>
      <c r="BK23" s="438">
        <v>0</v>
      </c>
      <c r="BL23" s="438">
        <v>0</v>
      </c>
      <c r="BM23" s="438">
        <v>0</v>
      </c>
      <c r="BN23" s="438">
        <v>0</v>
      </c>
      <c r="BO23" s="438">
        <v>0</v>
      </c>
      <c r="BP23" s="438">
        <v>0</v>
      </c>
      <c r="BQ23" s="437">
        <v>5392</v>
      </c>
      <c r="BR23" s="438">
        <v>1</v>
      </c>
      <c r="BS23" s="438">
        <v>0</v>
      </c>
      <c r="BT23" s="438">
        <v>0</v>
      </c>
      <c r="BU23" s="438">
        <v>0</v>
      </c>
      <c r="BV23" s="438">
        <v>0</v>
      </c>
      <c r="BW23" s="438">
        <v>0</v>
      </c>
      <c r="BX23" s="438">
        <v>0</v>
      </c>
      <c r="BY23" s="438">
        <v>0</v>
      </c>
      <c r="BZ23" s="438">
        <v>0</v>
      </c>
      <c r="CA23" s="438">
        <v>0</v>
      </c>
      <c r="CB23" s="438">
        <v>0</v>
      </c>
      <c r="CC23" s="438">
        <v>0</v>
      </c>
      <c r="CG23" s="438">
        <v>0</v>
      </c>
      <c r="CH23" s="438">
        <v>32167</v>
      </c>
      <c r="CI23" s="438">
        <v>0</v>
      </c>
      <c r="CJ23" s="438">
        <v>4</v>
      </c>
      <c r="CK23" s="438">
        <v>0</v>
      </c>
      <c r="CL23" s="438">
        <v>0</v>
      </c>
      <c r="CN23" s="438">
        <v>0</v>
      </c>
      <c r="CO23" s="438">
        <v>1</v>
      </c>
      <c r="CP23" s="438">
        <v>0</v>
      </c>
      <c r="CQ23" s="438">
        <v>1</v>
      </c>
      <c r="CR23" s="438">
        <v>556.56200000000001</v>
      </c>
      <c r="CS23" s="438">
        <v>0</v>
      </c>
      <c r="CT23" s="438">
        <v>0</v>
      </c>
      <c r="CU23" s="438">
        <v>0</v>
      </c>
      <c r="CV23" s="438">
        <v>0</v>
      </c>
      <c r="CW23" s="438">
        <v>0</v>
      </c>
      <c r="CX23" s="438">
        <v>0</v>
      </c>
      <c r="CY23" s="438">
        <v>0</v>
      </c>
      <c r="CZ23" s="438">
        <v>0</v>
      </c>
      <c r="DA23" s="438">
        <v>1</v>
      </c>
      <c r="DB23" s="438">
        <v>3411727</v>
      </c>
      <c r="DC23" s="438">
        <v>0</v>
      </c>
      <c r="DD23" s="438">
        <v>0</v>
      </c>
      <c r="DE23" s="438">
        <v>857042</v>
      </c>
      <c r="DF23" s="438">
        <v>857042</v>
      </c>
      <c r="DG23" s="438">
        <v>654.83000000000004</v>
      </c>
      <c r="DH23" s="438">
        <v>0</v>
      </c>
      <c r="DI23" s="438">
        <v>0</v>
      </c>
      <c r="DK23" s="437">
        <v>5392</v>
      </c>
      <c r="DL23" s="438">
        <v>0</v>
      </c>
      <c r="DM23" s="438">
        <v>364677</v>
      </c>
      <c r="DN23" s="438">
        <v>0</v>
      </c>
      <c r="DO23" s="438">
        <v>0</v>
      </c>
      <c r="DP23" s="438">
        <v>0</v>
      </c>
      <c r="DQ23" s="438">
        <v>0</v>
      </c>
      <c r="DR23" s="438">
        <v>0</v>
      </c>
      <c r="DS23" s="438">
        <v>0</v>
      </c>
      <c r="DT23" s="438">
        <v>0</v>
      </c>
      <c r="DU23" s="438">
        <v>0</v>
      </c>
      <c r="DV23" s="438">
        <v>0</v>
      </c>
      <c r="DW23" s="438">
        <v>0</v>
      </c>
      <c r="DX23" s="438">
        <v>0</v>
      </c>
      <c r="DY23" s="438">
        <v>0</v>
      </c>
      <c r="DZ23" s="438">
        <v>0</v>
      </c>
      <c r="EA23" s="438">
        <v>0</v>
      </c>
      <c r="EB23" s="438">
        <v>0</v>
      </c>
      <c r="EC23" s="438">
        <v>17.97</v>
      </c>
      <c r="ED23" s="438">
        <v>129355</v>
      </c>
      <c r="EE23" s="438">
        <v>0</v>
      </c>
      <c r="EF23" s="438">
        <v>0</v>
      </c>
      <c r="EG23" s="438">
        <v>0</v>
      </c>
      <c r="EH23" s="438">
        <v>235322</v>
      </c>
      <c r="EI23" s="438">
        <v>0</v>
      </c>
      <c r="EJ23" s="438">
        <v>0</v>
      </c>
      <c r="EK23" s="438">
        <v>8.4</v>
      </c>
      <c r="EL23" s="438">
        <v>0</v>
      </c>
      <c r="EM23" s="438">
        <v>2.4649999999999999</v>
      </c>
      <c r="EN23" s="438">
        <v>0.67300000000000004</v>
      </c>
      <c r="EO23" s="438">
        <v>0</v>
      </c>
      <c r="EP23" s="438">
        <v>0</v>
      </c>
      <c r="EQ23" s="438">
        <v>11.538</v>
      </c>
      <c r="ER23" s="438">
        <v>0</v>
      </c>
      <c r="ES23" s="438">
        <v>35.96</v>
      </c>
      <c r="ET23" s="438">
        <v>32167</v>
      </c>
      <c r="EU23" s="438">
        <v>188563</v>
      </c>
      <c r="EV23" s="438">
        <v>0</v>
      </c>
      <c r="EW23" s="438">
        <v>0</v>
      </c>
      <c r="EX23" s="438">
        <v>0</v>
      </c>
      <c r="EZ23" s="438">
        <v>4847390</v>
      </c>
      <c r="FA23" s="438">
        <v>0</v>
      </c>
      <c r="FB23" s="438">
        <v>5035953</v>
      </c>
      <c r="FC23" s="438">
        <v>0.97334900000000002</v>
      </c>
      <c r="FD23" s="438">
        <v>0</v>
      </c>
      <c r="FE23" s="438">
        <v>687389</v>
      </c>
      <c r="FF23" s="438">
        <v>156671</v>
      </c>
      <c r="FG23" s="437">
        <v>5.7854999999999997E-2</v>
      </c>
      <c r="FH23" s="437">
        <v>5.2366000000000003E-2</v>
      </c>
      <c r="FI23" s="438">
        <v>0</v>
      </c>
      <c r="FJ23" s="438">
        <v>0</v>
      </c>
      <c r="FK23" s="438">
        <v>936.41600000000005</v>
      </c>
      <c r="FL23" s="438">
        <v>5912180</v>
      </c>
      <c r="FM23" s="438">
        <v>0</v>
      </c>
      <c r="FN23" s="438">
        <v>0</v>
      </c>
      <c r="FO23" s="438">
        <v>76045</v>
      </c>
      <c r="FP23" s="438">
        <v>0</v>
      </c>
      <c r="FQ23" s="438">
        <v>76045</v>
      </c>
      <c r="FR23" s="438">
        <v>76045</v>
      </c>
      <c r="FS23" s="438">
        <v>0</v>
      </c>
      <c r="FT23" s="438">
        <v>0</v>
      </c>
      <c r="FU23" s="438">
        <v>0</v>
      </c>
      <c r="FV23" s="438">
        <v>0</v>
      </c>
      <c r="FW23" s="438">
        <v>0</v>
      </c>
      <c r="FX23" s="438">
        <v>0</v>
      </c>
      <c r="FY23" s="438">
        <v>0</v>
      </c>
      <c r="FZ23" s="438">
        <v>0</v>
      </c>
      <c r="GA23" s="438">
        <v>0</v>
      </c>
      <c r="GB23" s="438">
        <v>209128</v>
      </c>
      <c r="GC23" s="438">
        <v>209128</v>
      </c>
      <c r="GD23" s="438">
        <v>23.672000000000001</v>
      </c>
      <c r="GF23" s="438">
        <v>0</v>
      </c>
      <c r="GG23" s="438">
        <v>0</v>
      </c>
      <c r="GH23" s="438">
        <v>0</v>
      </c>
      <c r="GI23" s="438">
        <v>0</v>
      </c>
      <c r="GJ23" s="438">
        <v>0</v>
      </c>
      <c r="GK23" s="438">
        <v>4798.2340000000004</v>
      </c>
      <c r="GL23" s="438">
        <v>74110</v>
      </c>
      <c r="GM23" s="438">
        <v>0</v>
      </c>
      <c r="GN23" s="438">
        <v>248790</v>
      </c>
      <c r="GO23" s="438">
        <v>0</v>
      </c>
      <c r="GP23" s="438">
        <v>5880013</v>
      </c>
      <c r="GQ23" s="438">
        <v>5880013</v>
      </c>
      <c r="GR23" s="438">
        <v>0</v>
      </c>
      <c r="GS23" s="438">
        <v>0</v>
      </c>
      <c r="GT23" s="438">
        <v>0</v>
      </c>
      <c r="HB23" s="438">
        <v>0</v>
      </c>
      <c r="HC23" s="437">
        <v>6.0754000000000002E-2</v>
      </c>
      <c r="HD23" s="438">
        <v>0</v>
      </c>
    </row>
    <row r="24" spans="1:212" x14ac:dyDescent="0.2">
      <c r="A24" s="438">
        <v>25836</v>
      </c>
      <c r="B24" s="442">
        <v>15807</v>
      </c>
      <c r="C24" s="438">
        <v>9</v>
      </c>
      <c r="D24" s="438">
        <v>2020</v>
      </c>
      <c r="E24" s="438">
        <v>5392</v>
      </c>
      <c r="F24" s="438">
        <v>0</v>
      </c>
      <c r="G24" s="438">
        <v>862.67</v>
      </c>
      <c r="H24" s="438">
        <v>772.04399999999998</v>
      </c>
      <c r="I24" s="438">
        <v>772.04399999999998</v>
      </c>
      <c r="J24" s="438">
        <v>862.67</v>
      </c>
      <c r="K24" s="438">
        <v>0</v>
      </c>
      <c r="L24" s="437">
        <v>6544</v>
      </c>
      <c r="M24" s="438">
        <v>0</v>
      </c>
      <c r="N24" s="438">
        <v>0</v>
      </c>
      <c r="P24" s="438">
        <v>859.94500000000005</v>
      </c>
      <c r="Q24" s="438">
        <v>0</v>
      </c>
      <c r="R24" s="438">
        <v>212911</v>
      </c>
      <c r="S24" s="437">
        <v>247.58699999999999</v>
      </c>
      <c r="U24" s="438">
        <v>0</v>
      </c>
      <c r="V24" s="438">
        <v>72.13</v>
      </c>
      <c r="W24" s="438">
        <v>47202</v>
      </c>
      <c r="X24" s="438">
        <v>47202</v>
      </c>
      <c r="Z24" s="438">
        <v>0</v>
      </c>
      <c r="AA24" s="438">
        <v>1</v>
      </c>
      <c r="AB24" s="438">
        <v>1</v>
      </c>
      <c r="AC24" s="438">
        <v>0</v>
      </c>
      <c r="AD24" s="438" t="s">
        <v>332</v>
      </c>
      <c r="AE24" s="438">
        <v>0</v>
      </c>
      <c r="AH24" s="438">
        <v>0</v>
      </c>
      <c r="AI24" s="438">
        <v>0</v>
      </c>
      <c r="AJ24" s="437">
        <v>5105</v>
      </c>
      <c r="AK24" s="438" t="s">
        <v>561</v>
      </c>
      <c r="AL24" s="438" t="s">
        <v>40</v>
      </c>
      <c r="AM24" s="438">
        <v>0</v>
      </c>
      <c r="AN24" s="438">
        <v>0</v>
      </c>
      <c r="AO24" s="438">
        <v>0</v>
      </c>
      <c r="AP24" s="438">
        <v>0</v>
      </c>
      <c r="AQ24" s="438">
        <v>0</v>
      </c>
      <c r="AR24" s="438">
        <v>0</v>
      </c>
      <c r="AS24" s="438">
        <v>0</v>
      </c>
      <c r="AT24" s="438">
        <v>0</v>
      </c>
      <c r="AU24" s="438">
        <v>0</v>
      </c>
      <c r="AV24" s="438">
        <v>0</v>
      </c>
      <c r="AW24" s="438">
        <v>8632352</v>
      </c>
      <c r="AX24" s="438">
        <v>8523948</v>
      </c>
      <c r="AY24" s="438">
        <v>0</v>
      </c>
      <c r="AZ24" s="438">
        <v>296086</v>
      </c>
      <c r="BA24" s="438">
        <v>49.667000000000002</v>
      </c>
      <c r="BB24" s="438">
        <v>33767</v>
      </c>
      <c r="BC24" s="438">
        <v>33767</v>
      </c>
      <c r="BD24" s="438">
        <v>43</v>
      </c>
      <c r="BE24" s="438">
        <v>0</v>
      </c>
      <c r="BF24" s="438">
        <v>7226842</v>
      </c>
      <c r="BG24" s="438">
        <v>0</v>
      </c>
      <c r="BH24" s="438">
        <v>302.45600000000002</v>
      </c>
      <c r="BI24" s="438">
        <v>83175</v>
      </c>
      <c r="BJ24" s="438">
        <v>12</v>
      </c>
      <c r="BK24" s="438">
        <v>0</v>
      </c>
      <c r="BL24" s="438">
        <v>0</v>
      </c>
      <c r="BM24" s="438">
        <v>0</v>
      </c>
      <c r="BN24" s="438">
        <v>0</v>
      </c>
      <c r="BO24" s="438">
        <v>0</v>
      </c>
      <c r="BP24" s="438">
        <v>0</v>
      </c>
      <c r="BQ24" s="437">
        <v>5392</v>
      </c>
      <c r="BR24" s="438">
        <v>1</v>
      </c>
      <c r="BS24" s="438">
        <v>0</v>
      </c>
      <c r="BT24" s="438">
        <v>0</v>
      </c>
      <c r="BU24" s="438">
        <v>0</v>
      </c>
      <c r="BV24" s="438">
        <v>0</v>
      </c>
      <c r="BW24" s="438">
        <v>0</v>
      </c>
      <c r="BX24" s="438">
        <v>0</v>
      </c>
      <c r="BY24" s="438">
        <v>0</v>
      </c>
      <c r="BZ24" s="438">
        <v>0</v>
      </c>
      <c r="CA24" s="438">
        <v>0</v>
      </c>
      <c r="CB24" s="438">
        <v>0</v>
      </c>
      <c r="CC24" s="438">
        <v>0</v>
      </c>
      <c r="CG24" s="438">
        <v>0</v>
      </c>
      <c r="CH24" s="438">
        <v>25229</v>
      </c>
      <c r="CI24" s="438">
        <v>0</v>
      </c>
      <c r="CJ24" s="438">
        <v>4</v>
      </c>
      <c r="CK24" s="438">
        <v>0</v>
      </c>
      <c r="CL24" s="438">
        <v>0</v>
      </c>
      <c r="CN24" s="438">
        <v>0</v>
      </c>
      <c r="CO24" s="438">
        <v>1</v>
      </c>
      <c r="CP24" s="438">
        <v>0.152</v>
      </c>
      <c r="CQ24" s="438">
        <v>1.583</v>
      </c>
      <c r="CR24" s="438">
        <v>862.67</v>
      </c>
      <c r="CS24" s="438">
        <v>0</v>
      </c>
      <c r="CT24" s="438">
        <v>0</v>
      </c>
      <c r="CU24" s="438">
        <v>0</v>
      </c>
      <c r="CV24" s="438">
        <v>0</v>
      </c>
      <c r="CW24" s="438">
        <v>0</v>
      </c>
      <c r="CX24" s="438">
        <v>0</v>
      </c>
      <c r="CY24" s="438">
        <v>0</v>
      </c>
      <c r="CZ24" s="438">
        <v>0</v>
      </c>
      <c r="DA24" s="438">
        <v>1</v>
      </c>
      <c r="DB24" s="438">
        <v>5052256</v>
      </c>
      <c r="DC24" s="438">
        <v>0</v>
      </c>
      <c r="DD24" s="438">
        <v>51.25</v>
      </c>
      <c r="DE24" s="438">
        <v>960882</v>
      </c>
      <c r="DF24" s="438">
        <v>963279</v>
      </c>
      <c r="DG24" s="438">
        <v>734.17</v>
      </c>
      <c r="DH24" s="438">
        <v>0</v>
      </c>
      <c r="DI24" s="438">
        <v>2397</v>
      </c>
      <c r="DK24" s="437">
        <v>5392</v>
      </c>
      <c r="DL24" s="438">
        <v>0</v>
      </c>
      <c r="DM24" s="438">
        <v>723700</v>
      </c>
      <c r="DN24" s="438">
        <v>0</v>
      </c>
      <c r="DO24" s="438">
        <v>0</v>
      </c>
      <c r="DP24" s="438">
        <v>0</v>
      </c>
      <c r="DQ24" s="438">
        <v>0</v>
      </c>
      <c r="DR24" s="438">
        <v>0</v>
      </c>
      <c r="DS24" s="438">
        <v>0</v>
      </c>
      <c r="DT24" s="438">
        <v>0</v>
      </c>
      <c r="DU24" s="438">
        <v>0</v>
      </c>
      <c r="DV24" s="438">
        <v>0</v>
      </c>
      <c r="DW24" s="438">
        <v>0</v>
      </c>
      <c r="DX24" s="438">
        <v>0</v>
      </c>
      <c r="DY24" s="438">
        <v>0</v>
      </c>
      <c r="DZ24" s="438">
        <v>0</v>
      </c>
      <c r="EA24" s="438">
        <v>0</v>
      </c>
      <c r="EB24" s="438">
        <v>0</v>
      </c>
      <c r="EC24" s="438">
        <v>37.218000000000004</v>
      </c>
      <c r="ED24" s="438">
        <v>267910</v>
      </c>
      <c r="EE24" s="438">
        <v>0</v>
      </c>
      <c r="EF24" s="438">
        <v>0</v>
      </c>
      <c r="EG24" s="438">
        <v>0</v>
      </c>
      <c r="EH24" s="438">
        <v>451523</v>
      </c>
      <c r="EI24" s="438">
        <v>4267</v>
      </c>
      <c r="EJ24" s="438">
        <v>0.16300000000000001</v>
      </c>
      <c r="EK24" s="438">
        <v>19.018000000000001</v>
      </c>
      <c r="EL24" s="438">
        <v>0</v>
      </c>
      <c r="EM24" s="438">
        <v>1.573</v>
      </c>
      <c r="EN24" s="438">
        <v>1.4450000000000001</v>
      </c>
      <c r="EO24" s="438">
        <v>0</v>
      </c>
      <c r="EP24" s="438">
        <v>0</v>
      </c>
      <c r="EQ24" s="438">
        <v>22.199000000000002</v>
      </c>
      <c r="ER24" s="438">
        <v>0</v>
      </c>
      <c r="ES24" s="438">
        <v>68.998000000000005</v>
      </c>
      <c r="ET24" s="438">
        <v>25229</v>
      </c>
      <c r="EU24" s="438">
        <v>296086</v>
      </c>
      <c r="EV24" s="438">
        <v>0</v>
      </c>
      <c r="EW24" s="438">
        <v>0</v>
      </c>
      <c r="EX24" s="438">
        <v>0</v>
      </c>
      <c r="EZ24" s="438">
        <v>7247828</v>
      </c>
      <c r="FA24" s="438">
        <v>0</v>
      </c>
      <c r="FB24" s="438">
        <v>7543914</v>
      </c>
      <c r="FC24" s="438">
        <v>0.97334900000000002</v>
      </c>
      <c r="FD24" s="438">
        <v>0</v>
      </c>
      <c r="FE24" s="438">
        <v>1039252</v>
      </c>
      <c r="FF24" s="438">
        <v>236868</v>
      </c>
      <c r="FG24" s="437">
        <v>5.7854999999999997E-2</v>
      </c>
      <c r="FH24" s="437">
        <v>5.2366000000000003E-2</v>
      </c>
      <c r="FI24" s="438">
        <v>0</v>
      </c>
      <c r="FJ24" s="438">
        <v>0</v>
      </c>
      <c r="FK24" s="438">
        <v>1415.751</v>
      </c>
      <c r="FL24" s="438">
        <v>8845263</v>
      </c>
      <c r="FM24" s="438">
        <v>0</v>
      </c>
      <c r="FN24" s="438">
        <v>0</v>
      </c>
      <c r="FO24" s="438">
        <v>36024</v>
      </c>
      <c r="FP24" s="438">
        <v>0</v>
      </c>
      <c r="FQ24" s="438">
        <v>36024</v>
      </c>
      <c r="FR24" s="438">
        <v>36024</v>
      </c>
      <c r="FS24" s="438">
        <v>0</v>
      </c>
      <c r="FT24" s="438">
        <v>0</v>
      </c>
      <c r="FU24" s="438">
        <v>0</v>
      </c>
      <c r="FV24" s="438">
        <v>0</v>
      </c>
      <c r="FW24" s="438">
        <v>0</v>
      </c>
      <c r="FX24" s="438">
        <v>0</v>
      </c>
      <c r="FY24" s="438">
        <v>0</v>
      </c>
      <c r="FZ24" s="438">
        <v>0</v>
      </c>
      <c r="GA24" s="438">
        <v>0</v>
      </c>
      <c r="GB24" s="438">
        <v>604511</v>
      </c>
      <c r="GC24" s="438">
        <v>604511</v>
      </c>
      <c r="GD24" s="438">
        <v>68.427000000000007</v>
      </c>
      <c r="GF24" s="438">
        <v>0</v>
      </c>
      <c r="GG24" s="438">
        <v>0</v>
      </c>
      <c r="GH24" s="438">
        <v>0</v>
      </c>
      <c r="GI24" s="438">
        <v>0</v>
      </c>
      <c r="GJ24" s="438">
        <v>0</v>
      </c>
      <c r="GK24" s="438">
        <v>4835.2860000000001</v>
      </c>
      <c r="GL24" s="438">
        <v>21591</v>
      </c>
      <c r="GM24" s="438">
        <v>0</v>
      </c>
      <c r="GN24" s="438">
        <v>0</v>
      </c>
      <c r="GO24" s="438">
        <v>0</v>
      </c>
      <c r="GP24" s="438">
        <v>8820034</v>
      </c>
      <c r="GQ24" s="438">
        <v>8820034</v>
      </c>
      <c r="GR24" s="438">
        <v>0</v>
      </c>
      <c r="GS24" s="438">
        <v>0</v>
      </c>
      <c r="GT24" s="438">
        <v>0</v>
      </c>
      <c r="HB24" s="438">
        <v>0</v>
      </c>
      <c r="HC24" s="437">
        <v>6.0754000000000002E-2</v>
      </c>
      <c r="HD24" s="438">
        <v>0</v>
      </c>
    </row>
    <row r="25" spans="1:212" x14ac:dyDescent="0.2">
      <c r="A25" s="438">
        <v>25836</v>
      </c>
      <c r="B25" s="442">
        <v>15808</v>
      </c>
      <c r="C25" s="438">
        <v>9</v>
      </c>
      <c r="D25" s="438">
        <v>2020</v>
      </c>
      <c r="E25" s="438">
        <v>5392</v>
      </c>
      <c r="F25" s="438">
        <v>0</v>
      </c>
      <c r="G25" s="438">
        <v>804.577</v>
      </c>
      <c r="H25" s="438">
        <v>675.86500000000001</v>
      </c>
      <c r="I25" s="438">
        <v>675.86500000000001</v>
      </c>
      <c r="J25" s="438">
        <v>804.577</v>
      </c>
      <c r="K25" s="438">
        <v>0</v>
      </c>
      <c r="L25" s="437">
        <v>6544</v>
      </c>
      <c r="M25" s="438">
        <v>0</v>
      </c>
      <c r="N25" s="438">
        <v>0</v>
      </c>
      <c r="P25" s="438">
        <v>808.15700000000004</v>
      </c>
      <c r="Q25" s="438">
        <v>0</v>
      </c>
      <c r="R25" s="438">
        <v>200089</v>
      </c>
      <c r="S25" s="437">
        <v>247.58699999999999</v>
      </c>
      <c r="U25" s="438">
        <v>0</v>
      </c>
      <c r="V25" s="438">
        <v>9.8829999999999991</v>
      </c>
      <c r="W25" s="438">
        <v>6467</v>
      </c>
      <c r="X25" s="438">
        <v>6467</v>
      </c>
      <c r="Z25" s="438">
        <v>0</v>
      </c>
      <c r="AA25" s="438">
        <v>1</v>
      </c>
      <c r="AB25" s="438">
        <v>1</v>
      </c>
      <c r="AC25" s="438">
        <v>0</v>
      </c>
      <c r="AD25" s="438" t="s">
        <v>332</v>
      </c>
      <c r="AE25" s="438">
        <v>0</v>
      </c>
      <c r="AH25" s="438">
        <v>0</v>
      </c>
      <c r="AI25" s="438">
        <v>0</v>
      </c>
      <c r="AJ25" s="437">
        <v>5105</v>
      </c>
      <c r="AK25" s="438" t="s">
        <v>561</v>
      </c>
      <c r="AL25" s="438" t="s">
        <v>548</v>
      </c>
      <c r="AM25" s="438">
        <v>0</v>
      </c>
      <c r="AN25" s="438">
        <v>0</v>
      </c>
      <c r="AO25" s="438">
        <v>0</v>
      </c>
      <c r="AP25" s="438">
        <v>0</v>
      </c>
      <c r="AQ25" s="438">
        <v>0</v>
      </c>
      <c r="AR25" s="438">
        <v>0</v>
      </c>
      <c r="AS25" s="438">
        <v>0</v>
      </c>
      <c r="AT25" s="438">
        <v>0</v>
      </c>
      <c r="AU25" s="438">
        <v>0</v>
      </c>
      <c r="AV25" s="438">
        <v>0</v>
      </c>
      <c r="AW25" s="438">
        <v>10023447</v>
      </c>
      <c r="AX25" s="438">
        <v>9920063</v>
      </c>
      <c r="AY25" s="438">
        <v>0</v>
      </c>
      <c r="AZ25" s="438">
        <v>303473</v>
      </c>
      <c r="BA25" s="438">
        <v>0</v>
      </c>
      <c r="BB25" s="438">
        <v>0</v>
      </c>
      <c r="BC25" s="438">
        <v>0</v>
      </c>
      <c r="BD25" s="438">
        <v>0</v>
      </c>
      <c r="BE25" s="438">
        <v>0</v>
      </c>
      <c r="BF25" s="438">
        <v>8405715</v>
      </c>
      <c r="BG25" s="438">
        <v>0</v>
      </c>
      <c r="BH25" s="438">
        <v>375.94099999999997</v>
      </c>
      <c r="BI25" s="438">
        <v>103384</v>
      </c>
      <c r="BJ25" s="438">
        <v>12</v>
      </c>
      <c r="BK25" s="438">
        <v>0</v>
      </c>
      <c r="BL25" s="438">
        <v>0</v>
      </c>
      <c r="BM25" s="438">
        <v>0</v>
      </c>
      <c r="BN25" s="438">
        <v>0</v>
      </c>
      <c r="BO25" s="438">
        <v>0</v>
      </c>
      <c r="BP25" s="438">
        <v>0</v>
      </c>
      <c r="BQ25" s="437">
        <v>5392</v>
      </c>
      <c r="BR25" s="438">
        <v>1</v>
      </c>
      <c r="BS25" s="438">
        <v>0</v>
      </c>
      <c r="BT25" s="438">
        <v>0</v>
      </c>
      <c r="BU25" s="438">
        <v>0</v>
      </c>
      <c r="BV25" s="438">
        <v>0</v>
      </c>
      <c r="BW25" s="438">
        <v>0</v>
      </c>
      <c r="BX25" s="438">
        <v>0</v>
      </c>
      <c r="BY25" s="438">
        <v>0</v>
      </c>
      <c r="BZ25" s="438">
        <v>0</v>
      </c>
      <c r="CA25" s="438">
        <v>0</v>
      </c>
      <c r="CB25" s="438">
        <v>0</v>
      </c>
      <c r="CC25" s="438">
        <v>0</v>
      </c>
      <c r="CG25" s="438">
        <v>0</v>
      </c>
      <c r="CH25" s="438">
        <v>0</v>
      </c>
      <c r="CI25" s="438">
        <v>0</v>
      </c>
      <c r="CJ25" s="438">
        <v>4</v>
      </c>
      <c r="CK25" s="438">
        <v>0</v>
      </c>
      <c r="CL25" s="438">
        <v>0</v>
      </c>
      <c r="CN25" s="438">
        <v>0</v>
      </c>
      <c r="CO25" s="438">
        <v>1</v>
      </c>
      <c r="CP25" s="438">
        <v>0</v>
      </c>
      <c r="CQ25" s="438">
        <v>0</v>
      </c>
      <c r="CR25" s="438">
        <v>804.577</v>
      </c>
      <c r="CS25" s="438">
        <v>0</v>
      </c>
      <c r="CT25" s="438">
        <v>0</v>
      </c>
      <c r="CU25" s="438">
        <v>0</v>
      </c>
      <c r="CV25" s="438">
        <v>0</v>
      </c>
      <c r="CW25" s="438">
        <v>0</v>
      </c>
      <c r="CX25" s="438">
        <v>0</v>
      </c>
      <c r="CY25" s="438">
        <v>0</v>
      </c>
      <c r="CZ25" s="438">
        <v>0</v>
      </c>
      <c r="DA25" s="438">
        <v>1</v>
      </c>
      <c r="DB25" s="438">
        <v>4422861</v>
      </c>
      <c r="DC25" s="438">
        <v>0</v>
      </c>
      <c r="DD25" s="438">
        <v>0</v>
      </c>
      <c r="DE25" s="438">
        <v>655931</v>
      </c>
      <c r="DF25" s="438">
        <v>655931</v>
      </c>
      <c r="DG25" s="438">
        <v>501.17</v>
      </c>
      <c r="DH25" s="438">
        <v>0</v>
      </c>
      <c r="DI25" s="438">
        <v>0</v>
      </c>
      <c r="DK25" s="437">
        <v>5392</v>
      </c>
      <c r="DL25" s="438">
        <v>0</v>
      </c>
      <c r="DM25" s="438">
        <v>3550607</v>
      </c>
      <c r="DN25" s="438">
        <v>0</v>
      </c>
      <c r="DO25" s="438">
        <v>0</v>
      </c>
      <c r="DP25" s="438">
        <v>0</v>
      </c>
      <c r="DQ25" s="438">
        <v>0</v>
      </c>
      <c r="DR25" s="438">
        <v>0</v>
      </c>
      <c r="DS25" s="438">
        <v>0</v>
      </c>
      <c r="DT25" s="438">
        <v>0</v>
      </c>
      <c r="DU25" s="438">
        <v>0</v>
      </c>
      <c r="DV25" s="438">
        <v>0</v>
      </c>
      <c r="DW25" s="438">
        <v>0</v>
      </c>
      <c r="DX25" s="438">
        <v>0</v>
      </c>
      <c r="DY25" s="438">
        <v>0</v>
      </c>
      <c r="DZ25" s="438">
        <v>0</v>
      </c>
      <c r="EA25" s="438">
        <v>0</v>
      </c>
      <c r="EB25" s="438">
        <v>0</v>
      </c>
      <c r="EC25" s="438">
        <v>29.792999999999999</v>
      </c>
      <c r="ED25" s="438">
        <v>214462</v>
      </c>
      <c r="EE25" s="438">
        <v>0</v>
      </c>
      <c r="EF25" s="438">
        <v>0</v>
      </c>
      <c r="EG25" s="438">
        <v>0</v>
      </c>
      <c r="EH25" s="438">
        <v>166231</v>
      </c>
      <c r="EI25" s="438">
        <v>3169914</v>
      </c>
      <c r="EJ25" s="438">
        <v>121.1</v>
      </c>
      <c r="EK25" s="438">
        <v>6.3289999999999997</v>
      </c>
      <c r="EL25" s="438">
        <v>0</v>
      </c>
      <c r="EM25" s="438">
        <v>0</v>
      </c>
      <c r="EN25" s="438">
        <v>1.2829999999999999</v>
      </c>
      <c r="EO25" s="438">
        <v>0</v>
      </c>
      <c r="EP25" s="438">
        <v>0</v>
      </c>
      <c r="EQ25" s="438">
        <v>128.71199999999999</v>
      </c>
      <c r="ER25" s="438">
        <v>0</v>
      </c>
      <c r="ES25" s="438">
        <v>25.402000000000001</v>
      </c>
      <c r="ET25" s="438">
        <v>0</v>
      </c>
      <c r="EU25" s="438">
        <v>303473</v>
      </c>
      <c r="EV25" s="438">
        <v>0</v>
      </c>
      <c r="EW25" s="438">
        <v>0</v>
      </c>
      <c r="EX25" s="438">
        <v>0</v>
      </c>
      <c r="EZ25" s="438">
        <v>8435777</v>
      </c>
      <c r="FA25" s="438">
        <v>0</v>
      </c>
      <c r="FB25" s="438">
        <v>8739250</v>
      </c>
      <c r="FC25" s="438">
        <v>0.97334900000000002</v>
      </c>
      <c r="FD25" s="438">
        <v>0</v>
      </c>
      <c r="FE25" s="438">
        <v>1208779</v>
      </c>
      <c r="FF25" s="438">
        <v>275507</v>
      </c>
      <c r="FG25" s="437">
        <v>5.7854999999999997E-2</v>
      </c>
      <c r="FH25" s="437">
        <v>5.2366000000000003E-2</v>
      </c>
      <c r="FI25" s="438">
        <v>0</v>
      </c>
      <c r="FJ25" s="438">
        <v>0</v>
      </c>
      <c r="FK25" s="438">
        <v>1646.694</v>
      </c>
      <c r="FL25" s="438">
        <v>10223536</v>
      </c>
      <c r="FM25" s="438">
        <v>0</v>
      </c>
      <c r="FN25" s="438">
        <v>0</v>
      </c>
      <c r="FO25" s="438">
        <v>0</v>
      </c>
      <c r="FP25" s="438">
        <v>0</v>
      </c>
      <c r="FQ25" s="438">
        <v>0</v>
      </c>
      <c r="FR25" s="438">
        <v>0</v>
      </c>
      <c r="FS25" s="438">
        <v>0</v>
      </c>
      <c r="FT25" s="438">
        <v>0</v>
      </c>
      <c r="FU25" s="438">
        <v>0</v>
      </c>
      <c r="FV25" s="438">
        <v>0</v>
      </c>
      <c r="FW25" s="438">
        <v>0</v>
      </c>
      <c r="FX25" s="438">
        <v>0</v>
      </c>
      <c r="FY25" s="438">
        <v>0</v>
      </c>
      <c r="FZ25" s="438">
        <v>0</v>
      </c>
      <c r="GA25" s="438">
        <v>0</v>
      </c>
      <c r="GB25" s="438">
        <v>0</v>
      </c>
      <c r="GC25" s="438">
        <v>0</v>
      </c>
      <c r="GD25" s="438">
        <v>0</v>
      </c>
      <c r="GF25" s="438">
        <v>0</v>
      </c>
      <c r="GG25" s="438">
        <v>0</v>
      </c>
      <c r="GH25" s="438">
        <v>0</v>
      </c>
      <c r="GI25" s="438">
        <v>0</v>
      </c>
      <c r="GJ25" s="438">
        <v>0</v>
      </c>
      <c r="GK25" s="438">
        <v>4738.0249999999996</v>
      </c>
      <c r="GL25" s="438">
        <v>19687</v>
      </c>
      <c r="GM25" s="438">
        <v>0</v>
      </c>
      <c r="GN25" s="438">
        <v>0</v>
      </c>
      <c r="GO25" s="438">
        <v>0</v>
      </c>
      <c r="GP25" s="438">
        <v>10223536</v>
      </c>
      <c r="GQ25" s="438">
        <v>10223536</v>
      </c>
      <c r="GR25" s="438">
        <v>0</v>
      </c>
      <c r="GS25" s="438">
        <v>0</v>
      </c>
      <c r="GT25" s="438">
        <v>0</v>
      </c>
      <c r="HB25" s="438">
        <v>0</v>
      </c>
      <c r="HC25" s="437">
        <v>6.0754000000000002E-2</v>
      </c>
      <c r="HD25" s="438">
        <v>0</v>
      </c>
    </row>
    <row r="26" spans="1:212" x14ac:dyDescent="0.2">
      <c r="A26" s="438">
        <v>25836</v>
      </c>
      <c r="B26" s="442">
        <v>15809</v>
      </c>
      <c r="C26" s="438">
        <v>9</v>
      </c>
      <c r="D26" s="438">
        <v>2020</v>
      </c>
      <c r="E26" s="438">
        <v>5392</v>
      </c>
      <c r="F26" s="438">
        <v>0</v>
      </c>
      <c r="G26" s="438">
        <v>269.30799999999999</v>
      </c>
      <c r="H26" s="438">
        <v>258.94799999999998</v>
      </c>
      <c r="I26" s="438">
        <v>258.94799999999998</v>
      </c>
      <c r="J26" s="438">
        <v>269.30799999999999</v>
      </c>
      <c r="K26" s="438">
        <v>0</v>
      </c>
      <c r="L26" s="437">
        <v>6544</v>
      </c>
      <c r="M26" s="438">
        <v>0</v>
      </c>
      <c r="N26" s="438">
        <v>0</v>
      </c>
      <c r="P26" s="438">
        <v>272.108</v>
      </c>
      <c r="Q26" s="438">
        <v>0</v>
      </c>
      <c r="R26" s="438">
        <v>67370</v>
      </c>
      <c r="S26" s="437">
        <v>247.58699999999999</v>
      </c>
      <c r="U26" s="438">
        <v>0</v>
      </c>
      <c r="V26" s="438">
        <v>51.281999999999996</v>
      </c>
      <c r="W26" s="438">
        <v>33559</v>
      </c>
      <c r="X26" s="438">
        <v>33559</v>
      </c>
      <c r="Z26" s="438">
        <v>0</v>
      </c>
      <c r="AA26" s="438">
        <v>1</v>
      </c>
      <c r="AB26" s="438">
        <v>1</v>
      </c>
      <c r="AC26" s="438">
        <v>0</v>
      </c>
      <c r="AD26" s="438" t="s">
        <v>332</v>
      </c>
      <c r="AE26" s="438">
        <v>0</v>
      </c>
      <c r="AH26" s="438">
        <v>0</v>
      </c>
      <c r="AI26" s="438">
        <v>0</v>
      </c>
      <c r="AJ26" s="437">
        <v>5105</v>
      </c>
      <c r="AK26" s="438" t="s">
        <v>561</v>
      </c>
      <c r="AL26" s="438" t="s">
        <v>39</v>
      </c>
      <c r="AM26" s="438">
        <v>0</v>
      </c>
      <c r="AN26" s="438">
        <v>0</v>
      </c>
      <c r="AO26" s="438">
        <v>0</v>
      </c>
      <c r="AP26" s="438">
        <v>0</v>
      </c>
      <c r="AQ26" s="438">
        <v>0</v>
      </c>
      <c r="AR26" s="438">
        <v>0</v>
      </c>
      <c r="AS26" s="438">
        <v>0</v>
      </c>
      <c r="AT26" s="438">
        <v>0</v>
      </c>
      <c r="AU26" s="438">
        <v>0</v>
      </c>
      <c r="AV26" s="438">
        <v>0</v>
      </c>
      <c r="AW26" s="438">
        <v>2794189</v>
      </c>
      <c r="AX26" s="438">
        <v>2794189</v>
      </c>
      <c r="AY26" s="438">
        <v>0</v>
      </c>
      <c r="AZ26" s="438">
        <v>67370</v>
      </c>
      <c r="BA26" s="438">
        <v>0</v>
      </c>
      <c r="BB26" s="438">
        <v>2356</v>
      </c>
      <c r="BC26" s="438">
        <v>2356</v>
      </c>
      <c r="BD26" s="438">
        <v>3</v>
      </c>
      <c r="BE26" s="438">
        <v>0</v>
      </c>
      <c r="BF26" s="438">
        <v>2376787</v>
      </c>
      <c r="BG26" s="438">
        <v>0</v>
      </c>
      <c r="BH26" s="438">
        <v>0</v>
      </c>
      <c r="BI26" s="438">
        <v>0</v>
      </c>
      <c r="BJ26" s="438">
        <v>12</v>
      </c>
      <c r="BK26" s="438">
        <v>0</v>
      </c>
      <c r="BL26" s="438">
        <v>0</v>
      </c>
      <c r="BM26" s="438">
        <v>0</v>
      </c>
      <c r="BN26" s="438">
        <v>0</v>
      </c>
      <c r="BO26" s="438">
        <v>0</v>
      </c>
      <c r="BP26" s="438">
        <v>0</v>
      </c>
      <c r="BQ26" s="437">
        <v>5392</v>
      </c>
      <c r="BR26" s="438">
        <v>1</v>
      </c>
      <c r="BS26" s="438">
        <v>0</v>
      </c>
      <c r="BT26" s="438">
        <v>0</v>
      </c>
      <c r="BU26" s="438">
        <v>0</v>
      </c>
      <c r="BV26" s="438">
        <v>0</v>
      </c>
      <c r="BW26" s="438">
        <v>0</v>
      </c>
      <c r="BX26" s="438">
        <v>0</v>
      </c>
      <c r="BY26" s="438">
        <v>0</v>
      </c>
      <c r="BZ26" s="438">
        <v>0</v>
      </c>
      <c r="CA26" s="438">
        <v>0</v>
      </c>
      <c r="CB26" s="438">
        <v>0</v>
      </c>
      <c r="CC26" s="438">
        <v>0</v>
      </c>
      <c r="CG26" s="438">
        <v>0</v>
      </c>
      <c r="CH26" s="438">
        <v>0</v>
      </c>
      <c r="CI26" s="438">
        <v>0</v>
      </c>
      <c r="CJ26" s="438">
        <v>4</v>
      </c>
      <c r="CK26" s="438">
        <v>0</v>
      </c>
      <c r="CL26" s="438">
        <v>0</v>
      </c>
      <c r="CN26" s="438">
        <v>0</v>
      </c>
      <c r="CO26" s="438">
        <v>1</v>
      </c>
      <c r="CP26" s="438">
        <v>0</v>
      </c>
      <c r="CQ26" s="438">
        <v>0</v>
      </c>
      <c r="CR26" s="438">
        <v>269.30799999999999</v>
      </c>
      <c r="CS26" s="438">
        <v>0</v>
      </c>
      <c r="CT26" s="438">
        <v>0</v>
      </c>
      <c r="CU26" s="438">
        <v>0</v>
      </c>
      <c r="CV26" s="438">
        <v>0</v>
      </c>
      <c r="CW26" s="438">
        <v>0</v>
      </c>
      <c r="CX26" s="438">
        <v>0</v>
      </c>
      <c r="CY26" s="438">
        <v>0</v>
      </c>
      <c r="CZ26" s="438">
        <v>0</v>
      </c>
      <c r="DA26" s="438">
        <v>1</v>
      </c>
      <c r="DB26" s="438">
        <v>1694556</v>
      </c>
      <c r="DC26" s="438">
        <v>0</v>
      </c>
      <c r="DD26" s="438">
        <v>0</v>
      </c>
      <c r="DE26" s="438">
        <v>479021</v>
      </c>
      <c r="DF26" s="438">
        <v>479021</v>
      </c>
      <c r="DG26" s="438">
        <v>366</v>
      </c>
      <c r="DH26" s="438">
        <v>0</v>
      </c>
      <c r="DI26" s="438">
        <v>0</v>
      </c>
      <c r="DK26" s="437">
        <v>5392</v>
      </c>
      <c r="DL26" s="438">
        <v>0</v>
      </c>
      <c r="DM26" s="438">
        <v>232372</v>
      </c>
      <c r="DN26" s="438">
        <v>0</v>
      </c>
      <c r="DO26" s="438">
        <v>0</v>
      </c>
      <c r="DP26" s="438">
        <v>0</v>
      </c>
      <c r="DQ26" s="438">
        <v>0</v>
      </c>
      <c r="DR26" s="438">
        <v>0</v>
      </c>
      <c r="DS26" s="438">
        <v>0</v>
      </c>
      <c r="DT26" s="438">
        <v>0</v>
      </c>
      <c r="DU26" s="438">
        <v>0</v>
      </c>
      <c r="DV26" s="438">
        <v>0</v>
      </c>
      <c r="DW26" s="438">
        <v>0</v>
      </c>
      <c r="DX26" s="438">
        <v>0</v>
      </c>
      <c r="DY26" s="438">
        <v>0</v>
      </c>
      <c r="DZ26" s="438">
        <v>0</v>
      </c>
      <c r="EA26" s="438">
        <v>0</v>
      </c>
      <c r="EB26" s="438">
        <v>0</v>
      </c>
      <c r="EC26" s="438">
        <v>2.7320000000000002</v>
      </c>
      <c r="ED26" s="438">
        <v>19666</v>
      </c>
      <c r="EE26" s="438">
        <v>0</v>
      </c>
      <c r="EF26" s="438">
        <v>0</v>
      </c>
      <c r="EG26" s="438">
        <v>0</v>
      </c>
      <c r="EH26" s="438">
        <v>212706</v>
      </c>
      <c r="EI26" s="438">
        <v>0</v>
      </c>
      <c r="EJ26" s="438">
        <v>0</v>
      </c>
      <c r="EK26" s="438">
        <v>9.2850000000000001</v>
      </c>
      <c r="EL26" s="438">
        <v>0</v>
      </c>
      <c r="EM26" s="438">
        <v>0.36299999999999999</v>
      </c>
      <c r="EN26" s="438">
        <v>0.71199999999999997</v>
      </c>
      <c r="EO26" s="438">
        <v>0</v>
      </c>
      <c r="EP26" s="438">
        <v>0</v>
      </c>
      <c r="EQ26" s="438">
        <v>10.36</v>
      </c>
      <c r="ER26" s="438">
        <v>0</v>
      </c>
      <c r="ES26" s="438">
        <v>32.503999999999998</v>
      </c>
      <c r="ET26" s="438">
        <v>0</v>
      </c>
      <c r="EU26" s="438">
        <v>67370</v>
      </c>
      <c r="EV26" s="438">
        <v>0</v>
      </c>
      <c r="EW26" s="438">
        <v>0</v>
      </c>
      <c r="EX26" s="438">
        <v>0</v>
      </c>
      <c r="EZ26" s="438">
        <v>2374494</v>
      </c>
      <c r="FA26" s="438">
        <v>0</v>
      </c>
      <c r="FB26" s="438">
        <v>2441864</v>
      </c>
      <c r="FC26" s="438">
        <v>0.97334900000000002</v>
      </c>
      <c r="FD26" s="438">
        <v>0</v>
      </c>
      <c r="FE26" s="438">
        <v>341793</v>
      </c>
      <c r="FF26" s="438">
        <v>77902</v>
      </c>
      <c r="FG26" s="437">
        <v>5.7854999999999997E-2</v>
      </c>
      <c r="FH26" s="437">
        <v>5.2366000000000003E-2</v>
      </c>
      <c r="FI26" s="438">
        <v>0</v>
      </c>
      <c r="FJ26" s="438">
        <v>0</v>
      </c>
      <c r="FK26" s="438">
        <v>465.61700000000002</v>
      </c>
      <c r="FL26" s="438">
        <v>2861559</v>
      </c>
      <c r="FM26" s="438">
        <v>0</v>
      </c>
      <c r="FN26" s="438">
        <v>0</v>
      </c>
      <c r="FO26" s="438">
        <v>0</v>
      </c>
      <c r="FP26" s="438">
        <v>0</v>
      </c>
      <c r="FQ26" s="438">
        <v>0</v>
      </c>
      <c r="FR26" s="438">
        <v>0</v>
      </c>
      <c r="FS26" s="438">
        <v>0</v>
      </c>
      <c r="FT26" s="438">
        <v>0</v>
      </c>
      <c r="FU26" s="438">
        <v>0</v>
      </c>
      <c r="FV26" s="438">
        <v>0</v>
      </c>
      <c r="FW26" s="438">
        <v>0</v>
      </c>
      <c r="FX26" s="438">
        <v>0</v>
      </c>
      <c r="FY26" s="438">
        <v>0</v>
      </c>
      <c r="FZ26" s="438">
        <v>0</v>
      </c>
      <c r="GA26" s="438">
        <v>0</v>
      </c>
      <c r="GB26" s="438">
        <v>0</v>
      </c>
      <c r="GC26" s="438">
        <v>0</v>
      </c>
      <c r="GD26" s="438">
        <v>0</v>
      </c>
      <c r="GF26" s="438">
        <v>0</v>
      </c>
      <c r="GG26" s="438">
        <v>0</v>
      </c>
      <c r="GH26" s="438">
        <v>0</v>
      </c>
      <c r="GI26" s="438">
        <v>0</v>
      </c>
      <c r="GJ26" s="438">
        <v>0</v>
      </c>
      <c r="GK26" s="438">
        <v>4604.6369999999997</v>
      </c>
      <c r="GL26" s="438">
        <v>11628</v>
      </c>
      <c r="GM26" s="438">
        <v>0</v>
      </c>
      <c r="GN26" s="438">
        <v>0</v>
      </c>
      <c r="GO26" s="438">
        <v>0</v>
      </c>
      <c r="GP26" s="438">
        <v>2861559</v>
      </c>
      <c r="GQ26" s="438">
        <v>2861559</v>
      </c>
      <c r="GR26" s="438">
        <v>0</v>
      </c>
      <c r="GS26" s="438">
        <v>0</v>
      </c>
      <c r="GT26" s="438">
        <v>0</v>
      </c>
      <c r="HB26" s="438">
        <v>0</v>
      </c>
      <c r="HC26" s="437">
        <v>0</v>
      </c>
      <c r="HD26" s="438">
        <v>0</v>
      </c>
    </row>
    <row r="27" spans="1:212" x14ac:dyDescent="0.2">
      <c r="A27" s="438">
        <v>25836</v>
      </c>
      <c r="B27" s="442">
        <v>15814</v>
      </c>
      <c r="C27" s="438">
        <v>9</v>
      </c>
      <c r="D27" s="438">
        <v>2020</v>
      </c>
      <c r="E27" s="438">
        <v>5392</v>
      </c>
      <c r="F27" s="438">
        <v>0</v>
      </c>
      <c r="G27" s="438">
        <v>98.26</v>
      </c>
      <c r="H27" s="438">
        <v>95.165999999999997</v>
      </c>
      <c r="I27" s="438">
        <v>95.165999999999997</v>
      </c>
      <c r="J27" s="438">
        <v>98.26</v>
      </c>
      <c r="K27" s="438">
        <v>0</v>
      </c>
      <c r="L27" s="437">
        <v>6544</v>
      </c>
      <c r="M27" s="438">
        <v>0</v>
      </c>
      <c r="N27" s="438">
        <v>0</v>
      </c>
      <c r="P27" s="438">
        <v>102.527</v>
      </c>
      <c r="Q27" s="438">
        <v>0</v>
      </c>
      <c r="R27" s="438">
        <v>25384</v>
      </c>
      <c r="S27" s="437">
        <v>247.58699999999999</v>
      </c>
      <c r="U27" s="438">
        <v>0</v>
      </c>
      <c r="V27" s="438">
        <v>2.2749999999999999</v>
      </c>
      <c r="W27" s="438">
        <v>1489</v>
      </c>
      <c r="X27" s="438">
        <v>1489</v>
      </c>
      <c r="Z27" s="438">
        <v>0</v>
      </c>
      <c r="AA27" s="438">
        <v>1</v>
      </c>
      <c r="AB27" s="438">
        <v>1</v>
      </c>
      <c r="AC27" s="438">
        <v>0</v>
      </c>
      <c r="AD27" s="438" t="s">
        <v>332</v>
      </c>
      <c r="AE27" s="438">
        <v>0</v>
      </c>
      <c r="AH27" s="438">
        <v>0</v>
      </c>
      <c r="AI27" s="438">
        <v>0</v>
      </c>
      <c r="AJ27" s="437">
        <v>5105</v>
      </c>
      <c r="AK27" s="438" t="s">
        <v>561</v>
      </c>
      <c r="AL27" s="438" t="s">
        <v>41</v>
      </c>
      <c r="AM27" s="438">
        <v>0</v>
      </c>
      <c r="AN27" s="438">
        <v>0</v>
      </c>
      <c r="AO27" s="438">
        <v>0</v>
      </c>
      <c r="AP27" s="438">
        <v>0</v>
      </c>
      <c r="AQ27" s="438">
        <v>0</v>
      </c>
      <c r="AR27" s="438">
        <v>0</v>
      </c>
      <c r="AS27" s="438">
        <v>0</v>
      </c>
      <c r="AT27" s="438">
        <v>0</v>
      </c>
      <c r="AU27" s="438">
        <v>0</v>
      </c>
      <c r="AV27" s="438">
        <v>0</v>
      </c>
      <c r="AW27" s="438">
        <v>1033089</v>
      </c>
      <c r="AX27" s="438">
        <v>1006067</v>
      </c>
      <c r="AY27" s="438">
        <v>0</v>
      </c>
      <c r="AZ27" s="438">
        <v>52406</v>
      </c>
      <c r="BA27" s="438">
        <v>0</v>
      </c>
      <c r="BB27" s="438">
        <v>0</v>
      </c>
      <c r="BC27" s="438">
        <v>0</v>
      </c>
      <c r="BD27" s="438">
        <v>0</v>
      </c>
      <c r="BE27" s="438">
        <v>0</v>
      </c>
      <c r="BF27" s="438">
        <v>852123</v>
      </c>
      <c r="BG27" s="438">
        <v>0</v>
      </c>
      <c r="BH27" s="438">
        <v>121.285</v>
      </c>
      <c r="BI27" s="438">
        <v>27022</v>
      </c>
      <c r="BJ27" s="438">
        <v>12</v>
      </c>
      <c r="BK27" s="438">
        <v>0</v>
      </c>
      <c r="BL27" s="438">
        <v>0</v>
      </c>
      <c r="BM27" s="438">
        <v>0</v>
      </c>
      <c r="BN27" s="438">
        <v>0</v>
      </c>
      <c r="BO27" s="438">
        <v>0</v>
      </c>
      <c r="BP27" s="438">
        <v>0</v>
      </c>
      <c r="BQ27" s="437">
        <v>5392</v>
      </c>
      <c r="BR27" s="438">
        <v>1</v>
      </c>
      <c r="BS27" s="438">
        <v>0</v>
      </c>
      <c r="BT27" s="438">
        <v>0</v>
      </c>
      <c r="BU27" s="438">
        <v>0</v>
      </c>
      <c r="BV27" s="438">
        <v>0</v>
      </c>
      <c r="BW27" s="438">
        <v>0</v>
      </c>
      <c r="BX27" s="438">
        <v>0</v>
      </c>
      <c r="BY27" s="438">
        <v>0</v>
      </c>
      <c r="BZ27" s="438">
        <v>0</v>
      </c>
      <c r="CA27" s="438">
        <v>0</v>
      </c>
      <c r="CB27" s="438">
        <v>0</v>
      </c>
      <c r="CC27" s="438">
        <v>0</v>
      </c>
      <c r="CG27" s="438">
        <v>0</v>
      </c>
      <c r="CH27" s="438">
        <v>0</v>
      </c>
      <c r="CI27" s="438">
        <v>0</v>
      </c>
      <c r="CJ27" s="438">
        <v>4</v>
      </c>
      <c r="CK27" s="438">
        <v>0</v>
      </c>
      <c r="CL27" s="438">
        <v>0</v>
      </c>
      <c r="CN27" s="438">
        <v>0</v>
      </c>
      <c r="CO27" s="438">
        <v>1</v>
      </c>
      <c r="CP27" s="438">
        <v>0.35499999999999998</v>
      </c>
      <c r="CQ27" s="438">
        <v>0</v>
      </c>
      <c r="CR27" s="438">
        <v>98.26</v>
      </c>
      <c r="CS27" s="438">
        <v>0</v>
      </c>
      <c r="CT27" s="438">
        <v>0</v>
      </c>
      <c r="CU27" s="438">
        <v>0</v>
      </c>
      <c r="CV27" s="438">
        <v>0</v>
      </c>
      <c r="CW27" s="438">
        <v>0</v>
      </c>
      <c r="CX27" s="438">
        <v>0</v>
      </c>
      <c r="CY27" s="438">
        <v>0</v>
      </c>
      <c r="CZ27" s="438">
        <v>0</v>
      </c>
      <c r="DA27" s="438">
        <v>1</v>
      </c>
      <c r="DB27" s="438">
        <v>622766</v>
      </c>
      <c r="DC27" s="438">
        <v>0</v>
      </c>
      <c r="DD27" s="438">
        <v>0</v>
      </c>
      <c r="DE27" s="438">
        <v>134374</v>
      </c>
      <c r="DF27" s="438">
        <v>139973</v>
      </c>
      <c r="DG27" s="438">
        <v>102.67</v>
      </c>
      <c r="DH27" s="438">
        <v>0</v>
      </c>
      <c r="DI27" s="438">
        <v>5599</v>
      </c>
      <c r="DK27" s="437">
        <v>5392</v>
      </c>
      <c r="DL27" s="438">
        <v>0</v>
      </c>
      <c r="DM27" s="438">
        <v>85474</v>
      </c>
      <c r="DN27" s="438">
        <v>0</v>
      </c>
      <c r="DO27" s="438">
        <v>0</v>
      </c>
      <c r="DP27" s="438">
        <v>0</v>
      </c>
      <c r="DQ27" s="438">
        <v>0</v>
      </c>
      <c r="DR27" s="438">
        <v>0</v>
      </c>
      <c r="DS27" s="438">
        <v>0</v>
      </c>
      <c r="DT27" s="438">
        <v>0</v>
      </c>
      <c r="DU27" s="438">
        <v>0</v>
      </c>
      <c r="DV27" s="438">
        <v>0</v>
      </c>
      <c r="DW27" s="438">
        <v>0</v>
      </c>
      <c r="DX27" s="438">
        <v>0</v>
      </c>
      <c r="DY27" s="438">
        <v>0</v>
      </c>
      <c r="DZ27" s="438">
        <v>0</v>
      </c>
      <c r="EA27" s="438">
        <v>0</v>
      </c>
      <c r="EB27" s="438">
        <v>0</v>
      </c>
      <c r="EC27" s="438">
        <v>11.223000000000001</v>
      </c>
      <c r="ED27" s="438">
        <v>80788</v>
      </c>
      <c r="EE27" s="438">
        <v>0</v>
      </c>
      <c r="EF27" s="438">
        <v>0</v>
      </c>
      <c r="EG27" s="438">
        <v>0</v>
      </c>
      <c r="EH27" s="438">
        <v>0</v>
      </c>
      <c r="EI27" s="438">
        <v>4686</v>
      </c>
      <c r="EJ27" s="438">
        <v>0.17899999999999999</v>
      </c>
      <c r="EK27" s="438">
        <v>0</v>
      </c>
      <c r="EL27" s="438">
        <v>0</v>
      </c>
      <c r="EM27" s="438">
        <v>0</v>
      </c>
      <c r="EN27" s="438">
        <v>0</v>
      </c>
      <c r="EO27" s="438">
        <v>0</v>
      </c>
      <c r="EP27" s="438">
        <v>0</v>
      </c>
      <c r="EQ27" s="438">
        <v>0.17899999999999999</v>
      </c>
      <c r="ER27" s="438">
        <v>0</v>
      </c>
      <c r="ES27" s="438">
        <v>0</v>
      </c>
      <c r="ET27" s="438">
        <v>0</v>
      </c>
      <c r="EU27" s="438">
        <v>52406</v>
      </c>
      <c r="EV27" s="438">
        <v>0</v>
      </c>
      <c r="EW27" s="438">
        <v>0</v>
      </c>
      <c r="EX27" s="438">
        <v>0</v>
      </c>
      <c r="EZ27" s="438">
        <v>855599</v>
      </c>
      <c r="FA27" s="438">
        <v>0</v>
      </c>
      <c r="FB27" s="438">
        <v>908005</v>
      </c>
      <c r="FC27" s="438">
        <v>0.97334900000000002</v>
      </c>
      <c r="FD27" s="438">
        <v>0</v>
      </c>
      <c r="FE27" s="438">
        <v>122539</v>
      </c>
      <c r="FF27" s="438">
        <v>27929</v>
      </c>
      <c r="FG27" s="437">
        <v>5.7854999999999997E-2</v>
      </c>
      <c r="FH27" s="437">
        <v>5.2366000000000003E-2</v>
      </c>
      <c r="FI27" s="438">
        <v>0</v>
      </c>
      <c r="FJ27" s="438">
        <v>0</v>
      </c>
      <c r="FK27" s="438">
        <v>166.93199999999999</v>
      </c>
      <c r="FL27" s="438">
        <v>1058473</v>
      </c>
      <c r="FM27" s="438">
        <v>0</v>
      </c>
      <c r="FN27" s="438">
        <v>0</v>
      </c>
      <c r="FO27" s="438">
        <v>5529</v>
      </c>
      <c r="FP27" s="438">
        <v>0</v>
      </c>
      <c r="FQ27" s="438">
        <v>5529</v>
      </c>
      <c r="FR27" s="438">
        <v>5529</v>
      </c>
      <c r="FS27" s="438">
        <v>0</v>
      </c>
      <c r="FT27" s="438">
        <v>0</v>
      </c>
      <c r="FU27" s="438">
        <v>0</v>
      </c>
      <c r="FV27" s="438">
        <v>0</v>
      </c>
      <c r="FW27" s="438">
        <v>0</v>
      </c>
      <c r="FX27" s="438">
        <v>0</v>
      </c>
      <c r="FY27" s="438">
        <v>0</v>
      </c>
      <c r="FZ27" s="438">
        <v>0</v>
      </c>
      <c r="GA27" s="438">
        <v>0</v>
      </c>
      <c r="GB27" s="438">
        <v>25752</v>
      </c>
      <c r="GC27" s="438">
        <v>25752</v>
      </c>
      <c r="GD27" s="438">
        <v>2.915</v>
      </c>
      <c r="GF27" s="438">
        <v>0</v>
      </c>
      <c r="GG27" s="438">
        <v>0</v>
      </c>
      <c r="GH27" s="438">
        <v>0</v>
      </c>
      <c r="GI27" s="438">
        <v>0</v>
      </c>
      <c r="GJ27" s="438">
        <v>0</v>
      </c>
      <c r="GK27" s="438">
        <v>4839.9179999999997</v>
      </c>
      <c r="GL27" s="438">
        <v>4408</v>
      </c>
      <c r="GM27" s="438">
        <v>0</v>
      </c>
      <c r="GN27" s="438">
        <v>13245</v>
      </c>
      <c r="GO27" s="438">
        <v>0</v>
      </c>
      <c r="GP27" s="438">
        <v>1058473</v>
      </c>
      <c r="GQ27" s="438">
        <v>1058473</v>
      </c>
      <c r="GR27" s="438">
        <v>0</v>
      </c>
      <c r="GS27" s="438">
        <v>0</v>
      </c>
      <c r="GT27" s="438">
        <v>0</v>
      </c>
      <c r="HB27" s="438">
        <v>0</v>
      </c>
      <c r="HC27" s="437">
        <v>6.0754000000000002E-2</v>
      </c>
      <c r="HD27" s="438">
        <v>0</v>
      </c>
    </row>
    <row r="28" spans="1:212" x14ac:dyDescent="0.2">
      <c r="A28" s="438">
        <v>25836</v>
      </c>
      <c r="B28" s="442">
        <v>15815</v>
      </c>
      <c r="C28" s="438">
        <v>9</v>
      </c>
      <c r="D28" s="438">
        <v>2020</v>
      </c>
      <c r="E28" s="438">
        <v>5392</v>
      </c>
      <c r="F28" s="438">
        <v>0</v>
      </c>
      <c r="G28" s="438">
        <v>587.07799999999997</v>
      </c>
      <c r="H28" s="438">
        <v>552.24</v>
      </c>
      <c r="I28" s="438">
        <v>552.24</v>
      </c>
      <c r="J28" s="438">
        <v>587.07799999999997</v>
      </c>
      <c r="K28" s="438">
        <v>0</v>
      </c>
      <c r="L28" s="437">
        <v>6544</v>
      </c>
      <c r="M28" s="438">
        <v>0</v>
      </c>
      <c r="N28" s="438">
        <v>0</v>
      </c>
      <c r="P28" s="438">
        <v>589.00800000000004</v>
      </c>
      <c r="Q28" s="438">
        <v>0</v>
      </c>
      <c r="R28" s="438">
        <v>145831</v>
      </c>
      <c r="S28" s="437">
        <v>247.58699999999999</v>
      </c>
      <c r="U28" s="438">
        <v>0</v>
      </c>
      <c r="V28" s="438">
        <v>201.36699999999999</v>
      </c>
      <c r="W28" s="438">
        <v>131775</v>
      </c>
      <c r="X28" s="438">
        <v>131775</v>
      </c>
      <c r="Z28" s="438">
        <v>0</v>
      </c>
      <c r="AA28" s="438">
        <v>1</v>
      </c>
      <c r="AB28" s="438">
        <v>1</v>
      </c>
      <c r="AC28" s="438">
        <v>0</v>
      </c>
      <c r="AD28" s="438" t="s">
        <v>332</v>
      </c>
      <c r="AE28" s="438">
        <v>0</v>
      </c>
      <c r="AH28" s="438">
        <v>0</v>
      </c>
      <c r="AI28" s="438">
        <v>0</v>
      </c>
      <c r="AJ28" s="437">
        <v>5105</v>
      </c>
      <c r="AK28" s="438" t="s">
        <v>561</v>
      </c>
      <c r="AL28" s="438" t="s">
        <v>414</v>
      </c>
      <c r="AM28" s="438">
        <v>0</v>
      </c>
      <c r="AN28" s="438">
        <v>0</v>
      </c>
      <c r="AO28" s="438">
        <v>0</v>
      </c>
      <c r="AP28" s="438">
        <v>0</v>
      </c>
      <c r="AQ28" s="438">
        <v>0</v>
      </c>
      <c r="AR28" s="438">
        <v>0</v>
      </c>
      <c r="AS28" s="438">
        <v>0</v>
      </c>
      <c r="AT28" s="438">
        <v>0</v>
      </c>
      <c r="AU28" s="438">
        <v>0</v>
      </c>
      <c r="AV28" s="438">
        <v>0</v>
      </c>
      <c r="AW28" s="438">
        <v>5569757</v>
      </c>
      <c r="AX28" s="438">
        <v>5523761</v>
      </c>
      <c r="AY28" s="438">
        <v>0</v>
      </c>
      <c r="AZ28" s="438">
        <v>185202</v>
      </c>
      <c r="BA28" s="438">
        <v>13.25</v>
      </c>
      <c r="BB28" s="438">
        <v>16229</v>
      </c>
      <c r="BC28" s="438">
        <v>16229</v>
      </c>
      <c r="BD28" s="438">
        <v>20.667000000000002</v>
      </c>
      <c r="BE28" s="438">
        <v>0</v>
      </c>
      <c r="BF28" s="438">
        <v>4701070</v>
      </c>
      <c r="BG28" s="438">
        <v>0</v>
      </c>
      <c r="BH28" s="438">
        <v>143.166</v>
      </c>
      <c r="BI28" s="438">
        <v>39371</v>
      </c>
      <c r="BJ28" s="438">
        <v>12</v>
      </c>
      <c r="BK28" s="438">
        <v>0</v>
      </c>
      <c r="BL28" s="438">
        <v>0</v>
      </c>
      <c r="BM28" s="438">
        <v>0</v>
      </c>
      <c r="BN28" s="438">
        <v>0</v>
      </c>
      <c r="BO28" s="438">
        <v>0</v>
      </c>
      <c r="BP28" s="438">
        <v>0</v>
      </c>
      <c r="BQ28" s="437">
        <v>5392</v>
      </c>
      <c r="BR28" s="438">
        <v>1</v>
      </c>
      <c r="BS28" s="438">
        <v>0</v>
      </c>
      <c r="BT28" s="438">
        <v>0</v>
      </c>
      <c r="BU28" s="438">
        <v>0</v>
      </c>
      <c r="BV28" s="438">
        <v>0</v>
      </c>
      <c r="BW28" s="438">
        <v>0</v>
      </c>
      <c r="BX28" s="438">
        <v>0</v>
      </c>
      <c r="BY28" s="438">
        <v>0</v>
      </c>
      <c r="BZ28" s="438">
        <v>0</v>
      </c>
      <c r="CA28" s="438">
        <v>0</v>
      </c>
      <c r="CB28" s="438">
        <v>0</v>
      </c>
      <c r="CC28" s="438">
        <v>0</v>
      </c>
      <c r="CG28" s="438">
        <v>0</v>
      </c>
      <c r="CH28" s="438">
        <v>6625</v>
      </c>
      <c r="CI28" s="438">
        <v>0</v>
      </c>
      <c r="CJ28" s="438">
        <v>4</v>
      </c>
      <c r="CK28" s="438">
        <v>0</v>
      </c>
      <c r="CL28" s="438">
        <v>0</v>
      </c>
      <c r="CN28" s="438">
        <v>0</v>
      </c>
      <c r="CO28" s="438">
        <v>1</v>
      </c>
      <c r="CP28" s="438">
        <v>0</v>
      </c>
      <c r="CQ28" s="438">
        <v>0</v>
      </c>
      <c r="CR28" s="438">
        <v>587.07799999999997</v>
      </c>
      <c r="CS28" s="438">
        <v>0</v>
      </c>
      <c r="CT28" s="438">
        <v>0</v>
      </c>
      <c r="CU28" s="438">
        <v>0</v>
      </c>
      <c r="CV28" s="438">
        <v>0</v>
      </c>
      <c r="CW28" s="438">
        <v>0</v>
      </c>
      <c r="CX28" s="438">
        <v>0</v>
      </c>
      <c r="CY28" s="438">
        <v>0</v>
      </c>
      <c r="CZ28" s="438">
        <v>0</v>
      </c>
      <c r="DA28" s="438">
        <v>1</v>
      </c>
      <c r="DB28" s="438">
        <v>3613859</v>
      </c>
      <c r="DC28" s="438">
        <v>0</v>
      </c>
      <c r="DD28" s="438">
        <v>13.25</v>
      </c>
      <c r="DE28" s="438">
        <v>550782</v>
      </c>
      <c r="DF28" s="438">
        <v>550782</v>
      </c>
      <c r="DG28" s="438">
        <v>420.83</v>
      </c>
      <c r="DH28" s="438">
        <v>0</v>
      </c>
      <c r="DI28" s="438">
        <v>0</v>
      </c>
      <c r="DK28" s="437">
        <v>5392</v>
      </c>
      <c r="DL28" s="438">
        <v>0</v>
      </c>
      <c r="DM28" s="438">
        <v>313209</v>
      </c>
      <c r="DN28" s="438">
        <v>0</v>
      </c>
      <c r="DO28" s="438">
        <v>0</v>
      </c>
      <c r="DP28" s="438">
        <v>0</v>
      </c>
      <c r="DQ28" s="438">
        <v>0</v>
      </c>
      <c r="DR28" s="438">
        <v>0</v>
      </c>
      <c r="DS28" s="438">
        <v>0</v>
      </c>
      <c r="DT28" s="438">
        <v>0</v>
      </c>
      <c r="DU28" s="438">
        <v>0</v>
      </c>
      <c r="DV28" s="438">
        <v>0</v>
      </c>
      <c r="DW28" s="438">
        <v>0</v>
      </c>
      <c r="DX28" s="438">
        <v>0</v>
      </c>
      <c r="DY28" s="438">
        <v>0</v>
      </c>
      <c r="DZ28" s="438">
        <v>0</v>
      </c>
      <c r="EA28" s="438">
        <v>0</v>
      </c>
      <c r="EB28" s="438">
        <v>0</v>
      </c>
      <c r="EC28" s="438">
        <v>9.66</v>
      </c>
      <c r="ED28" s="438">
        <v>69537</v>
      </c>
      <c r="EE28" s="438">
        <v>0</v>
      </c>
      <c r="EF28" s="438">
        <v>0</v>
      </c>
      <c r="EG28" s="438">
        <v>0</v>
      </c>
      <c r="EH28" s="438">
        <v>243672</v>
      </c>
      <c r="EI28" s="438">
        <v>0</v>
      </c>
      <c r="EJ28" s="438">
        <v>0</v>
      </c>
      <c r="EK28" s="438">
        <v>7.7649999999999997</v>
      </c>
      <c r="EL28" s="438">
        <v>0</v>
      </c>
      <c r="EM28" s="438">
        <v>3.0019999999999998</v>
      </c>
      <c r="EN28" s="438">
        <v>0.98699999999999999</v>
      </c>
      <c r="EO28" s="438">
        <v>0</v>
      </c>
      <c r="EP28" s="438">
        <v>0</v>
      </c>
      <c r="EQ28" s="438">
        <v>11.754</v>
      </c>
      <c r="ER28" s="438">
        <v>0</v>
      </c>
      <c r="ES28" s="438">
        <v>37.235999999999997</v>
      </c>
      <c r="ET28" s="438">
        <v>6625</v>
      </c>
      <c r="EU28" s="438">
        <v>185202</v>
      </c>
      <c r="EV28" s="438">
        <v>0</v>
      </c>
      <c r="EW28" s="438">
        <v>0</v>
      </c>
      <c r="EX28" s="438">
        <v>0</v>
      </c>
      <c r="EZ28" s="438">
        <v>4693643</v>
      </c>
      <c r="FA28" s="438">
        <v>0</v>
      </c>
      <c r="FB28" s="438">
        <v>4878845</v>
      </c>
      <c r="FC28" s="438">
        <v>0.97334900000000002</v>
      </c>
      <c r="FD28" s="438">
        <v>0</v>
      </c>
      <c r="FE28" s="438">
        <v>676035</v>
      </c>
      <c r="FF28" s="438">
        <v>154083</v>
      </c>
      <c r="FG28" s="437">
        <v>5.7854999999999997E-2</v>
      </c>
      <c r="FH28" s="437">
        <v>5.2366000000000003E-2</v>
      </c>
      <c r="FI28" s="438">
        <v>0</v>
      </c>
      <c r="FJ28" s="438">
        <v>0</v>
      </c>
      <c r="FK28" s="438">
        <v>920.94799999999998</v>
      </c>
      <c r="FL28" s="438">
        <v>5715588</v>
      </c>
      <c r="FM28" s="438">
        <v>0</v>
      </c>
      <c r="FN28" s="438">
        <v>0</v>
      </c>
      <c r="FO28" s="438">
        <v>9687</v>
      </c>
      <c r="FP28" s="438">
        <v>0</v>
      </c>
      <c r="FQ28" s="438">
        <v>9687</v>
      </c>
      <c r="FR28" s="438">
        <v>9687</v>
      </c>
      <c r="FS28" s="438">
        <v>0</v>
      </c>
      <c r="FT28" s="438">
        <v>0</v>
      </c>
      <c r="FU28" s="438">
        <v>0</v>
      </c>
      <c r="FV28" s="438">
        <v>0</v>
      </c>
      <c r="FW28" s="438">
        <v>0</v>
      </c>
      <c r="FX28" s="438">
        <v>0</v>
      </c>
      <c r="FY28" s="438">
        <v>0</v>
      </c>
      <c r="FZ28" s="438">
        <v>0</v>
      </c>
      <c r="GA28" s="438">
        <v>0</v>
      </c>
      <c r="GB28" s="438">
        <v>203933</v>
      </c>
      <c r="GC28" s="438">
        <v>203933</v>
      </c>
      <c r="GD28" s="438">
        <v>23.084</v>
      </c>
      <c r="GF28" s="438">
        <v>0</v>
      </c>
      <c r="GG28" s="438">
        <v>0</v>
      </c>
      <c r="GH28" s="438">
        <v>0</v>
      </c>
      <c r="GI28" s="438">
        <v>0</v>
      </c>
      <c r="GJ28" s="438">
        <v>0</v>
      </c>
      <c r="GK28" s="438">
        <v>4689.857</v>
      </c>
      <c r="GL28" s="438">
        <v>22375</v>
      </c>
      <c r="GM28" s="438">
        <v>0</v>
      </c>
      <c r="GN28" s="438">
        <v>6455</v>
      </c>
      <c r="GO28" s="438">
        <v>0</v>
      </c>
      <c r="GP28" s="438">
        <v>5708963</v>
      </c>
      <c r="GQ28" s="438">
        <v>5708963</v>
      </c>
      <c r="GR28" s="438">
        <v>0</v>
      </c>
      <c r="GS28" s="438">
        <v>0</v>
      </c>
      <c r="GT28" s="438">
        <v>0</v>
      </c>
      <c r="HB28" s="438">
        <v>0</v>
      </c>
      <c r="HC28" s="437">
        <v>6.0754000000000002E-2</v>
      </c>
      <c r="HD28" s="438">
        <v>0</v>
      </c>
    </row>
    <row r="29" spans="1:212" x14ac:dyDescent="0.2">
      <c r="A29" s="438">
        <v>25836</v>
      </c>
      <c r="B29" s="442">
        <v>15822</v>
      </c>
      <c r="C29" s="438">
        <v>9</v>
      </c>
      <c r="D29" s="438">
        <v>2020</v>
      </c>
      <c r="E29" s="438">
        <v>5392</v>
      </c>
      <c r="F29" s="438">
        <v>0</v>
      </c>
      <c r="G29" s="438">
        <v>5473.5720000000001</v>
      </c>
      <c r="H29" s="438">
        <v>5329.915</v>
      </c>
      <c r="I29" s="438">
        <v>5329.915</v>
      </c>
      <c r="J29" s="438">
        <v>5473.5720000000001</v>
      </c>
      <c r="K29" s="438">
        <v>0</v>
      </c>
      <c r="L29" s="437">
        <v>6544</v>
      </c>
      <c r="M29" s="438">
        <v>0</v>
      </c>
      <c r="N29" s="438">
        <v>0</v>
      </c>
      <c r="P29" s="438">
        <v>5481.2479999999996</v>
      </c>
      <c r="Q29" s="438">
        <v>0</v>
      </c>
      <c r="R29" s="438">
        <v>1357086</v>
      </c>
      <c r="S29" s="437">
        <v>247.58699999999999</v>
      </c>
      <c r="U29" s="438">
        <v>0</v>
      </c>
      <c r="V29" s="438">
        <v>1086.19</v>
      </c>
      <c r="W29" s="438">
        <v>710803</v>
      </c>
      <c r="X29" s="438">
        <v>710803</v>
      </c>
      <c r="Z29" s="438">
        <v>0</v>
      </c>
      <c r="AA29" s="438">
        <v>1</v>
      </c>
      <c r="AB29" s="438">
        <v>1</v>
      </c>
      <c r="AC29" s="438">
        <v>0</v>
      </c>
      <c r="AD29" s="438" t="s">
        <v>332</v>
      </c>
      <c r="AE29" s="438">
        <v>0</v>
      </c>
      <c r="AH29" s="438">
        <v>0</v>
      </c>
      <c r="AI29" s="438">
        <v>0</v>
      </c>
      <c r="AJ29" s="437">
        <v>5105</v>
      </c>
      <c r="AK29" s="438" t="s">
        <v>561</v>
      </c>
      <c r="AL29" s="438" t="s">
        <v>481</v>
      </c>
      <c r="AM29" s="438">
        <v>0</v>
      </c>
      <c r="AN29" s="438">
        <v>0</v>
      </c>
      <c r="AO29" s="438">
        <v>0</v>
      </c>
      <c r="AP29" s="438">
        <v>0</v>
      </c>
      <c r="AQ29" s="438">
        <v>0</v>
      </c>
      <c r="AR29" s="438">
        <v>0</v>
      </c>
      <c r="AS29" s="438">
        <v>0</v>
      </c>
      <c r="AT29" s="438">
        <v>0</v>
      </c>
      <c r="AU29" s="438">
        <v>0</v>
      </c>
      <c r="AV29" s="438">
        <v>0</v>
      </c>
      <c r="AW29" s="438">
        <v>52074360</v>
      </c>
      <c r="AX29" s="438">
        <v>51906720</v>
      </c>
      <c r="AY29" s="438">
        <v>0</v>
      </c>
      <c r="AZ29" s="438">
        <v>1524726</v>
      </c>
      <c r="BA29" s="438">
        <v>0</v>
      </c>
      <c r="BB29" s="438">
        <v>214914</v>
      </c>
      <c r="BC29" s="438">
        <v>214914</v>
      </c>
      <c r="BD29" s="438">
        <v>273.67899999999997</v>
      </c>
      <c r="BE29" s="438">
        <v>0</v>
      </c>
      <c r="BF29" s="438">
        <v>44240474</v>
      </c>
      <c r="BG29" s="438">
        <v>0</v>
      </c>
      <c r="BH29" s="438">
        <v>609.6</v>
      </c>
      <c r="BI29" s="438">
        <v>167640</v>
      </c>
      <c r="BJ29" s="438">
        <v>12</v>
      </c>
      <c r="BK29" s="438">
        <v>0</v>
      </c>
      <c r="BL29" s="438">
        <v>0</v>
      </c>
      <c r="BM29" s="438">
        <v>0</v>
      </c>
      <c r="BN29" s="438">
        <v>0</v>
      </c>
      <c r="BO29" s="438">
        <v>0</v>
      </c>
      <c r="BP29" s="438">
        <v>0</v>
      </c>
      <c r="BQ29" s="437">
        <v>5392</v>
      </c>
      <c r="BR29" s="438">
        <v>1</v>
      </c>
      <c r="BS29" s="438">
        <v>0</v>
      </c>
      <c r="BT29" s="438">
        <v>0</v>
      </c>
      <c r="BU29" s="438">
        <v>0</v>
      </c>
      <c r="BV29" s="438">
        <v>0</v>
      </c>
      <c r="BW29" s="438">
        <v>0</v>
      </c>
      <c r="BX29" s="438">
        <v>0</v>
      </c>
      <c r="BY29" s="438">
        <v>0</v>
      </c>
      <c r="BZ29" s="438">
        <v>0</v>
      </c>
      <c r="CA29" s="438">
        <v>0</v>
      </c>
      <c r="CB29" s="438">
        <v>0</v>
      </c>
      <c r="CC29" s="438">
        <v>0</v>
      </c>
      <c r="CG29" s="438">
        <v>0</v>
      </c>
      <c r="CH29" s="438">
        <v>0</v>
      </c>
      <c r="CI29" s="438">
        <v>0</v>
      </c>
      <c r="CJ29" s="438">
        <v>5</v>
      </c>
      <c r="CK29" s="438">
        <v>0</v>
      </c>
      <c r="CL29" s="438">
        <v>0</v>
      </c>
      <c r="CN29" s="438">
        <v>0</v>
      </c>
      <c r="CO29" s="438">
        <v>1</v>
      </c>
      <c r="CP29" s="438">
        <v>0</v>
      </c>
      <c r="CQ29" s="438">
        <v>0</v>
      </c>
      <c r="CR29" s="438">
        <v>5473.5720000000001</v>
      </c>
      <c r="CS29" s="438">
        <v>0</v>
      </c>
      <c r="CT29" s="438">
        <v>0</v>
      </c>
      <c r="CU29" s="438">
        <v>0</v>
      </c>
      <c r="CV29" s="438">
        <v>0</v>
      </c>
      <c r="CW29" s="438">
        <v>0</v>
      </c>
      <c r="CX29" s="438">
        <v>0</v>
      </c>
      <c r="CY29" s="438">
        <v>0</v>
      </c>
      <c r="CZ29" s="438">
        <v>0</v>
      </c>
      <c r="DA29" s="438">
        <v>1</v>
      </c>
      <c r="DB29" s="438">
        <v>34878964</v>
      </c>
      <c r="DC29" s="438">
        <v>0</v>
      </c>
      <c r="DD29" s="438">
        <v>0</v>
      </c>
      <c r="DE29" s="438">
        <v>6330666</v>
      </c>
      <c r="DF29" s="438">
        <v>6330666</v>
      </c>
      <c r="DG29" s="438">
        <v>4837</v>
      </c>
      <c r="DH29" s="438">
        <v>0</v>
      </c>
      <c r="DI29" s="438">
        <v>0</v>
      </c>
      <c r="DK29" s="437">
        <v>5392</v>
      </c>
      <c r="DL29" s="438">
        <v>0</v>
      </c>
      <c r="DM29" s="438">
        <v>3065054</v>
      </c>
      <c r="DN29" s="438">
        <v>0</v>
      </c>
      <c r="DO29" s="438">
        <v>0</v>
      </c>
      <c r="DP29" s="438">
        <v>0</v>
      </c>
      <c r="DQ29" s="438">
        <v>0</v>
      </c>
      <c r="DR29" s="438">
        <v>0</v>
      </c>
      <c r="DS29" s="438">
        <v>0</v>
      </c>
      <c r="DT29" s="438">
        <v>0</v>
      </c>
      <c r="DU29" s="438">
        <v>0</v>
      </c>
      <c r="DV29" s="438">
        <v>0</v>
      </c>
      <c r="DW29" s="438">
        <v>0</v>
      </c>
      <c r="DX29" s="438">
        <v>0</v>
      </c>
      <c r="DY29" s="438">
        <v>0</v>
      </c>
      <c r="DZ29" s="438">
        <v>0</v>
      </c>
      <c r="EA29" s="438">
        <v>7.0000000000000007E-2</v>
      </c>
      <c r="EB29" s="438">
        <v>0</v>
      </c>
      <c r="EC29" s="438">
        <v>97.683000000000007</v>
      </c>
      <c r="ED29" s="438">
        <v>703161</v>
      </c>
      <c r="EE29" s="438">
        <v>0</v>
      </c>
      <c r="EF29" s="438">
        <v>0</v>
      </c>
      <c r="EG29" s="438">
        <v>0</v>
      </c>
      <c r="EH29" s="438">
        <v>2361893</v>
      </c>
      <c r="EI29" s="438">
        <v>0</v>
      </c>
      <c r="EJ29" s="438">
        <v>0</v>
      </c>
      <c r="EK29" s="438">
        <v>96.593999999999994</v>
      </c>
      <c r="EL29" s="438">
        <v>0</v>
      </c>
      <c r="EM29" s="438">
        <v>10.946</v>
      </c>
      <c r="EN29" s="438">
        <v>7.5910000000000002</v>
      </c>
      <c r="EO29" s="438">
        <v>0</v>
      </c>
      <c r="EP29" s="438">
        <v>0</v>
      </c>
      <c r="EQ29" s="438">
        <v>115.20099999999999</v>
      </c>
      <c r="ER29" s="438">
        <v>0</v>
      </c>
      <c r="ES29" s="438">
        <v>360.92500000000001</v>
      </c>
      <c r="ET29" s="438">
        <v>0</v>
      </c>
      <c r="EU29" s="438">
        <v>1524726</v>
      </c>
      <c r="EV29" s="438">
        <v>0</v>
      </c>
      <c r="EW29" s="438">
        <v>0</v>
      </c>
      <c r="EX29" s="438">
        <v>0</v>
      </c>
      <c r="EZ29" s="438">
        <v>44094707</v>
      </c>
      <c r="FA29" s="438">
        <v>0</v>
      </c>
      <c r="FB29" s="438">
        <v>45619433</v>
      </c>
      <c r="FC29" s="438">
        <v>0.97334900000000002</v>
      </c>
      <c r="FD29" s="438">
        <v>0</v>
      </c>
      <c r="FE29" s="438">
        <v>6361978</v>
      </c>
      <c r="FF29" s="438">
        <v>1450035</v>
      </c>
      <c r="FG29" s="437">
        <v>5.7854999999999997E-2</v>
      </c>
      <c r="FH29" s="437">
        <v>5.2366000000000003E-2</v>
      </c>
      <c r="FI29" s="438">
        <v>0</v>
      </c>
      <c r="FJ29" s="438">
        <v>0</v>
      </c>
      <c r="FK29" s="438">
        <v>8666.7860000000001</v>
      </c>
      <c r="FL29" s="438">
        <v>53431446</v>
      </c>
      <c r="FM29" s="438">
        <v>0</v>
      </c>
      <c r="FN29" s="438">
        <v>0</v>
      </c>
      <c r="FO29" s="438">
        <v>0</v>
      </c>
      <c r="FP29" s="438">
        <v>0</v>
      </c>
      <c r="FQ29" s="438">
        <v>0</v>
      </c>
      <c r="FR29" s="438">
        <v>0</v>
      </c>
      <c r="FS29" s="438">
        <v>0</v>
      </c>
      <c r="FT29" s="438">
        <v>0</v>
      </c>
      <c r="FU29" s="438">
        <v>0</v>
      </c>
      <c r="FV29" s="438">
        <v>0</v>
      </c>
      <c r="FW29" s="438">
        <v>0</v>
      </c>
      <c r="FX29" s="438">
        <v>0</v>
      </c>
      <c r="FY29" s="438">
        <v>0</v>
      </c>
      <c r="FZ29" s="438">
        <v>0</v>
      </c>
      <c r="GA29" s="438">
        <v>0</v>
      </c>
      <c r="GB29" s="438">
        <v>251392</v>
      </c>
      <c r="GC29" s="438">
        <v>251392</v>
      </c>
      <c r="GD29" s="438">
        <v>28.456</v>
      </c>
      <c r="GF29" s="438">
        <v>0</v>
      </c>
      <c r="GG29" s="438">
        <v>0</v>
      </c>
      <c r="GH29" s="438">
        <v>0</v>
      </c>
      <c r="GI29" s="438">
        <v>0</v>
      </c>
      <c r="GJ29" s="438">
        <v>0</v>
      </c>
      <c r="GK29" s="438">
        <v>4645.3950000000004</v>
      </c>
      <c r="GL29" s="438">
        <v>19146</v>
      </c>
      <c r="GM29" s="438">
        <v>0</v>
      </c>
      <c r="GN29" s="438">
        <v>0</v>
      </c>
      <c r="GO29" s="438">
        <v>0</v>
      </c>
      <c r="GP29" s="438">
        <v>53431446</v>
      </c>
      <c r="GQ29" s="438">
        <v>53431446</v>
      </c>
      <c r="GR29" s="438">
        <v>0</v>
      </c>
      <c r="GS29" s="438">
        <v>0</v>
      </c>
      <c r="GT29" s="438">
        <v>0</v>
      </c>
      <c r="HB29" s="438">
        <v>0</v>
      </c>
      <c r="HC29" s="437">
        <v>6.0754000000000002E-2</v>
      </c>
      <c r="HD29" s="438">
        <v>0</v>
      </c>
    </row>
    <row r="30" spans="1:212" x14ac:dyDescent="0.2">
      <c r="A30" s="438">
        <v>25836</v>
      </c>
      <c r="B30" s="442">
        <v>15825</v>
      </c>
      <c r="C30" s="438">
        <v>9</v>
      </c>
      <c r="D30" s="438">
        <v>2020</v>
      </c>
      <c r="E30" s="438">
        <v>5392</v>
      </c>
      <c r="F30" s="438">
        <v>0</v>
      </c>
      <c r="G30" s="438">
        <v>290.64699999999999</v>
      </c>
      <c r="H30" s="438">
        <v>281.20600000000002</v>
      </c>
      <c r="I30" s="438">
        <v>281.20600000000002</v>
      </c>
      <c r="J30" s="438">
        <v>290.64699999999999</v>
      </c>
      <c r="K30" s="438">
        <v>0</v>
      </c>
      <c r="L30" s="437">
        <v>6544</v>
      </c>
      <c r="M30" s="438">
        <v>0</v>
      </c>
      <c r="N30" s="438">
        <v>0</v>
      </c>
      <c r="P30" s="438">
        <v>294.99299999999999</v>
      </c>
      <c r="Q30" s="438">
        <v>0</v>
      </c>
      <c r="R30" s="438">
        <v>73036</v>
      </c>
      <c r="S30" s="437">
        <v>247.58699999999999</v>
      </c>
      <c r="U30" s="438">
        <v>0</v>
      </c>
      <c r="V30" s="438">
        <v>68.352000000000004</v>
      </c>
      <c r="W30" s="438">
        <v>44730</v>
      </c>
      <c r="X30" s="438">
        <v>44730</v>
      </c>
      <c r="Z30" s="438">
        <v>0</v>
      </c>
      <c r="AA30" s="438">
        <v>1</v>
      </c>
      <c r="AB30" s="438">
        <v>1</v>
      </c>
      <c r="AC30" s="438">
        <v>0</v>
      </c>
      <c r="AD30" s="438" t="s">
        <v>332</v>
      </c>
      <c r="AE30" s="438">
        <v>0</v>
      </c>
      <c r="AH30" s="438">
        <v>0</v>
      </c>
      <c r="AI30" s="438">
        <v>0</v>
      </c>
      <c r="AJ30" s="437">
        <v>5105</v>
      </c>
      <c r="AK30" s="438" t="s">
        <v>561</v>
      </c>
      <c r="AL30" s="438" t="s">
        <v>66</v>
      </c>
      <c r="AM30" s="438">
        <v>0</v>
      </c>
      <c r="AN30" s="438">
        <v>0</v>
      </c>
      <c r="AO30" s="438">
        <v>0</v>
      </c>
      <c r="AP30" s="438">
        <v>0</v>
      </c>
      <c r="AQ30" s="438">
        <v>0</v>
      </c>
      <c r="AR30" s="438">
        <v>0</v>
      </c>
      <c r="AS30" s="438">
        <v>0</v>
      </c>
      <c r="AT30" s="438">
        <v>0</v>
      </c>
      <c r="AU30" s="438">
        <v>0</v>
      </c>
      <c r="AV30" s="438">
        <v>0</v>
      </c>
      <c r="AW30" s="438">
        <v>2812018</v>
      </c>
      <c r="AX30" s="438">
        <v>2807018</v>
      </c>
      <c r="AY30" s="438">
        <v>0</v>
      </c>
      <c r="AZ30" s="438">
        <v>73036</v>
      </c>
      <c r="BA30" s="438">
        <v>10</v>
      </c>
      <c r="BB30" s="438">
        <v>11408</v>
      </c>
      <c r="BC30" s="438">
        <v>11408</v>
      </c>
      <c r="BD30" s="438">
        <v>14.526999999999999</v>
      </c>
      <c r="BE30" s="438">
        <v>0</v>
      </c>
      <c r="BF30" s="438">
        <v>2392148</v>
      </c>
      <c r="BG30" s="438">
        <v>0</v>
      </c>
      <c r="BH30" s="438">
        <v>0</v>
      </c>
      <c r="BI30" s="438">
        <v>0</v>
      </c>
      <c r="BJ30" s="438">
        <v>12</v>
      </c>
      <c r="BK30" s="438">
        <v>0</v>
      </c>
      <c r="BL30" s="438">
        <v>0</v>
      </c>
      <c r="BM30" s="438">
        <v>0</v>
      </c>
      <c r="BN30" s="438">
        <v>0</v>
      </c>
      <c r="BO30" s="438">
        <v>0</v>
      </c>
      <c r="BP30" s="438">
        <v>0</v>
      </c>
      <c r="BQ30" s="437">
        <v>5392</v>
      </c>
      <c r="BR30" s="438">
        <v>1</v>
      </c>
      <c r="BS30" s="438">
        <v>0</v>
      </c>
      <c r="BT30" s="438">
        <v>0</v>
      </c>
      <c r="BU30" s="438">
        <v>0</v>
      </c>
      <c r="BV30" s="438">
        <v>0</v>
      </c>
      <c r="BW30" s="438">
        <v>0</v>
      </c>
      <c r="BX30" s="438">
        <v>0</v>
      </c>
      <c r="BY30" s="438">
        <v>0</v>
      </c>
      <c r="BZ30" s="438">
        <v>0</v>
      </c>
      <c r="CA30" s="438">
        <v>0</v>
      </c>
      <c r="CB30" s="438">
        <v>0</v>
      </c>
      <c r="CC30" s="438">
        <v>0</v>
      </c>
      <c r="CG30" s="438">
        <v>0</v>
      </c>
      <c r="CH30" s="438">
        <v>5000</v>
      </c>
      <c r="CI30" s="438">
        <v>0</v>
      </c>
      <c r="CJ30" s="438">
        <v>4</v>
      </c>
      <c r="CK30" s="438">
        <v>0</v>
      </c>
      <c r="CL30" s="438">
        <v>0</v>
      </c>
      <c r="CN30" s="438">
        <v>0</v>
      </c>
      <c r="CO30" s="438">
        <v>1</v>
      </c>
      <c r="CP30" s="438">
        <v>0</v>
      </c>
      <c r="CQ30" s="438">
        <v>0</v>
      </c>
      <c r="CR30" s="438">
        <v>290.64699999999999</v>
      </c>
      <c r="CS30" s="438">
        <v>0</v>
      </c>
      <c r="CT30" s="438">
        <v>0</v>
      </c>
      <c r="CU30" s="438">
        <v>0</v>
      </c>
      <c r="CV30" s="438">
        <v>0</v>
      </c>
      <c r="CW30" s="438">
        <v>0</v>
      </c>
      <c r="CX30" s="438">
        <v>0</v>
      </c>
      <c r="CY30" s="438">
        <v>0</v>
      </c>
      <c r="CZ30" s="438">
        <v>0</v>
      </c>
      <c r="DA30" s="438">
        <v>1</v>
      </c>
      <c r="DB30" s="438">
        <v>1840212</v>
      </c>
      <c r="DC30" s="438">
        <v>0</v>
      </c>
      <c r="DD30" s="438">
        <v>10</v>
      </c>
      <c r="DE30" s="438">
        <v>365155</v>
      </c>
      <c r="DF30" s="438">
        <v>365155</v>
      </c>
      <c r="DG30" s="438">
        <v>279</v>
      </c>
      <c r="DH30" s="438">
        <v>0</v>
      </c>
      <c r="DI30" s="438">
        <v>0</v>
      </c>
      <c r="DK30" s="437">
        <v>5392</v>
      </c>
      <c r="DL30" s="438">
        <v>0</v>
      </c>
      <c r="DM30" s="438">
        <v>196141</v>
      </c>
      <c r="DN30" s="438">
        <v>0</v>
      </c>
      <c r="DO30" s="438">
        <v>0</v>
      </c>
      <c r="DP30" s="438">
        <v>0</v>
      </c>
      <c r="DQ30" s="438">
        <v>0</v>
      </c>
      <c r="DR30" s="438">
        <v>0</v>
      </c>
      <c r="DS30" s="438">
        <v>0</v>
      </c>
      <c r="DT30" s="438">
        <v>0</v>
      </c>
      <c r="DU30" s="438">
        <v>0</v>
      </c>
      <c r="DV30" s="438">
        <v>0</v>
      </c>
      <c r="DW30" s="438">
        <v>0</v>
      </c>
      <c r="DX30" s="438">
        <v>0</v>
      </c>
      <c r="DY30" s="438">
        <v>0</v>
      </c>
      <c r="DZ30" s="438">
        <v>0</v>
      </c>
      <c r="EA30" s="438">
        <v>0</v>
      </c>
      <c r="EB30" s="438">
        <v>0</v>
      </c>
      <c r="EC30" s="438">
        <v>0.88700000000000001</v>
      </c>
      <c r="ED30" s="438">
        <v>6385</v>
      </c>
      <c r="EE30" s="438">
        <v>0</v>
      </c>
      <c r="EF30" s="438">
        <v>0</v>
      </c>
      <c r="EG30" s="438">
        <v>0</v>
      </c>
      <c r="EH30" s="438">
        <v>189756</v>
      </c>
      <c r="EI30" s="438">
        <v>0</v>
      </c>
      <c r="EJ30" s="438">
        <v>0</v>
      </c>
      <c r="EK30" s="438">
        <v>8.6669999999999998</v>
      </c>
      <c r="EL30" s="438">
        <v>0</v>
      </c>
      <c r="EM30" s="438">
        <v>0.437</v>
      </c>
      <c r="EN30" s="438">
        <v>0.33700000000000002</v>
      </c>
      <c r="EO30" s="438">
        <v>0</v>
      </c>
      <c r="EP30" s="438">
        <v>0</v>
      </c>
      <c r="EQ30" s="438">
        <v>9.4410000000000007</v>
      </c>
      <c r="ER30" s="438">
        <v>0</v>
      </c>
      <c r="ES30" s="438">
        <v>28.997</v>
      </c>
      <c r="ET30" s="438">
        <v>5000</v>
      </c>
      <c r="EU30" s="438">
        <v>73036</v>
      </c>
      <c r="EV30" s="438">
        <v>0</v>
      </c>
      <c r="EW30" s="438">
        <v>0</v>
      </c>
      <c r="EX30" s="438">
        <v>0</v>
      </c>
      <c r="EZ30" s="438">
        <v>2384610</v>
      </c>
      <c r="FA30" s="438">
        <v>0</v>
      </c>
      <c r="FB30" s="438">
        <v>2457646</v>
      </c>
      <c r="FC30" s="438">
        <v>0.97334900000000002</v>
      </c>
      <c r="FD30" s="438">
        <v>0</v>
      </c>
      <c r="FE30" s="438">
        <v>344002</v>
      </c>
      <c r="FF30" s="438">
        <v>78406</v>
      </c>
      <c r="FG30" s="437">
        <v>5.7854999999999997E-2</v>
      </c>
      <c r="FH30" s="437">
        <v>5.2366000000000003E-2</v>
      </c>
      <c r="FI30" s="438">
        <v>0</v>
      </c>
      <c r="FJ30" s="438">
        <v>0</v>
      </c>
      <c r="FK30" s="438">
        <v>468.62599999999998</v>
      </c>
      <c r="FL30" s="438">
        <v>2885054</v>
      </c>
      <c r="FM30" s="438">
        <v>0</v>
      </c>
      <c r="FN30" s="438">
        <v>0</v>
      </c>
      <c r="FO30" s="438">
        <v>0</v>
      </c>
      <c r="FP30" s="438">
        <v>0</v>
      </c>
      <c r="FQ30" s="438">
        <v>0</v>
      </c>
      <c r="FR30" s="438">
        <v>0</v>
      </c>
      <c r="FS30" s="438">
        <v>0</v>
      </c>
      <c r="FT30" s="438">
        <v>0</v>
      </c>
      <c r="FU30" s="438">
        <v>0</v>
      </c>
      <c r="FV30" s="438">
        <v>0</v>
      </c>
      <c r="FW30" s="438">
        <v>0</v>
      </c>
      <c r="FX30" s="438">
        <v>0</v>
      </c>
      <c r="FY30" s="438">
        <v>0</v>
      </c>
      <c r="FZ30" s="438">
        <v>0</v>
      </c>
      <c r="GA30" s="438">
        <v>0</v>
      </c>
      <c r="GB30" s="438">
        <v>0</v>
      </c>
      <c r="GC30" s="438">
        <v>0</v>
      </c>
      <c r="GD30" s="438">
        <v>0</v>
      </c>
      <c r="GF30" s="438">
        <v>0</v>
      </c>
      <c r="GG30" s="438">
        <v>0</v>
      </c>
      <c r="GH30" s="438">
        <v>0</v>
      </c>
      <c r="GI30" s="438">
        <v>0</v>
      </c>
      <c r="GJ30" s="438">
        <v>0</v>
      </c>
      <c r="GK30" s="438">
        <v>4724.13</v>
      </c>
      <c r="GL30" s="438">
        <v>5113</v>
      </c>
      <c r="GM30" s="438">
        <v>0</v>
      </c>
      <c r="GN30" s="438">
        <v>0</v>
      </c>
      <c r="GO30" s="438">
        <v>0</v>
      </c>
      <c r="GP30" s="438">
        <v>2880054</v>
      </c>
      <c r="GQ30" s="438">
        <v>2880054</v>
      </c>
      <c r="GR30" s="438">
        <v>0</v>
      </c>
      <c r="GS30" s="438">
        <v>0</v>
      </c>
      <c r="GT30" s="438">
        <v>0</v>
      </c>
      <c r="HB30" s="438">
        <v>0</v>
      </c>
      <c r="HC30" s="437">
        <v>6.0754000000000002E-2</v>
      </c>
      <c r="HD30" s="438">
        <v>0</v>
      </c>
    </row>
    <row r="31" spans="1:212" x14ac:dyDescent="0.2">
      <c r="A31" s="438">
        <v>25836</v>
      </c>
      <c r="B31" s="442">
        <v>15827</v>
      </c>
      <c r="C31" s="438">
        <v>9</v>
      </c>
      <c r="D31" s="438">
        <v>2020</v>
      </c>
      <c r="E31" s="438">
        <v>5392</v>
      </c>
      <c r="F31" s="438">
        <v>0</v>
      </c>
      <c r="G31" s="438">
        <v>1791.308</v>
      </c>
      <c r="H31" s="438">
        <v>1707.0550000000001</v>
      </c>
      <c r="I31" s="438">
        <v>1707.0550000000001</v>
      </c>
      <c r="J31" s="438">
        <v>1791.308</v>
      </c>
      <c r="K31" s="438">
        <v>0</v>
      </c>
      <c r="L31" s="437">
        <v>6544</v>
      </c>
      <c r="M31" s="438">
        <v>0</v>
      </c>
      <c r="N31" s="438">
        <v>0</v>
      </c>
      <c r="P31" s="438">
        <v>1798.7750000000001</v>
      </c>
      <c r="Q31" s="438">
        <v>0</v>
      </c>
      <c r="R31" s="438">
        <v>445353</v>
      </c>
      <c r="S31" s="437">
        <v>247.58699999999999</v>
      </c>
      <c r="U31" s="438">
        <v>0</v>
      </c>
      <c r="V31" s="438">
        <v>264.54599999999999</v>
      </c>
      <c r="W31" s="438">
        <v>173119</v>
      </c>
      <c r="X31" s="438">
        <v>173119</v>
      </c>
      <c r="Z31" s="438">
        <v>0</v>
      </c>
      <c r="AA31" s="438">
        <v>1</v>
      </c>
      <c r="AB31" s="438">
        <v>1</v>
      </c>
      <c r="AC31" s="438">
        <v>0</v>
      </c>
      <c r="AD31" s="438" t="s">
        <v>332</v>
      </c>
      <c r="AE31" s="438">
        <v>0</v>
      </c>
      <c r="AH31" s="438">
        <v>0</v>
      </c>
      <c r="AI31" s="438">
        <v>0</v>
      </c>
      <c r="AJ31" s="437">
        <v>5105</v>
      </c>
      <c r="AK31" s="438" t="s">
        <v>561</v>
      </c>
      <c r="AL31" s="438" t="s">
        <v>16</v>
      </c>
      <c r="AM31" s="438">
        <v>0</v>
      </c>
      <c r="AN31" s="438">
        <v>0</v>
      </c>
      <c r="AO31" s="438">
        <v>0</v>
      </c>
      <c r="AP31" s="438">
        <v>0</v>
      </c>
      <c r="AQ31" s="438">
        <v>0</v>
      </c>
      <c r="AR31" s="438">
        <v>0</v>
      </c>
      <c r="AS31" s="438">
        <v>0</v>
      </c>
      <c r="AT31" s="438">
        <v>0</v>
      </c>
      <c r="AU31" s="438">
        <v>0</v>
      </c>
      <c r="AV31" s="438">
        <v>0</v>
      </c>
      <c r="AW31" s="438">
        <v>16286911</v>
      </c>
      <c r="AX31" s="438">
        <v>16190921</v>
      </c>
      <c r="AY31" s="438">
        <v>0</v>
      </c>
      <c r="AZ31" s="438">
        <v>526843</v>
      </c>
      <c r="BA31" s="438">
        <v>29</v>
      </c>
      <c r="BB31" s="438">
        <v>70334</v>
      </c>
      <c r="BC31" s="438">
        <v>70334</v>
      </c>
      <c r="BD31" s="438">
        <v>89.564999999999998</v>
      </c>
      <c r="BE31" s="438">
        <v>0</v>
      </c>
      <c r="BF31" s="438">
        <v>13817951</v>
      </c>
      <c r="BG31" s="438">
        <v>0</v>
      </c>
      <c r="BH31" s="438">
        <v>296.32600000000002</v>
      </c>
      <c r="BI31" s="438">
        <v>81490</v>
      </c>
      <c r="BJ31" s="438">
        <v>12</v>
      </c>
      <c r="BK31" s="438">
        <v>0</v>
      </c>
      <c r="BL31" s="438">
        <v>0</v>
      </c>
      <c r="BM31" s="438">
        <v>0</v>
      </c>
      <c r="BN31" s="438">
        <v>0</v>
      </c>
      <c r="BO31" s="438">
        <v>0</v>
      </c>
      <c r="BP31" s="438">
        <v>0</v>
      </c>
      <c r="BQ31" s="437">
        <v>5392</v>
      </c>
      <c r="BR31" s="438">
        <v>1</v>
      </c>
      <c r="BS31" s="438">
        <v>0</v>
      </c>
      <c r="BT31" s="438">
        <v>0</v>
      </c>
      <c r="BU31" s="438">
        <v>0</v>
      </c>
      <c r="BV31" s="438">
        <v>0</v>
      </c>
      <c r="BW31" s="438">
        <v>0</v>
      </c>
      <c r="BX31" s="438">
        <v>0</v>
      </c>
      <c r="BY31" s="438">
        <v>0</v>
      </c>
      <c r="BZ31" s="438">
        <v>0</v>
      </c>
      <c r="CA31" s="438">
        <v>0</v>
      </c>
      <c r="CB31" s="438">
        <v>0</v>
      </c>
      <c r="CC31" s="438">
        <v>0</v>
      </c>
      <c r="CG31" s="438">
        <v>0</v>
      </c>
      <c r="CH31" s="438">
        <v>14500</v>
      </c>
      <c r="CI31" s="438">
        <v>0</v>
      </c>
      <c r="CJ31" s="438">
        <v>4</v>
      </c>
      <c r="CK31" s="438">
        <v>0</v>
      </c>
      <c r="CL31" s="438">
        <v>0</v>
      </c>
      <c r="CN31" s="438">
        <v>0</v>
      </c>
      <c r="CO31" s="438">
        <v>1</v>
      </c>
      <c r="CP31" s="438">
        <v>0</v>
      </c>
      <c r="CQ31" s="438">
        <v>0</v>
      </c>
      <c r="CR31" s="438">
        <v>1791.308</v>
      </c>
      <c r="CS31" s="438">
        <v>0</v>
      </c>
      <c r="CT31" s="438">
        <v>0</v>
      </c>
      <c r="CU31" s="438">
        <v>0</v>
      </c>
      <c r="CV31" s="438">
        <v>0</v>
      </c>
      <c r="CW31" s="438">
        <v>0</v>
      </c>
      <c r="CX31" s="438">
        <v>0</v>
      </c>
      <c r="CY31" s="438">
        <v>0</v>
      </c>
      <c r="CZ31" s="438">
        <v>0</v>
      </c>
      <c r="DA31" s="438">
        <v>1</v>
      </c>
      <c r="DB31" s="438">
        <v>11170968</v>
      </c>
      <c r="DC31" s="438">
        <v>0</v>
      </c>
      <c r="DD31" s="438">
        <v>29</v>
      </c>
      <c r="DE31" s="438">
        <v>1368350</v>
      </c>
      <c r="DF31" s="438">
        <v>1368350</v>
      </c>
      <c r="DG31" s="438">
        <v>1045.5</v>
      </c>
      <c r="DH31" s="438">
        <v>0</v>
      </c>
      <c r="DI31" s="438">
        <v>0</v>
      </c>
      <c r="DK31" s="437">
        <v>5392</v>
      </c>
      <c r="DL31" s="438">
        <v>0</v>
      </c>
      <c r="DM31" s="438">
        <v>919094</v>
      </c>
      <c r="DN31" s="438">
        <v>0</v>
      </c>
      <c r="DO31" s="438">
        <v>0</v>
      </c>
      <c r="DP31" s="438">
        <v>0</v>
      </c>
      <c r="DQ31" s="438">
        <v>0</v>
      </c>
      <c r="DR31" s="438">
        <v>0</v>
      </c>
      <c r="DS31" s="438">
        <v>0</v>
      </c>
      <c r="DT31" s="438">
        <v>0</v>
      </c>
      <c r="DU31" s="438">
        <v>0</v>
      </c>
      <c r="DV31" s="438">
        <v>0</v>
      </c>
      <c r="DW31" s="438">
        <v>0</v>
      </c>
      <c r="DX31" s="438">
        <v>0</v>
      </c>
      <c r="DY31" s="438">
        <v>0</v>
      </c>
      <c r="DZ31" s="438">
        <v>0</v>
      </c>
      <c r="EA31" s="438">
        <v>0</v>
      </c>
      <c r="EB31" s="438">
        <v>0</v>
      </c>
      <c r="EC31" s="438">
        <v>46.473999999999997</v>
      </c>
      <c r="ED31" s="438">
        <v>334538</v>
      </c>
      <c r="EE31" s="438">
        <v>0</v>
      </c>
      <c r="EF31" s="438">
        <v>0</v>
      </c>
      <c r="EG31" s="438">
        <v>0</v>
      </c>
      <c r="EH31" s="438">
        <v>584556</v>
      </c>
      <c r="EI31" s="438">
        <v>0</v>
      </c>
      <c r="EJ31" s="438">
        <v>0</v>
      </c>
      <c r="EK31" s="438">
        <v>23.472999999999999</v>
      </c>
      <c r="EL31" s="438">
        <v>0</v>
      </c>
      <c r="EM31" s="438">
        <v>2.581</v>
      </c>
      <c r="EN31" s="438">
        <v>2.2330000000000001</v>
      </c>
      <c r="EO31" s="438">
        <v>0</v>
      </c>
      <c r="EP31" s="438">
        <v>0</v>
      </c>
      <c r="EQ31" s="438">
        <v>28.286999999999999</v>
      </c>
      <c r="ER31" s="438">
        <v>0</v>
      </c>
      <c r="ES31" s="438">
        <v>89.326999999999998</v>
      </c>
      <c r="ET31" s="438">
        <v>14500</v>
      </c>
      <c r="EU31" s="438">
        <v>526843</v>
      </c>
      <c r="EV31" s="438">
        <v>0</v>
      </c>
      <c r="EW31" s="438">
        <v>0</v>
      </c>
      <c r="EX31" s="438">
        <v>0</v>
      </c>
      <c r="EZ31" s="438">
        <v>13750938</v>
      </c>
      <c r="FA31" s="438">
        <v>0</v>
      </c>
      <c r="FB31" s="438">
        <v>14277781</v>
      </c>
      <c r="FC31" s="438">
        <v>0.97334900000000002</v>
      </c>
      <c r="FD31" s="438">
        <v>0</v>
      </c>
      <c r="FE31" s="438">
        <v>1987083</v>
      </c>
      <c r="FF31" s="438">
        <v>452900</v>
      </c>
      <c r="FG31" s="437">
        <v>5.7854999999999997E-2</v>
      </c>
      <c r="FH31" s="437">
        <v>5.2366000000000003E-2</v>
      </c>
      <c r="FI31" s="438">
        <v>0</v>
      </c>
      <c r="FJ31" s="438">
        <v>0</v>
      </c>
      <c r="FK31" s="438">
        <v>2706.9609999999998</v>
      </c>
      <c r="FL31" s="438">
        <v>16732264</v>
      </c>
      <c r="FM31" s="438">
        <v>0</v>
      </c>
      <c r="FN31" s="438">
        <v>0</v>
      </c>
      <c r="FO31" s="438">
        <v>0</v>
      </c>
      <c r="FP31" s="438">
        <v>0</v>
      </c>
      <c r="FQ31" s="438">
        <v>0</v>
      </c>
      <c r="FR31" s="438">
        <v>0</v>
      </c>
      <c r="FS31" s="438">
        <v>0</v>
      </c>
      <c r="FT31" s="438">
        <v>0</v>
      </c>
      <c r="FU31" s="438">
        <v>0</v>
      </c>
      <c r="FV31" s="438">
        <v>0</v>
      </c>
      <c r="FW31" s="438">
        <v>0</v>
      </c>
      <c r="FX31" s="438">
        <v>0</v>
      </c>
      <c r="FY31" s="438">
        <v>0</v>
      </c>
      <c r="FZ31" s="438">
        <v>0</v>
      </c>
      <c r="GA31" s="438">
        <v>0</v>
      </c>
      <c r="GB31" s="438">
        <v>494426</v>
      </c>
      <c r="GC31" s="438">
        <v>494426</v>
      </c>
      <c r="GD31" s="438">
        <v>55.966000000000001</v>
      </c>
      <c r="GF31" s="438">
        <v>0</v>
      </c>
      <c r="GG31" s="438">
        <v>0</v>
      </c>
      <c r="GH31" s="438">
        <v>0</v>
      </c>
      <c r="GI31" s="438">
        <v>0</v>
      </c>
      <c r="GJ31" s="438">
        <v>0</v>
      </c>
      <c r="GK31" s="438">
        <v>4795.4549999999999</v>
      </c>
      <c r="GL31" s="438">
        <v>11067</v>
      </c>
      <c r="GM31" s="438">
        <v>0</v>
      </c>
      <c r="GN31" s="438">
        <v>0</v>
      </c>
      <c r="GO31" s="438">
        <v>0</v>
      </c>
      <c r="GP31" s="438">
        <v>16717764</v>
      </c>
      <c r="GQ31" s="438">
        <v>16717764</v>
      </c>
      <c r="GR31" s="438">
        <v>0</v>
      </c>
      <c r="GS31" s="438">
        <v>0</v>
      </c>
      <c r="GT31" s="438">
        <v>0</v>
      </c>
      <c r="HB31" s="438">
        <v>0</v>
      </c>
      <c r="HC31" s="437">
        <v>6.0754000000000002E-2</v>
      </c>
      <c r="HD31" s="438">
        <v>0</v>
      </c>
    </row>
    <row r="32" spans="1:212" x14ac:dyDescent="0.2">
      <c r="A32" s="438">
        <v>25836</v>
      </c>
      <c r="B32" s="442">
        <v>15828</v>
      </c>
      <c r="C32" s="438">
        <v>9</v>
      </c>
      <c r="D32" s="438">
        <v>2020</v>
      </c>
      <c r="E32" s="438">
        <v>5392</v>
      </c>
      <c r="F32" s="438">
        <v>0</v>
      </c>
      <c r="G32" s="438">
        <v>4223.1940000000004</v>
      </c>
      <c r="H32" s="438">
        <v>3862.8609999999999</v>
      </c>
      <c r="I32" s="438">
        <v>3862.8609999999999</v>
      </c>
      <c r="J32" s="438">
        <v>4223.1940000000004</v>
      </c>
      <c r="K32" s="438">
        <v>0</v>
      </c>
      <c r="L32" s="437">
        <v>6544</v>
      </c>
      <c r="M32" s="438">
        <v>0</v>
      </c>
      <c r="N32" s="438">
        <v>0</v>
      </c>
      <c r="P32" s="438">
        <v>4236.1559999999999</v>
      </c>
      <c r="Q32" s="438">
        <v>0</v>
      </c>
      <c r="R32" s="438">
        <v>1048817</v>
      </c>
      <c r="S32" s="437">
        <v>247.58699999999999</v>
      </c>
      <c r="U32" s="438">
        <v>0</v>
      </c>
      <c r="V32" s="438">
        <v>1221.67</v>
      </c>
      <c r="W32" s="438">
        <v>799461</v>
      </c>
      <c r="X32" s="438">
        <v>799461</v>
      </c>
      <c r="Z32" s="438">
        <v>0</v>
      </c>
      <c r="AA32" s="438">
        <v>1</v>
      </c>
      <c r="AB32" s="438">
        <v>1</v>
      </c>
      <c r="AC32" s="438">
        <v>0</v>
      </c>
      <c r="AD32" s="438" t="s">
        <v>332</v>
      </c>
      <c r="AE32" s="438">
        <v>0</v>
      </c>
      <c r="AH32" s="438">
        <v>0</v>
      </c>
      <c r="AI32" s="438">
        <v>0</v>
      </c>
      <c r="AJ32" s="437">
        <v>5105</v>
      </c>
      <c r="AK32" s="438" t="s">
        <v>561</v>
      </c>
      <c r="AL32" s="438" t="s">
        <v>17</v>
      </c>
      <c r="AM32" s="438">
        <v>0</v>
      </c>
      <c r="AN32" s="438">
        <v>0</v>
      </c>
      <c r="AO32" s="438">
        <v>0</v>
      </c>
      <c r="AP32" s="438">
        <v>0</v>
      </c>
      <c r="AQ32" s="438">
        <v>0</v>
      </c>
      <c r="AR32" s="438">
        <v>0</v>
      </c>
      <c r="AS32" s="438">
        <v>0</v>
      </c>
      <c r="AT32" s="438">
        <v>0</v>
      </c>
      <c r="AU32" s="438">
        <v>0</v>
      </c>
      <c r="AV32" s="438">
        <v>0</v>
      </c>
      <c r="AW32" s="438">
        <v>41208757</v>
      </c>
      <c r="AX32" s="438">
        <v>40869299</v>
      </c>
      <c r="AY32" s="438">
        <v>0</v>
      </c>
      <c r="AZ32" s="438">
        <v>1339275</v>
      </c>
      <c r="BA32" s="438">
        <v>98</v>
      </c>
      <c r="BB32" s="438">
        <v>165694</v>
      </c>
      <c r="BC32" s="438">
        <v>165694</v>
      </c>
      <c r="BD32" s="438">
        <v>211</v>
      </c>
      <c r="BE32" s="438">
        <v>0</v>
      </c>
      <c r="BF32" s="438">
        <v>34816839</v>
      </c>
      <c r="BG32" s="438">
        <v>0</v>
      </c>
      <c r="BH32" s="438">
        <v>1056.212</v>
      </c>
      <c r="BI32" s="438">
        <v>290458</v>
      </c>
      <c r="BJ32" s="438">
        <v>12</v>
      </c>
      <c r="BK32" s="438">
        <v>0</v>
      </c>
      <c r="BL32" s="438">
        <v>0</v>
      </c>
      <c r="BM32" s="438">
        <v>0</v>
      </c>
      <c r="BN32" s="438">
        <v>0</v>
      </c>
      <c r="BO32" s="438">
        <v>0</v>
      </c>
      <c r="BP32" s="438">
        <v>0</v>
      </c>
      <c r="BQ32" s="437">
        <v>5392</v>
      </c>
      <c r="BR32" s="438">
        <v>1</v>
      </c>
      <c r="BS32" s="438">
        <v>0</v>
      </c>
      <c r="BT32" s="438">
        <v>0</v>
      </c>
      <c r="BU32" s="438">
        <v>0</v>
      </c>
      <c r="BV32" s="438">
        <v>0</v>
      </c>
      <c r="BW32" s="438">
        <v>0</v>
      </c>
      <c r="BX32" s="438">
        <v>0</v>
      </c>
      <c r="BY32" s="438">
        <v>0</v>
      </c>
      <c r="BZ32" s="438">
        <v>0</v>
      </c>
      <c r="CA32" s="438">
        <v>0</v>
      </c>
      <c r="CB32" s="438">
        <v>0</v>
      </c>
      <c r="CC32" s="438">
        <v>0</v>
      </c>
      <c r="CG32" s="438">
        <v>0</v>
      </c>
      <c r="CH32" s="438">
        <v>49000</v>
      </c>
      <c r="CI32" s="438">
        <v>0</v>
      </c>
      <c r="CJ32" s="438">
        <v>4</v>
      </c>
      <c r="CK32" s="438">
        <v>0</v>
      </c>
      <c r="CL32" s="438">
        <v>0</v>
      </c>
      <c r="CN32" s="438">
        <v>0</v>
      </c>
      <c r="CO32" s="438">
        <v>1</v>
      </c>
      <c r="CP32" s="438">
        <v>0</v>
      </c>
      <c r="CQ32" s="438">
        <v>0</v>
      </c>
      <c r="CR32" s="438">
        <v>4223.1940000000004</v>
      </c>
      <c r="CS32" s="438">
        <v>0</v>
      </c>
      <c r="CT32" s="438">
        <v>0</v>
      </c>
      <c r="CU32" s="438">
        <v>0</v>
      </c>
      <c r="CV32" s="438">
        <v>0</v>
      </c>
      <c r="CW32" s="438">
        <v>0</v>
      </c>
      <c r="CX32" s="438">
        <v>0</v>
      </c>
      <c r="CY32" s="438">
        <v>0</v>
      </c>
      <c r="CZ32" s="438">
        <v>0</v>
      </c>
      <c r="DA32" s="438">
        <v>1</v>
      </c>
      <c r="DB32" s="438">
        <v>25278562</v>
      </c>
      <c r="DC32" s="438">
        <v>0</v>
      </c>
      <c r="DD32" s="438">
        <v>98</v>
      </c>
      <c r="DE32" s="438">
        <v>4587998</v>
      </c>
      <c r="DF32" s="438">
        <v>4587998</v>
      </c>
      <c r="DG32" s="438">
        <v>3505.5</v>
      </c>
      <c r="DH32" s="438">
        <v>0</v>
      </c>
      <c r="DI32" s="438">
        <v>0</v>
      </c>
      <c r="DK32" s="437">
        <v>5392</v>
      </c>
      <c r="DL32" s="438">
        <v>0</v>
      </c>
      <c r="DM32" s="438">
        <v>2846840</v>
      </c>
      <c r="DN32" s="438">
        <v>0</v>
      </c>
      <c r="DO32" s="438">
        <v>0</v>
      </c>
      <c r="DP32" s="438">
        <v>0</v>
      </c>
      <c r="DQ32" s="438">
        <v>0</v>
      </c>
      <c r="DR32" s="438">
        <v>0</v>
      </c>
      <c r="DS32" s="438">
        <v>0</v>
      </c>
      <c r="DT32" s="438">
        <v>0</v>
      </c>
      <c r="DU32" s="438">
        <v>0</v>
      </c>
      <c r="DV32" s="438">
        <v>0</v>
      </c>
      <c r="DW32" s="438">
        <v>0</v>
      </c>
      <c r="DX32" s="438">
        <v>0</v>
      </c>
      <c r="DY32" s="438">
        <v>0</v>
      </c>
      <c r="DZ32" s="438">
        <v>0</v>
      </c>
      <c r="EA32" s="438">
        <v>0.27100000000000002</v>
      </c>
      <c r="EB32" s="438">
        <v>0</v>
      </c>
      <c r="EC32" s="438">
        <v>47.695999999999998</v>
      </c>
      <c r="ED32" s="438">
        <v>343335</v>
      </c>
      <c r="EE32" s="438">
        <v>0</v>
      </c>
      <c r="EF32" s="438">
        <v>0</v>
      </c>
      <c r="EG32" s="438">
        <v>0</v>
      </c>
      <c r="EH32" s="438">
        <v>2503505</v>
      </c>
      <c r="EI32" s="438">
        <v>0</v>
      </c>
      <c r="EJ32" s="438">
        <v>0</v>
      </c>
      <c r="EK32" s="438">
        <v>99.412999999999997</v>
      </c>
      <c r="EL32" s="438">
        <v>0</v>
      </c>
      <c r="EM32" s="438">
        <v>18.251999999999999</v>
      </c>
      <c r="EN32" s="438">
        <v>5.6429999999999998</v>
      </c>
      <c r="EO32" s="438">
        <v>0</v>
      </c>
      <c r="EP32" s="438">
        <v>0</v>
      </c>
      <c r="EQ32" s="438">
        <v>123.57899999999999</v>
      </c>
      <c r="ER32" s="438">
        <v>0</v>
      </c>
      <c r="ES32" s="438">
        <v>382.565</v>
      </c>
      <c r="ET32" s="438">
        <v>49000</v>
      </c>
      <c r="EU32" s="438">
        <v>1339275</v>
      </c>
      <c r="EV32" s="438">
        <v>0</v>
      </c>
      <c r="EW32" s="438">
        <v>0</v>
      </c>
      <c r="EX32" s="438">
        <v>0</v>
      </c>
      <c r="EZ32" s="438">
        <v>34721318</v>
      </c>
      <c r="FA32" s="438">
        <v>0</v>
      </c>
      <c r="FB32" s="438">
        <v>36060593</v>
      </c>
      <c r="FC32" s="438">
        <v>0.97334900000000002</v>
      </c>
      <c r="FD32" s="438">
        <v>0</v>
      </c>
      <c r="FE32" s="438">
        <v>5006817</v>
      </c>
      <c r="FF32" s="438">
        <v>1141164</v>
      </c>
      <c r="FG32" s="437">
        <v>5.7854999999999997E-2</v>
      </c>
      <c r="FH32" s="437">
        <v>5.2366000000000003E-2</v>
      </c>
      <c r="FI32" s="438">
        <v>0</v>
      </c>
      <c r="FJ32" s="438">
        <v>0</v>
      </c>
      <c r="FK32" s="438">
        <v>6820.68</v>
      </c>
      <c r="FL32" s="438">
        <v>42257574</v>
      </c>
      <c r="FM32" s="438">
        <v>0</v>
      </c>
      <c r="FN32" s="438">
        <v>0</v>
      </c>
      <c r="FO32" s="438">
        <v>0</v>
      </c>
      <c r="FP32" s="438">
        <v>0</v>
      </c>
      <c r="FQ32" s="438">
        <v>0</v>
      </c>
      <c r="FR32" s="438">
        <v>0</v>
      </c>
      <c r="FS32" s="438">
        <v>0</v>
      </c>
      <c r="FT32" s="438">
        <v>0</v>
      </c>
      <c r="FU32" s="438">
        <v>0</v>
      </c>
      <c r="FV32" s="438">
        <v>0</v>
      </c>
      <c r="FW32" s="438">
        <v>0</v>
      </c>
      <c r="FX32" s="438">
        <v>0</v>
      </c>
      <c r="FY32" s="438">
        <v>0</v>
      </c>
      <c r="FZ32" s="438">
        <v>0</v>
      </c>
      <c r="GA32" s="438">
        <v>0</v>
      </c>
      <c r="GB32" s="438">
        <v>2091580</v>
      </c>
      <c r="GC32" s="438">
        <v>2091580</v>
      </c>
      <c r="GD32" s="438">
        <v>236.75399999999999</v>
      </c>
      <c r="GF32" s="438">
        <v>0</v>
      </c>
      <c r="GG32" s="438">
        <v>0</v>
      </c>
      <c r="GH32" s="438">
        <v>0</v>
      </c>
      <c r="GI32" s="438">
        <v>0</v>
      </c>
      <c r="GJ32" s="438">
        <v>0</v>
      </c>
      <c r="GK32" s="438">
        <v>4735.7960000000003</v>
      </c>
      <c r="GL32" s="438">
        <v>16634</v>
      </c>
      <c r="GM32" s="438">
        <v>0</v>
      </c>
      <c r="GN32" s="438">
        <v>0</v>
      </c>
      <c r="GO32" s="438">
        <v>0</v>
      </c>
      <c r="GP32" s="438">
        <v>42208574</v>
      </c>
      <c r="GQ32" s="438">
        <v>42208574</v>
      </c>
      <c r="GR32" s="438">
        <v>0</v>
      </c>
      <c r="GS32" s="438">
        <v>0</v>
      </c>
      <c r="GT32" s="438">
        <v>0</v>
      </c>
      <c r="HB32" s="438">
        <v>0</v>
      </c>
      <c r="HC32" s="437">
        <v>6.0754000000000002E-2</v>
      </c>
      <c r="HD32" s="438">
        <v>0</v>
      </c>
    </row>
    <row r="33" spans="1:212" x14ac:dyDescent="0.2">
      <c r="A33" s="438">
        <v>25836</v>
      </c>
      <c r="B33" s="442">
        <v>15831</v>
      </c>
      <c r="C33" s="438">
        <v>9</v>
      </c>
      <c r="D33" s="438">
        <v>2020</v>
      </c>
      <c r="E33" s="438">
        <v>5392</v>
      </c>
      <c r="F33" s="438">
        <v>0</v>
      </c>
      <c r="G33" s="438">
        <v>2277.808</v>
      </c>
      <c r="H33" s="438">
        <v>2202.0619999999999</v>
      </c>
      <c r="I33" s="438">
        <v>2202.0619999999999</v>
      </c>
      <c r="J33" s="438">
        <v>2277.808</v>
      </c>
      <c r="K33" s="438">
        <v>0</v>
      </c>
      <c r="L33" s="437">
        <v>6544</v>
      </c>
      <c r="M33" s="438">
        <v>0</v>
      </c>
      <c r="N33" s="438">
        <v>0</v>
      </c>
      <c r="P33" s="438">
        <v>2428.08</v>
      </c>
      <c r="Q33" s="438">
        <v>0</v>
      </c>
      <c r="R33" s="438">
        <v>601161</v>
      </c>
      <c r="S33" s="437">
        <v>247.58699999999999</v>
      </c>
      <c r="U33" s="438">
        <v>0</v>
      </c>
      <c r="V33" s="438">
        <v>249.297</v>
      </c>
      <c r="W33" s="438">
        <v>163140</v>
      </c>
      <c r="X33" s="438">
        <v>163140</v>
      </c>
      <c r="Z33" s="438">
        <v>0</v>
      </c>
      <c r="AA33" s="438">
        <v>1</v>
      </c>
      <c r="AB33" s="438">
        <v>1</v>
      </c>
      <c r="AC33" s="438">
        <v>0</v>
      </c>
      <c r="AD33" s="438" t="s">
        <v>332</v>
      </c>
      <c r="AE33" s="438">
        <v>0</v>
      </c>
      <c r="AH33" s="438">
        <v>0</v>
      </c>
      <c r="AI33" s="438">
        <v>0</v>
      </c>
      <c r="AJ33" s="437">
        <v>5105</v>
      </c>
      <c r="AK33" s="438" t="s">
        <v>561</v>
      </c>
      <c r="AL33" s="438" t="s">
        <v>334</v>
      </c>
      <c r="AM33" s="438">
        <v>0</v>
      </c>
      <c r="AN33" s="438">
        <v>0</v>
      </c>
      <c r="AO33" s="438">
        <v>0</v>
      </c>
      <c r="AP33" s="438">
        <v>0</v>
      </c>
      <c r="AQ33" s="438">
        <v>0</v>
      </c>
      <c r="AR33" s="438">
        <v>0</v>
      </c>
      <c r="AS33" s="438">
        <v>0</v>
      </c>
      <c r="AT33" s="438">
        <v>0</v>
      </c>
      <c r="AU33" s="438">
        <v>0</v>
      </c>
      <c r="AV33" s="438">
        <v>0</v>
      </c>
      <c r="AW33" s="438">
        <v>20558033</v>
      </c>
      <c r="AX33" s="438">
        <v>20507489</v>
      </c>
      <c r="AY33" s="438">
        <v>0</v>
      </c>
      <c r="AZ33" s="438">
        <v>635080</v>
      </c>
      <c r="BA33" s="438">
        <v>33.25</v>
      </c>
      <c r="BB33" s="438">
        <v>89436</v>
      </c>
      <c r="BC33" s="438">
        <v>89436</v>
      </c>
      <c r="BD33" s="438">
        <v>113.89</v>
      </c>
      <c r="BE33" s="438">
        <v>0</v>
      </c>
      <c r="BF33" s="438">
        <v>17532670</v>
      </c>
      <c r="BG33" s="438">
        <v>0</v>
      </c>
      <c r="BH33" s="438">
        <v>123.343</v>
      </c>
      <c r="BI33" s="438">
        <v>33919</v>
      </c>
      <c r="BJ33" s="438">
        <v>12</v>
      </c>
      <c r="BK33" s="438">
        <v>0</v>
      </c>
      <c r="BL33" s="438">
        <v>0</v>
      </c>
      <c r="BM33" s="438">
        <v>0</v>
      </c>
      <c r="BN33" s="438">
        <v>0</v>
      </c>
      <c r="BO33" s="438">
        <v>0</v>
      </c>
      <c r="BP33" s="438">
        <v>0</v>
      </c>
      <c r="BQ33" s="437">
        <v>5392</v>
      </c>
      <c r="BR33" s="438">
        <v>1</v>
      </c>
      <c r="BS33" s="438">
        <v>0</v>
      </c>
      <c r="BT33" s="438">
        <v>0</v>
      </c>
      <c r="BU33" s="438">
        <v>0</v>
      </c>
      <c r="BV33" s="438">
        <v>0</v>
      </c>
      <c r="BW33" s="438">
        <v>0</v>
      </c>
      <c r="BX33" s="438">
        <v>0</v>
      </c>
      <c r="BY33" s="438">
        <v>0</v>
      </c>
      <c r="BZ33" s="438">
        <v>0</v>
      </c>
      <c r="CA33" s="438">
        <v>0</v>
      </c>
      <c r="CB33" s="438">
        <v>0</v>
      </c>
      <c r="CC33" s="438">
        <v>0</v>
      </c>
      <c r="CG33" s="438">
        <v>0</v>
      </c>
      <c r="CH33" s="438">
        <v>16625</v>
      </c>
      <c r="CI33" s="438">
        <v>0</v>
      </c>
      <c r="CJ33" s="438">
        <v>4</v>
      </c>
      <c r="CK33" s="438">
        <v>0</v>
      </c>
      <c r="CL33" s="438">
        <v>0</v>
      </c>
      <c r="CN33" s="438">
        <v>0</v>
      </c>
      <c r="CO33" s="438">
        <v>1</v>
      </c>
      <c r="CP33" s="438">
        <v>0</v>
      </c>
      <c r="CQ33" s="438">
        <v>0</v>
      </c>
      <c r="CR33" s="438">
        <v>2277.808</v>
      </c>
      <c r="CS33" s="438">
        <v>0</v>
      </c>
      <c r="CT33" s="438">
        <v>0</v>
      </c>
      <c r="CU33" s="438">
        <v>0</v>
      </c>
      <c r="CV33" s="438">
        <v>0</v>
      </c>
      <c r="CW33" s="438">
        <v>0</v>
      </c>
      <c r="CX33" s="438">
        <v>0</v>
      </c>
      <c r="CY33" s="438">
        <v>0</v>
      </c>
      <c r="CZ33" s="438">
        <v>0</v>
      </c>
      <c r="DA33" s="438">
        <v>1</v>
      </c>
      <c r="DB33" s="438">
        <v>14410294</v>
      </c>
      <c r="DC33" s="438">
        <v>0</v>
      </c>
      <c r="DD33" s="438">
        <v>33.25</v>
      </c>
      <c r="DE33" s="438">
        <v>1776042</v>
      </c>
      <c r="DF33" s="438">
        <v>1776042</v>
      </c>
      <c r="DG33" s="438">
        <v>1357</v>
      </c>
      <c r="DH33" s="438">
        <v>0</v>
      </c>
      <c r="DI33" s="438">
        <v>0</v>
      </c>
      <c r="DK33" s="437">
        <v>5392</v>
      </c>
      <c r="DL33" s="438">
        <v>0</v>
      </c>
      <c r="DM33" s="438">
        <v>1322726</v>
      </c>
      <c r="DN33" s="438">
        <v>0</v>
      </c>
      <c r="DO33" s="438">
        <v>0</v>
      </c>
      <c r="DP33" s="438">
        <v>0</v>
      </c>
      <c r="DQ33" s="438">
        <v>0</v>
      </c>
      <c r="DR33" s="438">
        <v>0</v>
      </c>
      <c r="DS33" s="438">
        <v>0</v>
      </c>
      <c r="DT33" s="438">
        <v>0</v>
      </c>
      <c r="DU33" s="438">
        <v>0</v>
      </c>
      <c r="DV33" s="438">
        <v>0</v>
      </c>
      <c r="DW33" s="438">
        <v>0</v>
      </c>
      <c r="DX33" s="438">
        <v>0</v>
      </c>
      <c r="DY33" s="438">
        <v>0</v>
      </c>
      <c r="DZ33" s="438">
        <v>0</v>
      </c>
      <c r="EA33" s="438">
        <v>1.7000000000000001E-2</v>
      </c>
      <c r="EB33" s="438">
        <v>0</v>
      </c>
      <c r="EC33" s="438">
        <v>48.341000000000001</v>
      </c>
      <c r="ED33" s="438">
        <v>347978</v>
      </c>
      <c r="EE33" s="438">
        <v>0</v>
      </c>
      <c r="EF33" s="438">
        <v>0</v>
      </c>
      <c r="EG33" s="438">
        <v>0</v>
      </c>
      <c r="EH33" s="438">
        <v>974748</v>
      </c>
      <c r="EI33" s="438">
        <v>0</v>
      </c>
      <c r="EJ33" s="438">
        <v>0</v>
      </c>
      <c r="EK33" s="438">
        <v>39.728000000000002</v>
      </c>
      <c r="EL33" s="438">
        <v>0</v>
      </c>
      <c r="EM33" s="438">
        <v>4.1079999999999997</v>
      </c>
      <c r="EN33" s="438">
        <v>3.472</v>
      </c>
      <c r="EO33" s="438">
        <v>0</v>
      </c>
      <c r="EP33" s="438">
        <v>0</v>
      </c>
      <c r="EQ33" s="438">
        <v>47.325000000000003</v>
      </c>
      <c r="ER33" s="438">
        <v>0</v>
      </c>
      <c r="ES33" s="438">
        <v>148.953</v>
      </c>
      <c r="ET33" s="438">
        <v>16625</v>
      </c>
      <c r="EU33" s="438">
        <v>635080</v>
      </c>
      <c r="EV33" s="438">
        <v>0</v>
      </c>
      <c r="EW33" s="438">
        <v>0</v>
      </c>
      <c r="EX33" s="438">
        <v>0</v>
      </c>
      <c r="EZ33" s="438">
        <v>17411559</v>
      </c>
      <c r="FA33" s="438">
        <v>0</v>
      </c>
      <c r="FB33" s="438">
        <v>18046639</v>
      </c>
      <c r="FC33" s="438">
        <v>0.97334900000000002</v>
      </c>
      <c r="FD33" s="438">
        <v>0</v>
      </c>
      <c r="FE33" s="438">
        <v>2521276</v>
      </c>
      <c r="FF33" s="438">
        <v>574654</v>
      </c>
      <c r="FG33" s="437">
        <v>5.7854999999999997E-2</v>
      </c>
      <c r="FH33" s="437">
        <v>5.2366000000000003E-2</v>
      </c>
      <c r="FI33" s="438">
        <v>0</v>
      </c>
      <c r="FJ33" s="438">
        <v>0</v>
      </c>
      <c r="FK33" s="438">
        <v>3434.681</v>
      </c>
      <c r="FL33" s="438">
        <v>21159194</v>
      </c>
      <c r="FM33" s="438">
        <v>0</v>
      </c>
      <c r="FN33" s="438">
        <v>0</v>
      </c>
      <c r="FO33" s="438">
        <v>0</v>
      </c>
      <c r="FP33" s="438">
        <v>0</v>
      </c>
      <c r="FQ33" s="438">
        <v>0</v>
      </c>
      <c r="FR33" s="438">
        <v>0</v>
      </c>
      <c r="FS33" s="438">
        <v>0</v>
      </c>
      <c r="FT33" s="438">
        <v>0</v>
      </c>
      <c r="FU33" s="438">
        <v>0</v>
      </c>
      <c r="FV33" s="438">
        <v>0</v>
      </c>
      <c r="FW33" s="438">
        <v>0</v>
      </c>
      <c r="FX33" s="438">
        <v>0</v>
      </c>
      <c r="FY33" s="438">
        <v>0</v>
      </c>
      <c r="FZ33" s="438">
        <v>0</v>
      </c>
      <c r="GA33" s="438">
        <v>0</v>
      </c>
      <c r="GB33" s="438">
        <v>251082</v>
      </c>
      <c r="GC33" s="438">
        <v>251082</v>
      </c>
      <c r="GD33" s="438">
        <v>28.420999999999999</v>
      </c>
      <c r="GF33" s="438">
        <v>0</v>
      </c>
      <c r="GG33" s="438">
        <v>0</v>
      </c>
      <c r="GH33" s="438">
        <v>0</v>
      </c>
      <c r="GI33" s="438">
        <v>0</v>
      </c>
      <c r="GJ33" s="438">
        <v>0</v>
      </c>
      <c r="GK33" s="438">
        <v>4728.6379999999999</v>
      </c>
      <c r="GL33" s="438">
        <v>8207</v>
      </c>
      <c r="GM33" s="438">
        <v>0</v>
      </c>
      <c r="GN33" s="438">
        <v>0</v>
      </c>
      <c r="GO33" s="438">
        <v>0</v>
      </c>
      <c r="GP33" s="438">
        <v>21142569</v>
      </c>
      <c r="GQ33" s="438">
        <v>21142569</v>
      </c>
      <c r="GR33" s="438">
        <v>0</v>
      </c>
      <c r="GS33" s="438">
        <v>0</v>
      </c>
      <c r="GT33" s="438">
        <v>0</v>
      </c>
      <c r="HB33" s="438">
        <v>0</v>
      </c>
      <c r="HC33" s="437">
        <v>6.0754000000000002E-2</v>
      </c>
      <c r="HD33" s="438">
        <v>0</v>
      </c>
    </row>
    <row r="34" spans="1:212" x14ac:dyDescent="0.2">
      <c r="A34" s="438">
        <v>25836</v>
      </c>
      <c r="B34" s="442">
        <v>15833</v>
      </c>
      <c r="C34" s="438">
        <v>9</v>
      </c>
      <c r="D34" s="438">
        <v>2020</v>
      </c>
      <c r="E34" s="438">
        <v>5392</v>
      </c>
      <c r="F34" s="438">
        <v>0</v>
      </c>
      <c r="G34" s="438">
        <v>118.267</v>
      </c>
      <c r="H34" s="438">
        <v>91.805000000000007</v>
      </c>
      <c r="I34" s="438">
        <v>91.805000000000007</v>
      </c>
      <c r="J34" s="438">
        <v>118.267</v>
      </c>
      <c r="K34" s="438">
        <v>0</v>
      </c>
      <c r="L34" s="437">
        <v>6544</v>
      </c>
      <c r="M34" s="438">
        <v>0</v>
      </c>
      <c r="N34" s="438">
        <v>0</v>
      </c>
      <c r="P34" s="438">
        <v>118.91</v>
      </c>
      <c r="Q34" s="438">
        <v>0</v>
      </c>
      <c r="R34" s="438">
        <v>29441</v>
      </c>
      <c r="S34" s="437">
        <v>247.58699999999999</v>
      </c>
      <c r="U34" s="438">
        <v>0</v>
      </c>
      <c r="V34" s="438">
        <v>0.48799999999999999</v>
      </c>
      <c r="W34" s="438">
        <v>319</v>
      </c>
      <c r="X34" s="438">
        <v>319</v>
      </c>
      <c r="Z34" s="438">
        <v>0</v>
      </c>
      <c r="AA34" s="438">
        <v>1</v>
      </c>
      <c r="AB34" s="438">
        <v>1</v>
      </c>
      <c r="AC34" s="438">
        <v>0</v>
      </c>
      <c r="AD34" s="438" t="s">
        <v>332</v>
      </c>
      <c r="AE34" s="438">
        <v>0</v>
      </c>
      <c r="AH34" s="438">
        <v>0</v>
      </c>
      <c r="AI34" s="438">
        <v>0</v>
      </c>
      <c r="AJ34" s="437">
        <v>5105</v>
      </c>
      <c r="AK34" s="438" t="s">
        <v>561</v>
      </c>
      <c r="AL34" s="438" t="s">
        <v>101</v>
      </c>
      <c r="AM34" s="438">
        <v>0</v>
      </c>
      <c r="AN34" s="438">
        <v>0</v>
      </c>
      <c r="AO34" s="438">
        <v>0</v>
      </c>
      <c r="AP34" s="438">
        <v>0</v>
      </c>
      <c r="AQ34" s="438">
        <v>0</v>
      </c>
      <c r="AR34" s="438">
        <v>0</v>
      </c>
      <c r="AS34" s="438">
        <v>0</v>
      </c>
      <c r="AT34" s="438">
        <v>0</v>
      </c>
      <c r="AU34" s="438">
        <v>0</v>
      </c>
      <c r="AV34" s="438">
        <v>0</v>
      </c>
      <c r="AW34" s="438">
        <v>1150360</v>
      </c>
      <c r="AX34" s="438">
        <v>1117837</v>
      </c>
      <c r="AY34" s="438">
        <v>0</v>
      </c>
      <c r="AZ34" s="438">
        <v>61964</v>
      </c>
      <c r="BA34" s="438">
        <v>0</v>
      </c>
      <c r="BB34" s="438">
        <v>0</v>
      </c>
      <c r="BC34" s="438">
        <v>0</v>
      </c>
      <c r="BD34" s="438">
        <v>0</v>
      </c>
      <c r="BE34" s="438">
        <v>0</v>
      </c>
      <c r="BF34" s="438">
        <v>944792</v>
      </c>
      <c r="BG34" s="438">
        <v>0</v>
      </c>
      <c r="BH34" s="438">
        <v>184.09100000000001</v>
      </c>
      <c r="BI34" s="438">
        <v>32523</v>
      </c>
      <c r="BJ34" s="438">
        <v>12</v>
      </c>
      <c r="BK34" s="438">
        <v>0</v>
      </c>
      <c r="BL34" s="438">
        <v>0</v>
      </c>
      <c r="BM34" s="438">
        <v>0</v>
      </c>
      <c r="BN34" s="438">
        <v>0</v>
      </c>
      <c r="BO34" s="438">
        <v>0</v>
      </c>
      <c r="BP34" s="438">
        <v>0</v>
      </c>
      <c r="BQ34" s="437">
        <v>5392</v>
      </c>
      <c r="BR34" s="438">
        <v>1</v>
      </c>
      <c r="BS34" s="438">
        <v>0</v>
      </c>
      <c r="BT34" s="438">
        <v>0</v>
      </c>
      <c r="BU34" s="438">
        <v>0</v>
      </c>
      <c r="BV34" s="438">
        <v>0</v>
      </c>
      <c r="BW34" s="438">
        <v>0</v>
      </c>
      <c r="BX34" s="438">
        <v>0</v>
      </c>
      <c r="BY34" s="438">
        <v>0</v>
      </c>
      <c r="BZ34" s="438">
        <v>0</v>
      </c>
      <c r="CA34" s="438">
        <v>0</v>
      </c>
      <c r="CB34" s="438">
        <v>0</v>
      </c>
      <c r="CC34" s="438">
        <v>0</v>
      </c>
      <c r="CG34" s="438">
        <v>0</v>
      </c>
      <c r="CH34" s="438">
        <v>0</v>
      </c>
      <c r="CI34" s="438">
        <v>0</v>
      </c>
      <c r="CJ34" s="438">
        <v>4</v>
      </c>
      <c r="CK34" s="438">
        <v>0</v>
      </c>
      <c r="CL34" s="438">
        <v>0</v>
      </c>
      <c r="CN34" s="438">
        <v>0</v>
      </c>
      <c r="CO34" s="438">
        <v>1</v>
      </c>
      <c r="CP34" s="438">
        <v>0</v>
      </c>
      <c r="CQ34" s="438">
        <v>0</v>
      </c>
      <c r="CR34" s="438">
        <v>118.267</v>
      </c>
      <c r="CS34" s="438">
        <v>0</v>
      </c>
      <c r="CT34" s="438">
        <v>0</v>
      </c>
      <c r="CU34" s="438">
        <v>0</v>
      </c>
      <c r="CV34" s="438">
        <v>0</v>
      </c>
      <c r="CW34" s="438">
        <v>0</v>
      </c>
      <c r="CX34" s="438">
        <v>0</v>
      </c>
      <c r="CY34" s="438">
        <v>0</v>
      </c>
      <c r="CZ34" s="438">
        <v>0</v>
      </c>
      <c r="DA34" s="438">
        <v>1</v>
      </c>
      <c r="DB34" s="438">
        <v>600772</v>
      </c>
      <c r="DC34" s="438">
        <v>0</v>
      </c>
      <c r="DD34" s="438">
        <v>0</v>
      </c>
      <c r="DE34" s="438">
        <v>92925</v>
      </c>
      <c r="DF34" s="438">
        <v>92925</v>
      </c>
      <c r="DG34" s="438">
        <v>71</v>
      </c>
      <c r="DH34" s="438">
        <v>0</v>
      </c>
      <c r="DI34" s="438">
        <v>0</v>
      </c>
      <c r="DK34" s="437">
        <v>5392</v>
      </c>
      <c r="DL34" s="438">
        <v>0</v>
      </c>
      <c r="DM34" s="438">
        <v>61554</v>
      </c>
      <c r="DN34" s="438">
        <v>0</v>
      </c>
      <c r="DO34" s="438">
        <v>0</v>
      </c>
      <c r="DP34" s="438">
        <v>0</v>
      </c>
      <c r="DQ34" s="438">
        <v>0</v>
      </c>
      <c r="DR34" s="438">
        <v>0</v>
      </c>
      <c r="DS34" s="438">
        <v>0</v>
      </c>
      <c r="DT34" s="438">
        <v>0</v>
      </c>
      <c r="DU34" s="438">
        <v>0</v>
      </c>
      <c r="DV34" s="438">
        <v>0</v>
      </c>
      <c r="DW34" s="438">
        <v>0</v>
      </c>
      <c r="DX34" s="438">
        <v>0</v>
      </c>
      <c r="DY34" s="438">
        <v>0</v>
      </c>
      <c r="DZ34" s="438">
        <v>0</v>
      </c>
      <c r="EA34" s="438">
        <v>0</v>
      </c>
      <c r="EB34" s="438">
        <v>0</v>
      </c>
      <c r="EC34" s="438">
        <v>2.6629999999999998</v>
      </c>
      <c r="ED34" s="438">
        <v>19169</v>
      </c>
      <c r="EE34" s="438">
        <v>0</v>
      </c>
      <c r="EF34" s="438">
        <v>0</v>
      </c>
      <c r="EG34" s="438">
        <v>0</v>
      </c>
      <c r="EH34" s="438">
        <v>42385</v>
      </c>
      <c r="EI34" s="438">
        <v>0</v>
      </c>
      <c r="EJ34" s="438">
        <v>0</v>
      </c>
      <c r="EK34" s="438">
        <v>2.0489999999999999</v>
      </c>
      <c r="EL34" s="438">
        <v>0</v>
      </c>
      <c r="EM34" s="438">
        <v>0</v>
      </c>
      <c r="EN34" s="438">
        <v>6.6000000000000003E-2</v>
      </c>
      <c r="EO34" s="438">
        <v>0</v>
      </c>
      <c r="EP34" s="438">
        <v>0</v>
      </c>
      <c r="EQ34" s="438">
        <v>2.1150000000000002</v>
      </c>
      <c r="ER34" s="438">
        <v>0</v>
      </c>
      <c r="ES34" s="438">
        <v>6.4770000000000003</v>
      </c>
      <c r="ET34" s="438">
        <v>0</v>
      </c>
      <c r="EU34" s="438">
        <v>61964</v>
      </c>
      <c r="EV34" s="438">
        <v>0</v>
      </c>
      <c r="EW34" s="438">
        <v>0</v>
      </c>
      <c r="EX34" s="438">
        <v>0</v>
      </c>
      <c r="EZ34" s="438">
        <v>951005</v>
      </c>
      <c r="FA34" s="438">
        <v>0</v>
      </c>
      <c r="FB34" s="438">
        <v>1012969</v>
      </c>
      <c r="FC34" s="438">
        <v>0.97334900000000002</v>
      </c>
      <c r="FD34" s="438">
        <v>0</v>
      </c>
      <c r="FE34" s="438">
        <v>135865</v>
      </c>
      <c r="FF34" s="438">
        <v>30967</v>
      </c>
      <c r="FG34" s="437">
        <v>5.7854999999999997E-2</v>
      </c>
      <c r="FH34" s="437">
        <v>5.2366000000000003E-2</v>
      </c>
      <c r="FI34" s="438">
        <v>0</v>
      </c>
      <c r="FJ34" s="438">
        <v>0</v>
      </c>
      <c r="FK34" s="438">
        <v>185.08600000000001</v>
      </c>
      <c r="FL34" s="438">
        <v>1179801</v>
      </c>
      <c r="FM34" s="438">
        <v>0</v>
      </c>
      <c r="FN34" s="438">
        <v>0</v>
      </c>
      <c r="FO34" s="438">
        <v>9785</v>
      </c>
      <c r="FP34" s="438">
        <v>0</v>
      </c>
      <c r="FQ34" s="438">
        <v>9785</v>
      </c>
      <c r="FR34" s="438">
        <v>9785</v>
      </c>
      <c r="FS34" s="438">
        <v>0</v>
      </c>
      <c r="FT34" s="438">
        <v>0</v>
      </c>
      <c r="FU34" s="438">
        <v>0</v>
      </c>
      <c r="FV34" s="438">
        <v>0</v>
      </c>
      <c r="FW34" s="438">
        <v>0</v>
      </c>
      <c r="FX34" s="438">
        <v>0</v>
      </c>
      <c r="FY34" s="438">
        <v>0</v>
      </c>
      <c r="FZ34" s="438">
        <v>0</v>
      </c>
      <c r="GA34" s="438">
        <v>0</v>
      </c>
      <c r="GB34" s="438">
        <v>215091</v>
      </c>
      <c r="GC34" s="438">
        <v>215091</v>
      </c>
      <c r="GD34" s="438">
        <v>24.347000000000001</v>
      </c>
      <c r="GF34" s="438">
        <v>0</v>
      </c>
      <c r="GG34" s="438">
        <v>0</v>
      </c>
      <c r="GH34" s="438">
        <v>0</v>
      </c>
      <c r="GI34" s="438">
        <v>0</v>
      </c>
      <c r="GJ34" s="438">
        <v>0</v>
      </c>
      <c r="GK34" s="438">
        <v>4773.2240000000002</v>
      </c>
      <c r="GL34" s="438">
        <v>0</v>
      </c>
      <c r="GM34" s="438">
        <v>0</v>
      </c>
      <c r="GN34" s="438">
        <v>0</v>
      </c>
      <c r="GO34" s="438">
        <v>0</v>
      </c>
      <c r="GP34" s="438">
        <v>1179801</v>
      </c>
      <c r="GQ34" s="438">
        <v>1179801</v>
      </c>
      <c r="GR34" s="438">
        <v>0</v>
      </c>
      <c r="GS34" s="438">
        <v>0</v>
      </c>
      <c r="GT34" s="438">
        <v>0</v>
      </c>
      <c r="HB34" s="438">
        <v>0</v>
      </c>
      <c r="HC34" s="437">
        <v>6.0754000000000002E-2</v>
      </c>
      <c r="HD34" s="438">
        <v>0</v>
      </c>
    </row>
    <row r="35" spans="1:212" x14ac:dyDescent="0.2">
      <c r="A35" s="438">
        <v>25836</v>
      </c>
      <c r="B35" s="442">
        <v>15834</v>
      </c>
      <c r="C35" s="438">
        <v>9</v>
      </c>
      <c r="D35" s="438">
        <v>2020</v>
      </c>
      <c r="E35" s="438">
        <v>5392</v>
      </c>
      <c r="F35" s="438">
        <v>0</v>
      </c>
      <c r="G35" s="438">
        <v>2473.375</v>
      </c>
      <c r="H35" s="438">
        <v>2467.2849999999999</v>
      </c>
      <c r="I35" s="438">
        <v>2467.2849999999999</v>
      </c>
      <c r="J35" s="438">
        <v>2473.375</v>
      </c>
      <c r="K35" s="438">
        <v>0</v>
      </c>
      <c r="L35" s="437">
        <v>6544</v>
      </c>
      <c r="M35" s="438">
        <v>0</v>
      </c>
      <c r="N35" s="438">
        <v>0</v>
      </c>
      <c r="P35" s="438">
        <v>2469.5520000000001</v>
      </c>
      <c r="Q35" s="438">
        <v>0</v>
      </c>
      <c r="R35" s="438">
        <v>611429</v>
      </c>
      <c r="S35" s="437">
        <v>247.58699999999999</v>
      </c>
      <c r="U35" s="438">
        <v>0</v>
      </c>
      <c r="V35" s="438">
        <v>250.59</v>
      </c>
      <c r="W35" s="438">
        <v>163986</v>
      </c>
      <c r="X35" s="438">
        <v>163986</v>
      </c>
      <c r="Z35" s="438">
        <v>0</v>
      </c>
      <c r="AA35" s="438">
        <v>1</v>
      </c>
      <c r="AB35" s="438">
        <v>1</v>
      </c>
      <c r="AC35" s="438">
        <v>0</v>
      </c>
      <c r="AD35" s="438" t="s">
        <v>332</v>
      </c>
      <c r="AE35" s="438">
        <v>0</v>
      </c>
      <c r="AH35" s="438">
        <v>0</v>
      </c>
      <c r="AI35" s="438">
        <v>0</v>
      </c>
      <c r="AJ35" s="437">
        <v>5105</v>
      </c>
      <c r="AK35" s="438" t="s">
        <v>561</v>
      </c>
      <c r="AL35" s="438" t="s">
        <v>335</v>
      </c>
      <c r="AM35" s="438">
        <v>0</v>
      </c>
      <c r="AN35" s="438">
        <v>0</v>
      </c>
      <c r="AO35" s="438">
        <v>0</v>
      </c>
      <c r="AP35" s="438">
        <v>0</v>
      </c>
      <c r="AQ35" s="438">
        <v>0</v>
      </c>
      <c r="AR35" s="438">
        <v>0</v>
      </c>
      <c r="AS35" s="438">
        <v>0</v>
      </c>
      <c r="AT35" s="438">
        <v>0</v>
      </c>
      <c r="AU35" s="438">
        <v>0</v>
      </c>
      <c r="AV35" s="438">
        <v>0</v>
      </c>
      <c r="AW35" s="438">
        <v>18871957</v>
      </c>
      <c r="AX35" s="438">
        <v>18771637</v>
      </c>
      <c r="AY35" s="438">
        <v>0</v>
      </c>
      <c r="AZ35" s="438">
        <v>711749</v>
      </c>
      <c r="BA35" s="438">
        <v>0</v>
      </c>
      <c r="BB35" s="438">
        <v>0</v>
      </c>
      <c r="BC35" s="438">
        <v>0</v>
      </c>
      <c r="BD35" s="438">
        <v>0</v>
      </c>
      <c r="BE35" s="438">
        <v>0</v>
      </c>
      <c r="BF35" s="438">
        <v>16099414</v>
      </c>
      <c r="BG35" s="438">
        <v>0</v>
      </c>
      <c r="BH35" s="438">
        <v>364.8</v>
      </c>
      <c r="BI35" s="438">
        <v>100320</v>
      </c>
      <c r="BJ35" s="438">
        <v>12</v>
      </c>
      <c r="BK35" s="438">
        <v>0</v>
      </c>
      <c r="BL35" s="438">
        <v>0</v>
      </c>
      <c r="BM35" s="438">
        <v>0</v>
      </c>
      <c r="BN35" s="438">
        <v>0</v>
      </c>
      <c r="BO35" s="438">
        <v>0</v>
      </c>
      <c r="BP35" s="438">
        <v>0</v>
      </c>
      <c r="BQ35" s="437">
        <v>5392</v>
      </c>
      <c r="BR35" s="438">
        <v>1</v>
      </c>
      <c r="BS35" s="438">
        <v>0</v>
      </c>
      <c r="BT35" s="438">
        <v>0</v>
      </c>
      <c r="BU35" s="438">
        <v>0</v>
      </c>
      <c r="BV35" s="438">
        <v>0</v>
      </c>
      <c r="BW35" s="438">
        <v>0</v>
      </c>
      <c r="BX35" s="438">
        <v>0</v>
      </c>
      <c r="BY35" s="438">
        <v>0</v>
      </c>
      <c r="BZ35" s="438">
        <v>0</v>
      </c>
      <c r="CA35" s="438">
        <v>0</v>
      </c>
      <c r="CB35" s="438">
        <v>0</v>
      </c>
      <c r="CC35" s="438">
        <v>0</v>
      </c>
      <c r="CG35" s="438">
        <v>0</v>
      </c>
      <c r="CH35" s="438">
        <v>0</v>
      </c>
      <c r="CI35" s="438">
        <v>0</v>
      </c>
      <c r="CJ35" s="438">
        <v>5</v>
      </c>
      <c r="CK35" s="438">
        <v>0</v>
      </c>
      <c r="CL35" s="438">
        <v>0</v>
      </c>
      <c r="CN35" s="438">
        <v>0</v>
      </c>
      <c r="CO35" s="438">
        <v>1</v>
      </c>
      <c r="CP35" s="438">
        <v>0</v>
      </c>
      <c r="CQ35" s="438">
        <v>0</v>
      </c>
      <c r="CR35" s="438">
        <v>2473.375</v>
      </c>
      <c r="CS35" s="438">
        <v>0</v>
      </c>
      <c r="CT35" s="438">
        <v>0</v>
      </c>
      <c r="CU35" s="438">
        <v>0</v>
      </c>
      <c r="CV35" s="438">
        <v>0</v>
      </c>
      <c r="CW35" s="438">
        <v>0</v>
      </c>
      <c r="CX35" s="438">
        <v>0</v>
      </c>
      <c r="CY35" s="438">
        <v>0</v>
      </c>
      <c r="CZ35" s="438">
        <v>0</v>
      </c>
      <c r="DA35" s="438">
        <v>1</v>
      </c>
      <c r="DB35" s="438">
        <v>16145913</v>
      </c>
      <c r="DC35" s="438">
        <v>0</v>
      </c>
      <c r="DD35" s="438">
        <v>0</v>
      </c>
      <c r="DE35" s="438">
        <v>0</v>
      </c>
      <c r="DF35" s="438">
        <v>0</v>
      </c>
      <c r="DG35" s="438">
        <v>0</v>
      </c>
      <c r="DH35" s="438">
        <v>0</v>
      </c>
      <c r="DI35" s="438">
        <v>0</v>
      </c>
      <c r="DK35" s="437">
        <v>5392</v>
      </c>
      <c r="DL35" s="438">
        <v>0</v>
      </c>
      <c r="DM35" s="438">
        <v>230322</v>
      </c>
      <c r="DN35" s="438">
        <v>0</v>
      </c>
      <c r="DO35" s="438">
        <v>0</v>
      </c>
      <c r="DP35" s="438">
        <v>0</v>
      </c>
      <c r="DQ35" s="438">
        <v>0</v>
      </c>
      <c r="DR35" s="438">
        <v>0</v>
      </c>
      <c r="DS35" s="438">
        <v>0</v>
      </c>
      <c r="DT35" s="438">
        <v>0</v>
      </c>
      <c r="DU35" s="438">
        <v>0</v>
      </c>
      <c r="DV35" s="438">
        <v>0</v>
      </c>
      <c r="DW35" s="438">
        <v>0</v>
      </c>
      <c r="DX35" s="438">
        <v>0</v>
      </c>
      <c r="DY35" s="438">
        <v>0</v>
      </c>
      <c r="DZ35" s="438">
        <v>0</v>
      </c>
      <c r="EA35" s="438">
        <v>0</v>
      </c>
      <c r="EB35" s="438">
        <v>0</v>
      </c>
      <c r="EC35" s="438">
        <v>12.92</v>
      </c>
      <c r="ED35" s="438">
        <v>93003</v>
      </c>
      <c r="EE35" s="438">
        <v>0</v>
      </c>
      <c r="EF35" s="438">
        <v>0</v>
      </c>
      <c r="EG35" s="438">
        <v>0</v>
      </c>
      <c r="EH35" s="438">
        <v>137319</v>
      </c>
      <c r="EI35" s="438">
        <v>0</v>
      </c>
      <c r="EJ35" s="438">
        <v>0</v>
      </c>
      <c r="EK35" s="438">
        <v>4.7329999999999997</v>
      </c>
      <c r="EL35" s="438">
        <v>0</v>
      </c>
      <c r="EM35" s="438">
        <v>0</v>
      </c>
      <c r="EN35" s="438">
        <v>1.357</v>
      </c>
      <c r="EO35" s="438">
        <v>0</v>
      </c>
      <c r="EP35" s="438">
        <v>0</v>
      </c>
      <c r="EQ35" s="438">
        <v>6.09</v>
      </c>
      <c r="ER35" s="438">
        <v>0</v>
      </c>
      <c r="ES35" s="438">
        <v>20.984000000000002</v>
      </c>
      <c r="ET35" s="438">
        <v>0</v>
      </c>
      <c r="EU35" s="438">
        <v>711749</v>
      </c>
      <c r="EV35" s="438">
        <v>0</v>
      </c>
      <c r="EW35" s="438">
        <v>0</v>
      </c>
      <c r="EX35" s="438">
        <v>0</v>
      </c>
      <c r="EZ35" s="438">
        <v>15928792</v>
      </c>
      <c r="FA35" s="438">
        <v>0</v>
      </c>
      <c r="FB35" s="438">
        <v>16640541</v>
      </c>
      <c r="FC35" s="438">
        <v>0.97334900000000002</v>
      </c>
      <c r="FD35" s="438">
        <v>0</v>
      </c>
      <c r="FE35" s="438">
        <v>2315167</v>
      </c>
      <c r="FF35" s="438">
        <v>527678</v>
      </c>
      <c r="FG35" s="437">
        <v>5.7854999999999997E-2</v>
      </c>
      <c r="FH35" s="437">
        <v>5.2366000000000003E-2</v>
      </c>
      <c r="FI35" s="438">
        <v>0</v>
      </c>
      <c r="FJ35" s="438">
        <v>0</v>
      </c>
      <c r="FK35" s="438">
        <v>3153.9029999999998</v>
      </c>
      <c r="FL35" s="438">
        <v>19483386</v>
      </c>
      <c r="FM35" s="438">
        <v>0</v>
      </c>
      <c r="FN35" s="438">
        <v>0</v>
      </c>
      <c r="FO35" s="438">
        <v>0</v>
      </c>
      <c r="FP35" s="438">
        <v>0</v>
      </c>
      <c r="FQ35" s="438">
        <v>0</v>
      </c>
      <c r="FR35" s="438">
        <v>0</v>
      </c>
      <c r="FS35" s="438">
        <v>0</v>
      </c>
      <c r="FT35" s="438">
        <v>0</v>
      </c>
      <c r="FU35" s="438">
        <v>0</v>
      </c>
      <c r="FV35" s="438">
        <v>0</v>
      </c>
      <c r="FW35" s="438">
        <v>0</v>
      </c>
      <c r="FX35" s="438">
        <v>0</v>
      </c>
      <c r="FY35" s="438">
        <v>0</v>
      </c>
      <c r="FZ35" s="438">
        <v>0</v>
      </c>
      <c r="GA35" s="438">
        <v>0</v>
      </c>
      <c r="GB35" s="438">
        <v>0</v>
      </c>
      <c r="GC35" s="438">
        <v>0</v>
      </c>
      <c r="GD35" s="438">
        <v>0</v>
      </c>
      <c r="GF35" s="438">
        <v>0</v>
      </c>
      <c r="GG35" s="438">
        <v>0</v>
      </c>
      <c r="GH35" s="438">
        <v>0</v>
      </c>
      <c r="GI35" s="438">
        <v>0</v>
      </c>
      <c r="GJ35" s="438">
        <v>0</v>
      </c>
      <c r="GK35" s="438">
        <v>4604.6369999999997</v>
      </c>
      <c r="GL35" s="438">
        <v>0</v>
      </c>
      <c r="GM35" s="438">
        <v>0</v>
      </c>
      <c r="GN35" s="438">
        <v>1</v>
      </c>
      <c r="GO35" s="438">
        <v>0</v>
      </c>
      <c r="GP35" s="438">
        <v>19483386</v>
      </c>
      <c r="GQ35" s="438">
        <v>19483386</v>
      </c>
      <c r="GR35" s="438">
        <v>0</v>
      </c>
      <c r="GS35" s="438">
        <v>0</v>
      </c>
      <c r="GT35" s="438">
        <v>0</v>
      </c>
      <c r="HB35" s="438">
        <v>0</v>
      </c>
      <c r="HC35" s="437">
        <v>6.0754000000000002E-2</v>
      </c>
      <c r="HD35" s="438">
        <v>0</v>
      </c>
    </row>
    <row r="36" spans="1:212" x14ac:dyDescent="0.2">
      <c r="A36" s="438">
        <v>25836</v>
      </c>
      <c r="B36" s="442">
        <v>15835</v>
      </c>
      <c r="C36" s="438">
        <v>9</v>
      </c>
      <c r="D36" s="438">
        <v>2020</v>
      </c>
      <c r="E36" s="438">
        <v>5392</v>
      </c>
      <c r="F36" s="438">
        <v>0</v>
      </c>
      <c r="G36" s="438">
        <v>3437.7069999999999</v>
      </c>
      <c r="H36" s="438">
        <v>3382.4929999999999</v>
      </c>
      <c r="I36" s="438">
        <v>3382.4929999999999</v>
      </c>
      <c r="J36" s="438">
        <v>3437.7069999999999</v>
      </c>
      <c r="K36" s="438">
        <v>0</v>
      </c>
      <c r="L36" s="437">
        <v>6544</v>
      </c>
      <c r="M36" s="438">
        <v>0</v>
      </c>
      <c r="N36" s="438">
        <v>0</v>
      </c>
      <c r="P36" s="438">
        <v>3433.2570000000001</v>
      </c>
      <c r="Q36" s="438">
        <v>0</v>
      </c>
      <c r="R36" s="438">
        <v>850030</v>
      </c>
      <c r="S36" s="437">
        <v>247.58699999999999</v>
      </c>
      <c r="U36" s="438">
        <v>0</v>
      </c>
      <c r="V36" s="438">
        <v>144.36799999999999</v>
      </c>
      <c r="W36" s="438">
        <v>94474</v>
      </c>
      <c r="X36" s="438">
        <v>94474</v>
      </c>
      <c r="Z36" s="438">
        <v>0</v>
      </c>
      <c r="AA36" s="438">
        <v>1</v>
      </c>
      <c r="AB36" s="438">
        <v>1</v>
      </c>
      <c r="AC36" s="438">
        <v>0</v>
      </c>
      <c r="AD36" s="438" t="s">
        <v>332</v>
      </c>
      <c r="AE36" s="438">
        <v>0</v>
      </c>
      <c r="AH36" s="438">
        <v>0</v>
      </c>
      <c r="AI36" s="438">
        <v>0</v>
      </c>
      <c r="AJ36" s="437">
        <v>5105</v>
      </c>
      <c r="AK36" s="438" t="s">
        <v>561</v>
      </c>
      <c r="AL36" s="438" t="s">
        <v>336</v>
      </c>
      <c r="AM36" s="438">
        <v>0</v>
      </c>
      <c r="AN36" s="438">
        <v>0</v>
      </c>
      <c r="AO36" s="438">
        <v>0</v>
      </c>
      <c r="AP36" s="438">
        <v>0</v>
      </c>
      <c r="AQ36" s="438">
        <v>0</v>
      </c>
      <c r="AR36" s="438">
        <v>0</v>
      </c>
      <c r="AS36" s="438">
        <v>0</v>
      </c>
      <c r="AT36" s="438">
        <v>0</v>
      </c>
      <c r="AU36" s="438">
        <v>0</v>
      </c>
      <c r="AV36" s="438">
        <v>0</v>
      </c>
      <c r="AW36" s="438">
        <v>27724891</v>
      </c>
      <c r="AX36" s="438">
        <v>27609394</v>
      </c>
      <c r="AY36" s="438">
        <v>0</v>
      </c>
      <c r="AZ36" s="438">
        <v>965527</v>
      </c>
      <c r="BA36" s="438">
        <v>0</v>
      </c>
      <c r="BB36" s="438">
        <v>0</v>
      </c>
      <c r="BC36" s="438">
        <v>0</v>
      </c>
      <c r="BD36" s="438">
        <v>0</v>
      </c>
      <c r="BE36" s="438">
        <v>0</v>
      </c>
      <c r="BF36" s="438">
        <v>23638161</v>
      </c>
      <c r="BG36" s="438">
        <v>0</v>
      </c>
      <c r="BH36" s="438">
        <v>419.99</v>
      </c>
      <c r="BI36" s="438">
        <v>115497</v>
      </c>
      <c r="BJ36" s="438">
        <v>12</v>
      </c>
      <c r="BK36" s="438">
        <v>0</v>
      </c>
      <c r="BL36" s="438">
        <v>0</v>
      </c>
      <c r="BM36" s="438">
        <v>0</v>
      </c>
      <c r="BN36" s="438">
        <v>0</v>
      </c>
      <c r="BO36" s="438">
        <v>0</v>
      </c>
      <c r="BP36" s="438">
        <v>0</v>
      </c>
      <c r="BQ36" s="437">
        <v>5392</v>
      </c>
      <c r="BR36" s="438">
        <v>1</v>
      </c>
      <c r="BS36" s="438">
        <v>0</v>
      </c>
      <c r="BT36" s="438">
        <v>0</v>
      </c>
      <c r="BU36" s="438">
        <v>0</v>
      </c>
      <c r="BV36" s="438">
        <v>0</v>
      </c>
      <c r="BW36" s="438">
        <v>0</v>
      </c>
      <c r="BX36" s="438">
        <v>0</v>
      </c>
      <c r="BY36" s="438">
        <v>0</v>
      </c>
      <c r="BZ36" s="438">
        <v>0</v>
      </c>
      <c r="CA36" s="438">
        <v>0</v>
      </c>
      <c r="CB36" s="438">
        <v>0</v>
      </c>
      <c r="CC36" s="438">
        <v>0</v>
      </c>
      <c r="CG36" s="438">
        <v>0</v>
      </c>
      <c r="CH36" s="438">
        <v>0</v>
      </c>
      <c r="CI36" s="438">
        <v>0</v>
      </c>
      <c r="CJ36" s="438">
        <v>4</v>
      </c>
      <c r="CK36" s="438">
        <v>0</v>
      </c>
      <c r="CL36" s="438">
        <v>0</v>
      </c>
      <c r="CN36" s="438">
        <v>0</v>
      </c>
      <c r="CO36" s="438">
        <v>1</v>
      </c>
      <c r="CP36" s="438">
        <v>0</v>
      </c>
      <c r="CQ36" s="438">
        <v>0</v>
      </c>
      <c r="CR36" s="438">
        <v>3437.7069999999999</v>
      </c>
      <c r="CS36" s="438">
        <v>0</v>
      </c>
      <c r="CT36" s="438">
        <v>0</v>
      </c>
      <c r="CU36" s="438">
        <v>0</v>
      </c>
      <c r="CV36" s="438">
        <v>0</v>
      </c>
      <c r="CW36" s="438">
        <v>0</v>
      </c>
      <c r="CX36" s="438">
        <v>0</v>
      </c>
      <c r="CY36" s="438">
        <v>0</v>
      </c>
      <c r="CZ36" s="438">
        <v>0</v>
      </c>
      <c r="DA36" s="438">
        <v>1</v>
      </c>
      <c r="DB36" s="438">
        <v>22135034</v>
      </c>
      <c r="DC36" s="438">
        <v>0</v>
      </c>
      <c r="DD36" s="438">
        <v>0</v>
      </c>
      <c r="DE36" s="438">
        <v>700430</v>
      </c>
      <c r="DF36" s="438">
        <v>700430</v>
      </c>
      <c r="DG36" s="438">
        <v>535.16999999999996</v>
      </c>
      <c r="DH36" s="438">
        <v>0</v>
      </c>
      <c r="DI36" s="438">
        <v>0</v>
      </c>
      <c r="DK36" s="437">
        <v>5392</v>
      </c>
      <c r="DL36" s="438">
        <v>0</v>
      </c>
      <c r="DM36" s="438">
        <v>1355444</v>
      </c>
      <c r="DN36" s="438">
        <v>0</v>
      </c>
      <c r="DO36" s="438">
        <v>0</v>
      </c>
      <c r="DP36" s="438">
        <v>0</v>
      </c>
      <c r="DQ36" s="438">
        <v>0</v>
      </c>
      <c r="DR36" s="438">
        <v>0</v>
      </c>
      <c r="DS36" s="438">
        <v>0</v>
      </c>
      <c r="DT36" s="438">
        <v>0</v>
      </c>
      <c r="DU36" s="438">
        <v>0</v>
      </c>
      <c r="DV36" s="438">
        <v>0</v>
      </c>
      <c r="DW36" s="438">
        <v>0</v>
      </c>
      <c r="DX36" s="438">
        <v>0</v>
      </c>
      <c r="DY36" s="438">
        <v>0</v>
      </c>
      <c r="DZ36" s="438">
        <v>0</v>
      </c>
      <c r="EA36" s="438">
        <v>0</v>
      </c>
      <c r="EB36" s="438">
        <v>0</v>
      </c>
      <c r="EC36" s="438">
        <v>28.318000000000001</v>
      </c>
      <c r="ED36" s="438">
        <v>203844</v>
      </c>
      <c r="EE36" s="438">
        <v>0</v>
      </c>
      <c r="EF36" s="438">
        <v>0</v>
      </c>
      <c r="EG36" s="438">
        <v>0</v>
      </c>
      <c r="EH36" s="438">
        <v>1151600</v>
      </c>
      <c r="EI36" s="438">
        <v>0</v>
      </c>
      <c r="EJ36" s="438">
        <v>0</v>
      </c>
      <c r="EK36" s="438">
        <v>43.302999999999997</v>
      </c>
      <c r="EL36" s="438">
        <v>0</v>
      </c>
      <c r="EM36" s="438">
        <v>6.7430000000000003</v>
      </c>
      <c r="EN36" s="438">
        <v>5.1680000000000001</v>
      </c>
      <c r="EO36" s="438">
        <v>0</v>
      </c>
      <c r="EP36" s="438">
        <v>0</v>
      </c>
      <c r="EQ36" s="438">
        <v>55.213999999999999</v>
      </c>
      <c r="ER36" s="438">
        <v>0</v>
      </c>
      <c r="ES36" s="438">
        <v>175.97800000000001</v>
      </c>
      <c r="ET36" s="438">
        <v>0</v>
      </c>
      <c r="EU36" s="438">
        <v>965527</v>
      </c>
      <c r="EV36" s="438">
        <v>0</v>
      </c>
      <c r="EW36" s="438">
        <v>0</v>
      </c>
      <c r="EX36" s="438">
        <v>0</v>
      </c>
      <c r="EZ36" s="438">
        <v>23435352</v>
      </c>
      <c r="FA36" s="438">
        <v>0</v>
      </c>
      <c r="FB36" s="438">
        <v>24400879</v>
      </c>
      <c r="FC36" s="438">
        <v>0.97334900000000002</v>
      </c>
      <c r="FD36" s="438">
        <v>0</v>
      </c>
      <c r="FE36" s="438">
        <v>3399273</v>
      </c>
      <c r="FF36" s="438">
        <v>774769</v>
      </c>
      <c r="FG36" s="437">
        <v>5.7854999999999997E-2</v>
      </c>
      <c r="FH36" s="437">
        <v>5.2366000000000003E-2</v>
      </c>
      <c r="FI36" s="438">
        <v>0</v>
      </c>
      <c r="FJ36" s="438">
        <v>0</v>
      </c>
      <c r="FK36" s="438">
        <v>4630.7569999999996</v>
      </c>
      <c r="FL36" s="438">
        <v>28574921</v>
      </c>
      <c r="FM36" s="438">
        <v>0</v>
      </c>
      <c r="FN36" s="438">
        <v>0</v>
      </c>
      <c r="FO36" s="438">
        <v>0</v>
      </c>
      <c r="FP36" s="438">
        <v>0</v>
      </c>
      <c r="FQ36" s="438">
        <v>0</v>
      </c>
      <c r="FR36" s="438">
        <v>0</v>
      </c>
      <c r="FS36" s="438">
        <v>0</v>
      </c>
      <c r="FT36" s="438">
        <v>0</v>
      </c>
      <c r="FU36" s="438">
        <v>0</v>
      </c>
      <c r="FV36" s="438">
        <v>0</v>
      </c>
      <c r="FW36" s="438">
        <v>0</v>
      </c>
      <c r="FX36" s="438">
        <v>0</v>
      </c>
      <c r="FY36" s="438">
        <v>0</v>
      </c>
      <c r="FZ36" s="438">
        <v>0</v>
      </c>
      <c r="GA36" s="438">
        <v>0</v>
      </c>
      <c r="GB36" s="438">
        <v>0</v>
      </c>
      <c r="GC36" s="438">
        <v>0</v>
      </c>
      <c r="GD36" s="438">
        <v>0</v>
      </c>
      <c r="GF36" s="438">
        <v>0</v>
      </c>
      <c r="GG36" s="438">
        <v>0</v>
      </c>
      <c r="GH36" s="438">
        <v>0</v>
      </c>
      <c r="GI36" s="438">
        <v>0</v>
      </c>
      <c r="GJ36" s="438">
        <v>0</v>
      </c>
      <c r="GK36" s="438">
        <v>4604.6369999999997</v>
      </c>
      <c r="GL36" s="438">
        <v>0</v>
      </c>
      <c r="GM36" s="438">
        <v>0</v>
      </c>
      <c r="GN36" s="438">
        <v>0</v>
      </c>
      <c r="GO36" s="438">
        <v>0</v>
      </c>
      <c r="GP36" s="438">
        <v>28574921</v>
      </c>
      <c r="GQ36" s="438">
        <v>28574921</v>
      </c>
      <c r="GR36" s="438">
        <v>0</v>
      </c>
      <c r="GS36" s="438">
        <v>0</v>
      </c>
      <c r="GT36" s="438">
        <v>0</v>
      </c>
      <c r="HB36" s="438">
        <v>0</v>
      </c>
      <c r="HC36" s="437">
        <v>6.0754000000000002E-2</v>
      </c>
      <c r="HD36" s="438">
        <v>0</v>
      </c>
    </row>
    <row r="37" spans="1:212" x14ac:dyDescent="0.2">
      <c r="A37" s="438">
        <v>25836</v>
      </c>
      <c r="B37" s="442">
        <v>15836</v>
      </c>
      <c r="C37" s="438">
        <v>9</v>
      </c>
      <c r="D37" s="438">
        <v>2020</v>
      </c>
      <c r="E37" s="438">
        <v>5392</v>
      </c>
      <c r="F37" s="438">
        <v>0</v>
      </c>
      <c r="G37" s="438">
        <v>324.983</v>
      </c>
      <c r="H37" s="438">
        <v>317.55599999999998</v>
      </c>
      <c r="I37" s="438">
        <v>317.55599999999998</v>
      </c>
      <c r="J37" s="438">
        <v>324.983</v>
      </c>
      <c r="K37" s="438">
        <v>0</v>
      </c>
      <c r="L37" s="437">
        <v>6544</v>
      </c>
      <c r="M37" s="438">
        <v>0</v>
      </c>
      <c r="N37" s="438">
        <v>0</v>
      </c>
      <c r="P37" s="438">
        <v>324.64999999999998</v>
      </c>
      <c r="Q37" s="438">
        <v>0</v>
      </c>
      <c r="R37" s="438">
        <v>80379</v>
      </c>
      <c r="S37" s="437">
        <v>247.58699999999999</v>
      </c>
      <c r="U37" s="438">
        <v>0</v>
      </c>
      <c r="V37" s="438">
        <v>18.422000000000001</v>
      </c>
      <c r="W37" s="438">
        <v>12055</v>
      </c>
      <c r="X37" s="438">
        <v>12055</v>
      </c>
      <c r="Z37" s="438">
        <v>0</v>
      </c>
      <c r="AA37" s="438">
        <v>1</v>
      </c>
      <c r="AB37" s="438">
        <v>1</v>
      </c>
      <c r="AC37" s="438">
        <v>0</v>
      </c>
      <c r="AD37" s="438" t="s">
        <v>332</v>
      </c>
      <c r="AE37" s="438">
        <v>0</v>
      </c>
      <c r="AH37" s="438">
        <v>0</v>
      </c>
      <c r="AI37" s="438">
        <v>0</v>
      </c>
      <c r="AJ37" s="437">
        <v>5105</v>
      </c>
      <c r="AK37" s="438" t="s">
        <v>561</v>
      </c>
      <c r="AL37" s="438" t="s">
        <v>337</v>
      </c>
      <c r="AM37" s="438">
        <v>0</v>
      </c>
      <c r="AN37" s="438">
        <v>0</v>
      </c>
      <c r="AO37" s="438">
        <v>0</v>
      </c>
      <c r="AP37" s="438">
        <v>0</v>
      </c>
      <c r="AQ37" s="438">
        <v>0</v>
      </c>
      <c r="AR37" s="438">
        <v>0</v>
      </c>
      <c r="AS37" s="438">
        <v>0</v>
      </c>
      <c r="AT37" s="438">
        <v>0</v>
      </c>
      <c r="AU37" s="438">
        <v>0</v>
      </c>
      <c r="AV37" s="438">
        <v>0</v>
      </c>
      <c r="AW37" s="438">
        <v>2646079</v>
      </c>
      <c r="AX37" s="438">
        <v>2646079</v>
      </c>
      <c r="AY37" s="438">
        <v>0</v>
      </c>
      <c r="AZ37" s="438">
        <v>80379</v>
      </c>
      <c r="BA37" s="438">
        <v>0</v>
      </c>
      <c r="BB37" s="438">
        <v>0</v>
      </c>
      <c r="BC37" s="438">
        <v>0</v>
      </c>
      <c r="BD37" s="438">
        <v>0</v>
      </c>
      <c r="BE37" s="438">
        <v>0</v>
      </c>
      <c r="BF37" s="438">
        <v>2264573</v>
      </c>
      <c r="BG37" s="438">
        <v>0</v>
      </c>
      <c r="BH37" s="438">
        <v>0</v>
      </c>
      <c r="BI37" s="438">
        <v>0</v>
      </c>
      <c r="BJ37" s="438">
        <v>12</v>
      </c>
      <c r="BK37" s="438">
        <v>0</v>
      </c>
      <c r="BL37" s="438">
        <v>0</v>
      </c>
      <c r="BM37" s="438">
        <v>0</v>
      </c>
      <c r="BN37" s="438">
        <v>0</v>
      </c>
      <c r="BO37" s="438">
        <v>0</v>
      </c>
      <c r="BP37" s="438">
        <v>0</v>
      </c>
      <c r="BQ37" s="437">
        <v>5392</v>
      </c>
      <c r="BR37" s="438">
        <v>1</v>
      </c>
      <c r="BS37" s="438">
        <v>0</v>
      </c>
      <c r="BT37" s="438">
        <v>0</v>
      </c>
      <c r="BU37" s="438">
        <v>0</v>
      </c>
      <c r="BV37" s="438">
        <v>0</v>
      </c>
      <c r="BW37" s="438">
        <v>0</v>
      </c>
      <c r="BX37" s="438">
        <v>0</v>
      </c>
      <c r="BY37" s="438">
        <v>0</v>
      </c>
      <c r="BZ37" s="438">
        <v>0</v>
      </c>
      <c r="CA37" s="438">
        <v>0</v>
      </c>
      <c r="CB37" s="438">
        <v>0</v>
      </c>
      <c r="CC37" s="438">
        <v>0</v>
      </c>
      <c r="CG37" s="438">
        <v>0</v>
      </c>
      <c r="CH37" s="438">
        <v>0</v>
      </c>
      <c r="CI37" s="438">
        <v>0</v>
      </c>
      <c r="CJ37" s="438">
        <v>4</v>
      </c>
      <c r="CK37" s="438">
        <v>0</v>
      </c>
      <c r="CL37" s="438">
        <v>0</v>
      </c>
      <c r="CN37" s="438">
        <v>0</v>
      </c>
      <c r="CO37" s="438">
        <v>1</v>
      </c>
      <c r="CP37" s="438">
        <v>0</v>
      </c>
      <c r="CQ37" s="438">
        <v>0</v>
      </c>
      <c r="CR37" s="438">
        <v>324.983</v>
      </c>
      <c r="CS37" s="438">
        <v>0</v>
      </c>
      <c r="CT37" s="438">
        <v>0</v>
      </c>
      <c r="CU37" s="438">
        <v>0</v>
      </c>
      <c r="CV37" s="438">
        <v>0</v>
      </c>
      <c r="CW37" s="438">
        <v>0</v>
      </c>
      <c r="CX37" s="438">
        <v>0</v>
      </c>
      <c r="CY37" s="438">
        <v>0</v>
      </c>
      <c r="CZ37" s="438">
        <v>0</v>
      </c>
      <c r="DA37" s="438">
        <v>1</v>
      </c>
      <c r="DB37" s="438">
        <v>2078086</v>
      </c>
      <c r="DC37" s="438">
        <v>0</v>
      </c>
      <c r="DD37" s="438">
        <v>0</v>
      </c>
      <c r="DE37" s="438">
        <v>59328</v>
      </c>
      <c r="DF37" s="438">
        <v>59328</v>
      </c>
      <c r="DG37" s="438">
        <v>45.33</v>
      </c>
      <c r="DH37" s="438">
        <v>0</v>
      </c>
      <c r="DI37" s="438">
        <v>0</v>
      </c>
      <c r="DK37" s="437">
        <v>5392</v>
      </c>
      <c r="DL37" s="438">
        <v>0</v>
      </c>
      <c r="DM37" s="438">
        <v>177109</v>
      </c>
      <c r="DN37" s="438">
        <v>0</v>
      </c>
      <c r="DO37" s="438">
        <v>0</v>
      </c>
      <c r="DP37" s="438">
        <v>0</v>
      </c>
      <c r="DQ37" s="438">
        <v>0</v>
      </c>
      <c r="DR37" s="438">
        <v>0</v>
      </c>
      <c r="DS37" s="438">
        <v>0</v>
      </c>
      <c r="DT37" s="438">
        <v>0</v>
      </c>
      <c r="DU37" s="438">
        <v>0</v>
      </c>
      <c r="DV37" s="438">
        <v>0</v>
      </c>
      <c r="DW37" s="438">
        <v>0</v>
      </c>
      <c r="DX37" s="438">
        <v>0</v>
      </c>
      <c r="DY37" s="438">
        <v>0</v>
      </c>
      <c r="DZ37" s="438">
        <v>0</v>
      </c>
      <c r="EA37" s="438">
        <v>0</v>
      </c>
      <c r="EB37" s="438">
        <v>0</v>
      </c>
      <c r="EC37" s="438">
        <v>3.1230000000000002</v>
      </c>
      <c r="ED37" s="438">
        <v>22481</v>
      </c>
      <c r="EE37" s="438">
        <v>0</v>
      </c>
      <c r="EF37" s="438">
        <v>0</v>
      </c>
      <c r="EG37" s="438">
        <v>0</v>
      </c>
      <c r="EH37" s="438">
        <v>154628</v>
      </c>
      <c r="EI37" s="438">
        <v>0</v>
      </c>
      <c r="EJ37" s="438">
        <v>0</v>
      </c>
      <c r="EK37" s="438">
        <v>6.34</v>
      </c>
      <c r="EL37" s="438">
        <v>0</v>
      </c>
      <c r="EM37" s="438">
        <v>0.41299999999999998</v>
      </c>
      <c r="EN37" s="438">
        <v>0.67400000000000004</v>
      </c>
      <c r="EO37" s="438">
        <v>0</v>
      </c>
      <c r="EP37" s="438">
        <v>0</v>
      </c>
      <c r="EQ37" s="438">
        <v>7.4269999999999996</v>
      </c>
      <c r="ER37" s="438">
        <v>0</v>
      </c>
      <c r="ES37" s="438">
        <v>23.629000000000001</v>
      </c>
      <c r="ET37" s="438">
        <v>0</v>
      </c>
      <c r="EU37" s="438">
        <v>80379</v>
      </c>
      <c r="EV37" s="438">
        <v>0</v>
      </c>
      <c r="EW37" s="438">
        <v>0</v>
      </c>
      <c r="EX37" s="438">
        <v>0</v>
      </c>
      <c r="EZ37" s="438">
        <v>2246199</v>
      </c>
      <c r="FA37" s="438">
        <v>0</v>
      </c>
      <c r="FB37" s="438">
        <v>2326578</v>
      </c>
      <c r="FC37" s="438">
        <v>0.97334900000000002</v>
      </c>
      <c r="FD37" s="438">
        <v>0</v>
      </c>
      <c r="FE37" s="438">
        <v>325656</v>
      </c>
      <c r="FF37" s="438">
        <v>74224</v>
      </c>
      <c r="FG37" s="437">
        <v>5.7854999999999997E-2</v>
      </c>
      <c r="FH37" s="437">
        <v>5.2366000000000003E-2</v>
      </c>
      <c r="FI37" s="438">
        <v>0</v>
      </c>
      <c r="FJ37" s="438">
        <v>0</v>
      </c>
      <c r="FK37" s="438">
        <v>443.63400000000001</v>
      </c>
      <c r="FL37" s="438">
        <v>2726458</v>
      </c>
      <c r="FM37" s="438">
        <v>0</v>
      </c>
      <c r="FN37" s="438">
        <v>0</v>
      </c>
      <c r="FO37" s="438">
        <v>0</v>
      </c>
      <c r="FP37" s="438">
        <v>0</v>
      </c>
      <c r="FQ37" s="438">
        <v>0</v>
      </c>
      <c r="FR37" s="438">
        <v>0</v>
      </c>
      <c r="FS37" s="438">
        <v>0</v>
      </c>
      <c r="FT37" s="438">
        <v>0</v>
      </c>
      <c r="FU37" s="438">
        <v>0</v>
      </c>
      <c r="FV37" s="438">
        <v>0</v>
      </c>
      <c r="FW37" s="438">
        <v>0</v>
      </c>
      <c r="FX37" s="438">
        <v>0</v>
      </c>
      <c r="FY37" s="438">
        <v>0</v>
      </c>
      <c r="FZ37" s="438">
        <v>0</v>
      </c>
      <c r="GA37" s="438">
        <v>0</v>
      </c>
      <c r="GB37" s="438">
        <v>0</v>
      </c>
      <c r="GC37" s="438">
        <v>0</v>
      </c>
      <c r="GD37" s="438">
        <v>0</v>
      </c>
      <c r="GF37" s="438">
        <v>0</v>
      </c>
      <c r="GG37" s="438">
        <v>0</v>
      </c>
      <c r="GH37" s="438">
        <v>0</v>
      </c>
      <c r="GI37" s="438">
        <v>0</v>
      </c>
      <c r="GJ37" s="438">
        <v>0</v>
      </c>
      <c r="GK37" s="438">
        <v>4604.6369999999997</v>
      </c>
      <c r="GL37" s="438">
        <v>0</v>
      </c>
      <c r="GM37" s="438">
        <v>0</v>
      </c>
      <c r="GN37" s="438">
        <v>0</v>
      </c>
      <c r="GO37" s="438">
        <v>0</v>
      </c>
      <c r="GP37" s="438">
        <v>2726458</v>
      </c>
      <c r="GQ37" s="438">
        <v>2726458</v>
      </c>
      <c r="GR37" s="438">
        <v>0</v>
      </c>
      <c r="GS37" s="438">
        <v>0</v>
      </c>
      <c r="GT37" s="438">
        <v>0</v>
      </c>
      <c r="HB37" s="438">
        <v>0</v>
      </c>
      <c r="HC37" s="437">
        <v>6.0754000000000002E-2</v>
      </c>
      <c r="HD37" s="438">
        <v>0</v>
      </c>
    </row>
    <row r="38" spans="1:212" x14ac:dyDescent="0.2">
      <c r="A38" s="438">
        <v>25836</v>
      </c>
      <c r="B38" s="442">
        <v>15838</v>
      </c>
      <c r="C38" s="438">
        <v>9</v>
      </c>
      <c r="D38" s="438">
        <v>2020</v>
      </c>
      <c r="E38" s="438">
        <v>5392</v>
      </c>
      <c r="F38" s="438">
        <v>0</v>
      </c>
      <c r="G38" s="438">
        <v>174.79499999999999</v>
      </c>
      <c r="H38" s="438">
        <v>172.24799999999999</v>
      </c>
      <c r="I38" s="438">
        <v>172.24799999999999</v>
      </c>
      <c r="J38" s="438">
        <v>174.79499999999999</v>
      </c>
      <c r="K38" s="438">
        <v>0</v>
      </c>
      <c r="L38" s="437">
        <v>6544</v>
      </c>
      <c r="M38" s="438">
        <v>0</v>
      </c>
      <c r="N38" s="438">
        <v>0</v>
      </c>
      <c r="P38" s="438">
        <v>174.078</v>
      </c>
      <c r="Q38" s="438">
        <v>0</v>
      </c>
      <c r="R38" s="438">
        <v>43099</v>
      </c>
      <c r="S38" s="437">
        <v>247.58699999999999</v>
      </c>
      <c r="U38" s="438">
        <v>0</v>
      </c>
      <c r="V38" s="438">
        <v>16.968</v>
      </c>
      <c r="W38" s="438">
        <v>11104</v>
      </c>
      <c r="X38" s="438">
        <v>11104</v>
      </c>
      <c r="Z38" s="438">
        <v>0</v>
      </c>
      <c r="AA38" s="438">
        <v>1</v>
      </c>
      <c r="AB38" s="438">
        <v>1</v>
      </c>
      <c r="AC38" s="438">
        <v>0</v>
      </c>
      <c r="AD38" s="438" t="s">
        <v>332</v>
      </c>
      <c r="AE38" s="438">
        <v>0</v>
      </c>
      <c r="AH38" s="438">
        <v>0</v>
      </c>
      <c r="AI38" s="438">
        <v>0</v>
      </c>
      <c r="AJ38" s="437">
        <v>5105</v>
      </c>
      <c r="AK38" s="438" t="s">
        <v>561</v>
      </c>
      <c r="AL38" s="438" t="s">
        <v>468</v>
      </c>
      <c r="AM38" s="438">
        <v>0</v>
      </c>
      <c r="AN38" s="438">
        <v>0</v>
      </c>
      <c r="AO38" s="438">
        <v>0</v>
      </c>
      <c r="AP38" s="438">
        <v>0</v>
      </c>
      <c r="AQ38" s="438">
        <v>0</v>
      </c>
      <c r="AR38" s="438">
        <v>0</v>
      </c>
      <c r="AS38" s="438">
        <v>0</v>
      </c>
      <c r="AT38" s="438">
        <v>0</v>
      </c>
      <c r="AU38" s="438">
        <v>0</v>
      </c>
      <c r="AV38" s="438">
        <v>0</v>
      </c>
      <c r="AW38" s="438">
        <v>1443283</v>
      </c>
      <c r="AX38" s="438">
        <v>1443283</v>
      </c>
      <c r="AY38" s="438">
        <v>0</v>
      </c>
      <c r="AZ38" s="438">
        <v>43099</v>
      </c>
      <c r="BA38" s="438">
        <v>0</v>
      </c>
      <c r="BB38" s="438">
        <v>0</v>
      </c>
      <c r="BC38" s="438">
        <v>0</v>
      </c>
      <c r="BD38" s="438">
        <v>0</v>
      </c>
      <c r="BE38" s="438">
        <v>0</v>
      </c>
      <c r="BF38" s="438">
        <v>1234576</v>
      </c>
      <c r="BG38" s="438">
        <v>0</v>
      </c>
      <c r="BH38" s="438">
        <v>0</v>
      </c>
      <c r="BI38" s="438">
        <v>0</v>
      </c>
      <c r="BJ38" s="438">
        <v>12</v>
      </c>
      <c r="BK38" s="438">
        <v>0</v>
      </c>
      <c r="BL38" s="438">
        <v>0</v>
      </c>
      <c r="BM38" s="438">
        <v>0</v>
      </c>
      <c r="BN38" s="438">
        <v>0</v>
      </c>
      <c r="BO38" s="438">
        <v>0</v>
      </c>
      <c r="BP38" s="438">
        <v>0</v>
      </c>
      <c r="BQ38" s="437">
        <v>5392</v>
      </c>
      <c r="BR38" s="438">
        <v>1</v>
      </c>
      <c r="BS38" s="438">
        <v>0</v>
      </c>
      <c r="BT38" s="438">
        <v>0</v>
      </c>
      <c r="BU38" s="438">
        <v>0</v>
      </c>
      <c r="BV38" s="438">
        <v>0</v>
      </c>
      <c r="BW38" s="438">
        <v>0</v>
      </c>
      <c r="BX38" s="438">
        <v>0</v>
      </c>
      <c r="BY38" s="438">
        <v>0</v>
      </c>
      <c r="BZ38" s="438">
        <v>0</v>
      </c>
      <c r="CA38" s="438">
        <v>0</v>
      </c>
      <c r="CB38" s="438">
        <v>0</v>
      </c>
      <c r="CC38" s="438">
        <v>0</v>
      </c>
      <c r="CG38" s="438">
        <v>0</v>
      </c>
      <c r="CH38" s="438">
        <v>0</v>
      </c>
      <c r="CI38" s="438">
        <v>0</v>
      </c>
      <c r="CJ38" s="438">
        <v>5</v>
      </c>
      <c r="CK38" s="438">
        <v>0</v>
      </c>
      <c r="CL38" s="438">
        <v>0</v>
      </c>
      <c r="CN38" s="438">
        <v>0</v>
      </c>
      <c r="CO38" s="438">
        <v>1</v>
      </c>
      <c r="CP38" s="438">
        <v>0</v>
      </c>
      <c r="CQ38" s="438">
        <v>0</v>
      </c>
      <c r="CR38" s="438">
        <v>174.79499999999999</v>
      </c>
      <c r="CS38" s="438">
        <v>0</v>
      </c>
      <c r="CT38" s="438">
        <v>0</v>
      </c>
      <c r="CU38" s="438">
        <v>0</v>
      </c>
      <c r="CV38" s="438">
        <v>0</v>
      </c>
      <c r="CW38" s="438">
        <v>0</v>
      </c>
      <c r="CX38" s="438">
        <v>0</v>
      </c>
      <c r="CY38" s="438">
        <v>0</v>
      </c>
      <c r="CZ38" s="438">
        <v>0</v>
      </c>
      <c r="DA38" s="438">
        <v>1</v>
      </c>
      <c r="DB38" s="438">
        <v>1127191</v>
      </c>
      <c r="DC38" s="438">
        <v>0</v>
      </c>
      <c r="DD38" s="438">
        <v>0</v>
      </c>
      <c r="DE38" s="438">
        <v>0</v>
      </c>
      <c r="DF38" s="438">
        <v>0</v>
      </c>
      <c r="DG38" s="438">
        <v>0</v>
      </c>
      <c r="DH38" s="438">
        <v>0</v>
      </c>
      <c r="DI38" s="438">
        <v>0</v>
      </c>
      <c r="DK38" s="437">
        <v>5392</v>
      </c>
      <c r="DL38" s="438">
        <v>0</v>
      </c>
      <c r="DM38" s="438">
        <v>130084</v>
      </c>
      <c r="DN38" s="438">
        <v>0</v>
      </c>
      <c r="DO38" s="438">
        <v>0</v>
      </c>
      <c r="DP38" s="438">
        <v>0</v>
      </c>
      <c r="DQ38" s="438">
        <v>0</v>
      </c>
      <c r="DR38" s="438">
        <v>0</v>
      </c>
      <c r="DS38" s="438">
        <v>0</v>
      </c>
      <c r="DT38" s="438">
        <v>0</v>
      </c>
      <c r="DU38" s="438">
        <v>0</v>
      </c>
      <c r="DV38" s="438">
        <v>0</v>
      </c>
      <c r="DW38" s="438">
        <v>0</v>
      </c>
      <c r="DX38" s="438">
        <v>0</v>
      </c>
      <c r="DY38" s="438">
        <v>0</v>
      </c>
      <c r="DZ38" s="438">
        <v>0</v>
      </c>
      <c r="EA38" s="438">
        <v>0</v>
      </c>
      <c r="EB38" s="438">
        <v>5.0000000000000001E-3</v>
      </c>
      <c r="EC38" s="438">
        <v>10.984999999999999</v>
      </c>
      <c r="ED38" s="438">
        <v>79074</v>
      </c>
      <c r="EE38" s="438">
        <v>0</v>
      </c>
      <c r="EF38" s="438">
        <v>0</v>
      </c>
      <c r="EG38" s="438">
        <v>0</v>
      </c>
      <c r="EH38" s="438">
        <v>51010</v>
      </c>
      <c r="EI38" s="438">
        <v>0</v>
      </c>
      <c r="EJ38" s="438">
        <v>0</v>
      </c>
      <c r="EK38" s="438">
        <v>2.323</v>
      </c>
      <c r="EL38" s="438">
        <v>0</v>
      </c>
      <c r="EM38" s="438">
        <v>0.14199999999999999</v>
      </c>
      <c r="EN38" s="438">
        <v>7.6999999999999999E-2</v>
      </c>
      <c r="EO38" s="438">
        <v>0</v>
      </c>
      <c r="EP38" s="438">
        <v>0</v>
      </c>
      <c r="EQ38" s="438">
        <v>2.5470000000000002</v>
      </c>
      <c r="ER38" s="438">
        <v>0</v>
      </c>
      <c r="ES38" s="438">
        <v>7.7949999999999999</v>
      </c>
      <c r="ET38" s="438">
        <v>0</v>
      </c>
      <c r="EU38" s="438">
        <v>43099</v>
      </c>
      <c r="EV38" s="438">
        <v>0</v>
      </c>
      <c r="EW38" s="438">
        <v>0</v>
      </c>
      <c r="EX38" s="438">
        <v>0</v>
      </c>
      <c r="EZ38" s="438">
        <v>1225280</v>
      </c>
      <c r="FA38" s="438">
        <v>0</v>
      </c>
      <c r="FB38" s="438">
        <v>1268379</v>
      </c>
      <c r="FC38" s="438">
        <v>0.97334900000000002</v>
      </c>
      <c r="FD38" s="438">
        <v>0</v>
      </c>
      <c r="FE38" s="438">
        <v>177538</v>
      </c>
      <c r="FF38" s="438">
        <v>40465</v>
      </c>
      <c r="FG38" s="437">
        <v>5.7854999999999997E-2</v>
      </c>
      <c r="FH38" s="437">
        <v>5.2366000000000003E-2</v>
      </c>
      <c r="FI38" s="438">
        <v>0</v>
      </c>
      <c r="FJ38" s="438">
        <v>0</v>
      </c>
      <c r="FK38" s="438">
        <v>241.85599999999999</v>
      </c>
      <c r="FL38" s="438">
        <v>1486382</v>
      </c>
      <c r="FM38" s="438">
        <v>0</v>
      </c>
      <c r="FN38" s="438">
        <v>0</v>
      </c>
      <c r="FO38" s="438">
        <v>0</v>
      </c>
      <c r="FP38" s="438">
        <v>0</v>
      </c>
      <c r="FQ38" s="438">
        <v>0</v>
      </c>
      <c r="FR38" s="438">
        <v>0</v>
      </c>
      <c r="FS38" s="438">
        <v>0</v>
      </c>
      <c r="FT38" s="438">
        <v>0</v>
      </c>
      <c r="FU38" s="438">
        <v>0</v>
      </c>
      <c r="FV38" s="438">
        <v>0</v>
      </c>
      <c r="FW38" s="438">
        <v>0</v>
      </c>
      <c r="FX38" s="438">
        <v>0</v>
      </c>
      <c r="FY38" s="438">
        <v>0</v>
      </c>
      <c r="FZ38" s="438">
        <v>0</v>
      </c>
      <c r="GA38" s="438">
        <v>0</v>
      </c>
      <c r="GB38" s="438">
        <v>0</v>
      </c>
      <c r="GC38" s="438">
        <v>0</v>
      </c>
      <c r="GD38" s="438">
        <v>0</v>
      </c>
      <c r="GF38" s="438">
        <v>0</v>
      </c>
      <c r="GG38" s="438">
        <v>0</v>
      </c>
      <c r="GH38" s="438">
        <v>0</v>
      </c>
      <c r="GI38" s="438">
        <v>0</v>
      </c>
      <c r="GJ38" s="438">
        <v>0</v>
      </c>
      <c r="GK38" s="438">
        <v>4604.6369999999997</v>
      </c>
      <c r="GL38" s="438">
        <v>0</v>
      </c>
      <c r="GM38" s="438">
        <v>0</v>
      </c>
      <c r="GN38" s="438">
        <v>0</v>
      </c>
      <c r="GO38" s="438">
        <v>0</v>
      </c>
      <c r="GP38" s="438">
        <v>1486382</v>
      </c>
      <c r="GQ38" s="438">
        <v>1486382</v>
      </c>
      <c r="GR38" s="438">
        <v>0</v>
      </c>
      <c r="GS38" s="438">
        <v>0</v>
      </c>
      <c r="GT38" s="438">
        <v>0</v>
      </c>
      <c r="HB38" s="438">
        <v>0</v>
      </c>
      <c r="HC38" s="437">
        <v>6.0754000000000002E-2</v>
      </c>
      <c r="HD38" s="438">
        <v>0</v>
      </c>
    </row>
    <row r="39" spans="1:212" x14ac:dyDescent="0.2">
      <c r="A39" s="438">
        <v>25836</v>
      </c>
      <c r="B39" s="442">
        <v>15839</v>
      </c>
      <c r="C39" s="438">
        <v>9</v>
      </c>
      <c r="D39" s="438">
        <v>2020</v>
      </c>
      <c r="E39" s="438">
        <v>5392</v>
      </c>
      <c r="F39" s="438">
        <v>0</v>
      </c>
      <c r="G39" s="438">
        <v>0</v>
      </c>
      <c r="H39" s="438">
        <v>0</v>
      </c>
      <c r="I39" s="438">
        <v>0</v>
      </c>
      <c r="J39" s="438">
        <v>0</v>
      </c>
      <c r="K39" s="438">
        <v>0</v>
      </c>
      <c r="L39" s="437">
        <v>6544</v>
      </c>
      <c r="M39" s="438">
        <v>0</v>
      </c>
      <c r="N39" s="438">
        <v>0</v>
      </c>
      <c r="P39" s="438">
        <v>0</v>
      </c>
      <c r="Q39" s="438">
        <v>0</v>
      </c>
      <c r="R39" s="438">
        <v>0</v>
      </c>
      <c r="S39" s="437">
        <v>247.58699999999999</v>
      </c>
      <c r="U39" s="438">
        <v>0</v>
      </c>
      <c r="V39" s="438">
        <v>0</v>
      </c>
      <c r="W39" s="438">
        <v>0</v>
      </c>
      <c r="X39" s="438">
        <v>0</v>
      </c>
      <c r="Z39" s="438">
        <v>0</v>
      </c>
      <c r="AA39" s="438">
        <v>1</v>
      </c>
      <c r="AB39" s="438">
        <v>1</v>
      </c>
      <c r="AC39" s="438">
        <v>0</v>
      </c>
      <c r="AD39" s="438" t="s">
        <v>332</v>
      </c>
      <c r="AE39" s="438">
        <v>0</v>
      </c>
      <c r="AH39" s="438">
        <v>0</v>
      </c>
      <c r="AI39" s="438">
        <v>0</v>
      </c>
      <c r="AJ39" s="437">
        <v>5105</v>
      </c>
      <c r="AK39" s="438" t="s">
        <v>561</v>
      </c>
      <c r="AL39" s="438" t="s">
        <v>640</v>
      </c>
      <c r="AM39" s="438">
        <v>0</v>
      </c>
      <c r="AN39" s="438">
        <v>0</v>
      </c>
      <c r="AO39" s="438">
        <v>0</v>
      </c>
      <c r="AP39" s="438">
        <v>0</v>
      </c>
      <c r="AQ39" s="438">
        <v>0</v>
      </c>
      <c r="AR39" s="438">
        <v>0</v>
      </c>
      <c r="AS39" s="438">
        <v>0</v>
      </c>
      <c r="AT39" s="438">
        <v>0</v>
      </c>
      <c r="AU39" s="438">
        <v>0</v>
      </c>
      <c r="AV39" s="438">
        <v>0</v>
      </c>
      <c r="AW39" s="438">
        <v>0</v>
      </c>
      <c r="AX39" s="438">
        <v>0</v>
      </c>
      <c r="AY39" s="438">
        <v>0</v>
      </c>
      <c r="AZ39" s="438">
        <v>0</v>
      </c>
      <c r="BA39" s="438">
        <v>0</v>
      </c>
      <c r="BB39" s="438">
        <v>0</v>
      </c>
      <c r="BC39" s="438">
        <v>0</v>
      </c>
      <c r="BD39" s="438">
        <v>0</v>
      </c>
      <c r="BE39" s="438">
        <v>0</v>
      </c>
      <c r="BF39" s="438">
        <v>0</v>
      </c>
      <c r="BG39" s="438">
        <v>0</v>
      </c>
      <c r="BH39" s="438">
        <v>0</v>
      </c>
      <c r="BI39" s="438">
        <v>0</v>
      </c>
      <c r="BJ39" s="438">
        <v>12</v>
      </c>
      <c r="BK39" s="438">
        <v>0</v>
      </c>
      <c r="BL39" s="438">
        <v>0</v>
      </c>
      <c r="BM39" s="438">
        <v>0</v>
      </c>
      <c r="BN39" s="438">
        <v>0</v>
      </c>
      <c r="BO39" s="438">
        <v>0</v>
      </c>
      <c r="BP39" s="438">
        <v>0</v>
      </c>
      <c r="BQ39" s="437">
        <v>5392</v>
      </c>
      <c r="BR39" s="438">
        <v>1</v>
      </c>
      <c r="BS39" s="438">
        <v>0</v>
      </c>
      <c r="BT39" s="438">
        <v>0</v>
      </c>
      <c r="BU39" s="438">
        <v>0</v>
      </c>
      <c r="BV39" s="438">
        <v>0</v>
      </c>
      <c r="BW39" s="438">
        <v>0</v>
      </c>
      <c r="BX39" s="438">
        <v>0</v>
      </c>
      <c r="BY39" s="438">
        <v>0</v>
      </c>
      <c r="BZ39" s="438">
        <v>0</v>
      </c>
      <c r="CA39" s="438">
        <v>0</v>
      </c>
      <c r="CB39" s="438">
        <v>0</v>
      </c>
      <c r="CC39" s="438">
        <v>0</v>
      </c>
      <c r="CG39" s="438">
        <v>0</v>
      </c>
      <c r="CH39" s="438">
        <v>0</v>
      </c>
      <c r="CI39" s="438">
        <v>0</v>
      </c>
      <c r="CJ39" s="438">
        <v>4</v>
      </c>
      <c r="CK39" s="438">
        <v>0</v>
      </c>
      <c r="CL39" s="438">
        <v>0</v>
      </c>
      <c r="CN39" s="438">
        <v>0</v>
      </c>
      <c r="CO39" s="438">
        <v>0</v>
      </c>
      <c r="CP39" s="438">
        <v>0</v>
      </c>
      <c r="CQ39" s="438">
        <v>0</v>
      </c>
      <c r="CR39" s="438">
        <v>0</v>
      </c>
      <c r="CS39" s="438">
        <v>0</v>
      </c>
      <c r="CT39" s="438">
        <v>0</v>
      </c>
      <c r="CU39" s="438">
        <v>0</v>
      </c>
      <c r="CV39" s="438">
        <v>0</v>
      </c>
      <c r="CW39" s="438">
        <v>0</v>
      </c>
      <c r="CX39" s="438">
        <v>0</v>
      </c>
      <c r="CY39" s="438">
        <v>0</v>
      </c>
      <c r="CZ39" s="438">
        <v>0</v>
      </c>
      <c r="DA39" s="438">
        <v>1</v>
      </c>
      <c r="DB39" s="438">
        <v>0</v>
      </c>
      <c r="DC39" s="438">
        <v>0</v>
      </c>
      <c r="DD39" s="438">
        <v>0</v>
      </c>
      <c r="DE39" s="438">
        <v>0</v>
      </c>
      <c r="DF39" s="438">
        <v>0</v>
      </c>
      <c r="DG39" s="438">
        <v>0</v>
      </c>
      <c r="DH39" s="438">
        <v>0</v>
      </c>
      <c r="DI39" s="438">
        <v>0</v>
      </c>
      <c r="DK39" s="437">
        <v>5392</v>
      </c>
      <c r="DL39" s="438">
        <v>0</v>
      </c>
      <c r="DM39" s="438">
        <v>0</v>
      </c>
      <c r="DN39" s="438">
        <v>0</v>
      </c>
      <c r="DO39" s="438">
        <v>0</v>
      </c>
      <c r="DP39" s="438">
        <v>0</v>
      </c>
      <c r="DQ39" s="438">
        <v>0</v>
      </c>
      <c r="DR39" s="438">
        <v>0</v>
      </c>
      <c r="DS39" s="438">
        <v>0</v>
      </c>
      <c r="DT39" s="438">
        <v>0</v>
      </c>
      <c r="DU39" s="438">
        <v>0</v>
      </c>
      <c r="DV39" s="438">
        <v>0</v>
      </c>
      <c r="DW39" s="438">
        <v>0</v>
      </c>
      <c r="DX39" s="438">
        <v>0</v>
      </c>
      <c r="DY39" s="438">
        <v>0</v>
      </c>
      <c r="DZ39" s="438">
        <v>0</v>
      </c>
      <c r="EA39" s="438">
        <v>0</v>
      </c>
      <c r="EB39" s="438">
        <v>0</v>
      </c>
      <c r="EC39" s="438">
        <v>0</v>
      </c>
      <c r="ED39" s="438">
        <v>0</v>
      </c>
      <c r="EE39" s="438">
        <v>0</v>
      </c>
      <c r="EF39" s="438">
        <v>0</v>
      </c>
      <c r="EG39" s="438">
        <v>0</v>
      </c>
      <c r="EH39" s="438">
        <v>0</v>
      </c>
      <c r="EI39" s="438">
        <v>0</v>
      </c>
      <c r="EJ39" s="438">
        <v>0</v>
      </c>
      <c r="EK39" s="438">
        <v>0</v>
      </c>
      <c r="EL39" s="438">
        <v>0</v>
      </c>
      <c r="EM39" s="438">
        <v>0</v>
      </c>
      <c r="EN39" s="438">
        <v>0</v>
      </c>
      <c r="EO39" s="438">
        <v>0</v>
      </c>
      <c r="EP39" s="438">
        <v>0</v>
      </c>
      <c r="EQ39" s="438">
        <v>0</v>
      </c>
      <c r="ER39" s="438">
        <v>0</v>
      </c>
      <c r="ES39" s="438">
        <v>0</v>
      </c>
      <c r="ET39" s="438">
        <v>0</v>
      </c>
      <c r="EU39" s="438">
        <v>0</v>
      </c>
      <c r="EV39" s="438">
        <v>0</v>
      </c>
      <c r="EW39" s="438">
        <v>0</v>
      </c>
      <c r="EX39" s="438">
        <v>0</v>
      </c>
      <c r="EZ39" s="438">
        <v>0</v>
      </c>
      <c r="FA39" s="438">
        <v>0</v>
      </c>
      <c r="FB39" s="438">
        <v>0</v>
      </c>
      <c r="FC39" s="438">
        <v>0.97334900000000002</v>
      </c>
      <c r="FD39" s="438">
        <v>0</v>
      </c>
      <c r="FE39" s="438">
        <v>0</v>
      </c>
      <c r="FF39" s="438">
        <v>0</v>
      </c>
      <c r="FG39" s="437">
        <v>5.7854999999999997E-2</v>
      </c>
      <c r="FH39" s="437">
        <v>5.2366000000000003E-2</v>
      </c>
      <c r="FI39" s="438">
        <v>0</v>
      </c>
      <c r="FJ39" s="438">
        <v>0</v>
      </c>
      <c r="FK39" s="438">
        <v>0</v>
      </c>
      <c r="FL39" s="438">
        <v>0</v>
      </c>
      <c r="FM39" s="438">
        <v>0</v>
      </c>
      <c r="FN39" s="438">
        <v>0</v>
      </c>
      <c r="FO39" s="438">
        <v>0</v>
      </c>
      <c r="FP39" s="438">
        <v>0</v>
      </c>
      <c r="FQ39" s="438">
        <v>0</v>
      </c>
      <c r="FR39" s="438">
        <v>0</v>
      </c>
      <c r="FS39" s="438">
        <v>0</v>
      </c>
      <c r="FT39" s="438">
        <v>0</v>
      </c>
      <c r="FU39" s="438">
        <v>0</v>
      </c>
      <c r="FV39" s="438">
        <v>0</v>
      </c>
      <c r="FW39" s="438">
        <v>0</v>
      </c>
      <c r="FX39" s="438">
        <v>0</v>
      </c>
      <c r="FY39" s="438">
        <v>0</v>
      </c>
      <c r="FZ39" s="438">
        <v>0</v>
      </c>
      <c r="GA39" s="438">
        <v>0</v>
      </c>
      <c r="GB39" s="438">
        <v>0</v>
      </c>
      <c r="GC39" s="438">
        <v>0</v>
      </c>
      <c r="GD39" s="438">
        <v>0</v>
      </c>
      <c r="GF39" s="438">
        <v>0</v>
      </c>
      <c r="GG39" s="438">
        <v>0</v>
      </c>
      <c r="GH39" s="438">
        <v>0</v>
      </c>
      <c r="GI39" s="438">
        <v>0</v>
      </c>
      <c r="GJ39" s="438">
        <v>0</v>
      </c>
      <c r="GK39" s="438">
        <v>0</v>
      </c>
      <c r="GL39" s="438">
        <v>0</v>
      </c>
      <c r="GM39" s="438">
        <v>0</v>
      </c>
      <c r="GN39" s="438">
        <v>0</v>
      </c>
      <c r="GO39" s="438">
        <v>0</v>
      </c>
      <c r="GP39" s="438">
        <v>0</v>
      </c>
      <c r="GQ39" s="438">
        <v>0</v>
      </c>
      <c r="GR39" s="438">
        <v>0</v>
      </c>
      <c r="GS39" s="438">
        <v>0</v>
      </c>
      <c r="GT39" s="438">
        <v>0</v>
      </c>
      <c r="HB39" s="438">
        <v>0</v>
      </c>
      <c r="HC39" s="437">
        <v>0</v>
      </c>
      <c r="HD39" s="438">
        <v>0</v>
      </c>
    </row>
    <row r="40" spans="1:212" x14ac:dyDescent="0.2">
      <c r="A40" s="438">
        <v>25836</v>
      </c>
      <c r="B40" s="442">
        <v>19000</v>
      </c>
      <c r="C40" s="438">
        <v>9</v>
      </c>
      <c r="D40" s="438">
        <v>2020</v>
      </c>
      <c r="E40" s="438">
        <v>0</v>
      </c>
      <c r="F40" s="438">
        <v>0</v>
      </c>
      <c r="G40" s="438">
        <v>0</v>
      </c>
      <c r="H40" s="438">
        <v>0</v>
      </c>
      <c r="I40" s="438">
        <v>0</v>
      </c>
      <c r="J40" s="438">
        <v>0</v>
      </c>
      <c r="K40" s="438">
        <v>0</v>
      </c>
      <c r="L40" s="437">
        <v>0</v>
      </c>
      <c r="M40" s="438">
        <v>0</v>
      </c>
      <c r="N40" s="438">
        <v>0</v>
      </c>
      <c r="P40" s="438">
        <v>0</v>
      </c>
      <c r="Q40" s="438">
        <v>0</v>
      </c>
      <c r="R40" s="438">
        <v>0</v>
      </c>
      <c r="S40" s="437">
        <v>247.58699999999999</v>
      </c>
      <c r="U40" s="438">
        <v>0</v>
      </c>
      <c r="V40" s="438">
        <v>0</v>
      </c>
      <c r="W40" s="438">
        <v>0</v>
      </c>
      <c r="X40" s="438">
        <v>0</v>
      </c>
      <c r="Z40" s="438">
        <v>0</v>
      </c>
      <c r="AA40" s="438">
        <v>0</v>
      </c>
      <c r="AB40" s="438">
        <v>0</v>
      </c>
      <c r="AC40" s="438">
        <v>0</v>
      </c>
      <c r="AD40" s="438" t="s">
        <v>332</v>
      </c>
      <c r="AE40" s="438">
        <v>0</v>
      </c>
      <c r="AH40" s="438">
        <v>0</v>
      </c>
      <c r="AI40" s="438">
        <v>0</v>
      </c>
      <c r="AJ40" s="437">
        <v>5140</v>
      </c>
      <c r="AK40" s="438" t="s">
        <v>561</v>
      </c>
      <c r="AL40" s="438" t="s">
        <v>641</v>
      </c>
      <c r="AM40" s="438">
        <v>0</v>
      </c>
      <c r="AN40" s="438">
        <v>0</v>
      </c>
      <c r="AO40" s="438">
        <v>0</v>
      </c>
      <c r="AP40" s="438">
        <v>0</v>
      </c>
      <c r="AQ40" s="438">
        <v>0</v>
      </c>
      <c r="AR40" s="438">
        <v>0</v>
      </c>
      <c r="AS40" s="438">
        <v>0</v>
      </c>
      <c r="AT40" s="438">
        <v>0</v>
      </c>
      <c r="AU40" s="438">
        <v>0</v>
      </c>
      <c r="AV40" s="438">
        <v>0</v>
      </c>
      <c r="AW40" s="438">
        <v>1416370</v>
      </c>
      <c r="AX40" s="438">
        <v>1378750</v>
      </c>
      <c r="AY40" s="438">
        <v>0</v>
      </c>
      <c r="AZ40" s="438">
        <v>0</v>
      </c>
      <c r="BA40" s="438">
        <v>9</v>
      </c>
      <c r="BB40" s="438">
        <v>0</v>
      </c>
      <c r="BC40" s="438">
        <v>0</v>
      </c>
      <c r="BD40" s="438">
        <v>0</v>
      </c>
      <c r="BE40" s="438">
        <v>0</v>
      </c>
      <c r="BF40" s="438">
        <v>0</v>
      </c>
      <c r="BG40" s="438">
        <v>0</v>
      </c>
      <c r="BH40" s="438">
        <v>0</v>
      </c>
      <c r="BI40" s="438">
        <v>0</v>
      </c>
      <c r="BJ40" s="438">
        <v>12</v>
      </c>
      <c r="BK40" s="438">
        <v>0</v>
      </c>
      <c r="BL40" s="438">
        <v>0</v>
      </c>
      <c r="BM40" s="438">
        <v>0</v>
      </c>
      <c r="BN40" s="438">
        <v>0</v>
      </c>
      <c r="BO40" s="438">
        <v>0</v>
      </c>
      <c r="BP40" s="438">
        <v>0</v>
      </c>
      <c r="BQ40" s="437">
        <v>0</v>
      </c>
      <c r="BR40" s="438">
        <v>1</v>
      </c>
      <c r="BS40" s="438">
        <v>0</v>
      </c>
      <c r="BT40" s="438">
        <v>0</v>
      </c>
      <c r="BU40" s="438">
        <v>0</v>
      </c>
      <c r="BV40" s="438">
        <v>0</v>
      </c>
      <c r="BW40" s="438">
        <v>0</v>
      </c>
      <c r="BX40" s="438">
        <v>0</v>
      </c>
      <c r="BY40" s="438">
        <v>0</v>
      </c>
      <c r="BZ40" s="438">
        <v>0</v>
      </c>
      <c r="CA40" s="438">
        <v>0</v>
      </c>
      <c r="CB40" s="438">
        <v>0</v>
      </c>
      <c r="CC40" s="438">
        <v>0</v>
      </c>
      <c r="CG40" s="438">
        <v>0</v>
      </c>
      <c r="CH40" s="438">
        <v>37620</v>
      </c>
      <c r="CI40" s="438">
        <v>0</v>
      </c>
      <c r="CJ40" s="438">
        <v>1</v>
      </c>
      <c r="CK40" s="438">
        <v>0</v>
      </c>
      <c r="CL40" s="438">
        <v>0</v>
      </c>
      <c r="CN40" s="438">
        <v>0</v>
      </c>
      <c r="CO40" s="438">
        <v>0</v>
      </c>
      <c r="CP40" s="438">
        <v>0</v>
      </c>
      <c r="CQ40" s="438">
        <v>52.08</v>
      </c>
      <c r="CR40" s="438">
        <v>0</v>
      </c>
      <c r="CS40" s="438">
        <v>0</v>
      </c>
      <c r="CT40" s="438">
        <v>0</v>
      </c>
      <c r="CU40" s="438">
        <v>0</v>
      </c>
      <c r="CV40" s="438">
        <v>0</v>
      </c>
      <c r="CW40" s="438">
        <v>0</v>
      </c>
      <c r="CX40" s="438">
        <v>0</v>
      </c>
      <c r="CY40" s="438">
        <v>0</v>
      </c>
      <c r="CZ40" s="438">
        <v>0</v>
      </c>
      <c r="DA40" s="438">
        <v>1</v>
      </c>
      <c r="DB40" s="438">
        <v>0</v>
      </c>
      <c r="DC40" s="438">
        <v>0</v>
      </c>
      <c r="DD40" s="438">
        <v>0</v>
      </c>
      <c r="DE40" s="438">
        <v>0</v>
      </c>
      <c r="DF40" s="438">
        <v>0</v>
      </c>
      <c r="DG40" s="438">
        <v>0</v>
      </c>
      <c r="DH40" s="438">
        <v>0</v>
      </c>
      <c r="DI40" s="438">
        <v>0</v>
      </c>
      <c r="DK40" s="437">
        <v>0</v>
      </c>
      <c r="DL40" s="438">
        <v>0</v>
      </c>
      <c r="DM40" s="438">
        <v>0</v>
      </c>
      <c r="DN40" s="438">
        <v>0</v>
      </c>
      <c r="DO40" s="438">
        <v>0</v>
      </c>
      <c r="DP40" s="438">
        <v>0</v>
      </c>
      <c r="DQ40" s="438">
        <v>0</v>
      </c>
      <c r="DR40" s="438">
        <v>0</v>
      </c>
      <c r="DS40" s="438">
        <v>0</v>
      </c>
      <c r="DT40" s="438">
        <v>0</v>
      </c>
      <c r="DU40" s="438">
        <v>0</v>
      </c>
      <c r="DV40" s="438">
        <v>0</v>
      </c>
      <c r="DW40" s="438">
        <v>0</v>
      </c>
      <c r="DX40" s="438">
        <v>0</v>
      </c>
      <c r="DY40" s="438">
        <v>0</v>
      </c>
      <c r="DZ40" s="438">
        <v>0</v>
      </c>
      <c r="EA40" s="438">
        <v>0</v>
      </c>
      <c r="EB40" s="438">
        <v>0</v>
      </c>
      <c r="EC40" s="438">
        <v>0</v>
      </c>
      <c r="ED40" s="438">
        <v>0</v>
      </c>
      <c r="EE40" s="438">
        <v>0</v>
      </c>
      <c r="EF40" s="438">
        <v>0</v>
      </c>
      <c r="EG40" s="438">
        <v>0</v>
      </c>
      <c r="EH40" s="438">
        <v>0</v>
      </c>
      <c r="EI40" s="438">
        <v>0</v>
      </c>
      <c r="EJ40" s="438">
        <v>0</v>
      </c>
      <c r="EK40" s="438">
        <v>0</v>
      </c>
      <c r="EL40" s="438">
        <v>0</v>
      </c>
      <c r="EM40" s="438">
        <v>0</v>
      </c>
      <c r="EN40" s="438">
        <v>0</v>
      </c>
      <c r="EO40" s="438">
        <v>0</v>
      </c>
      <c r="EP40" s="438">
        <v>0</v>
      </c>
      <c r="EQ40" s="438">
        <v>0</v>
      </c>
      <c r="ER40" s="438">
        <v>0</v>
      </c>
      <c r="ES40" s="438">
        <v>0</v>
      </c>
      <c r="ET40" s="438">
        <v>17520</v>
      </c>
      <c r="EU40" s="438">
        <v>0</v>
      </c>
      <c r="EV40" s="438">
        <v>0</v>
      </c>
      <c r="EW40" s="438">
        <v>0</v>
      </c>
      <c r="EX40" s="438">
        <v>0</v>
      </c>
      <c r="EZ40" s="438">
        <v>1378750</v>
      </c>
      <c r="FA40" s="438">
        <v>0</v>
      </c>
      <c r="FB40" s="438">
        <v>1378750</v>
      </c>
      <c r="FC40" s="438">
        <v>0</v>
      </c>
      <c r="FD40" s="438">
        <v>0</v>
      </c>
      <c r="FE40" s="438">
        <v>0</v>
      </c>
      <c r="FF40" s="438">
        <v>0</v>
      </c>
      <c r="FG40" s="437">
        <v>0</v>
      </c>
      <c r="FH40" s="437">
        <v>0</v>
      </c>
      <c r="FI40" s="438">
        <v>0</v>
      </c>
      <c r="FJ40" s="438">
        <v>0</v>
      </c>
      <c r="FK40" s="438">
        <v>0</v>
      </c>
      <c r="FL40" s="438">
        <v>1416370</v>
      </c>
      <c r="FM40" s="438">
        <v>0</v>
      </c>
      <c r="FN40" s="438">
        <v>0</v>
      </c>
      <c r="FO40" s="438">
        <v>1184562</v>
      </c>
      <c r="FP40" s="438">
        <v>0</v>
      </c>
      <c r="FQ40" s="438">
        <v>1378750</v>
      </c>
      <c r="FR40" s="438">
        <v>1184562</v>
      </c>
      <c r="FS40" s="438">
        <v>194188</v>
      </c>
      <c r="FT40" s="438">
        <v>20100</v>
      </c>
      <c r="FU40" s="438">
        <v>0</v>
      </c>
      <c r="FV40" s="438">
        <v>0</v>
      </c>
      <c r="FW40" s="438">
        <v>0</v>
      </c>
      <c r="FX40" s="438">
        <v>0</v>
      </c>
      <c r="FY40" s="438">
        <v>0</v>
      </c>
      <c r="FZ40" s="438">
        <v>0</v>
      </c>
      <c r="GA40" s="438">
        <v>0</v>
      </c>
      <c r="GB40" s="438">
        <v>0</v>
      </c>
      <c r="GC40" s="438">
        <v>0</v>
      </c>
      <c r="GD40" s="438">
        <v>0</v>
      </c>
      <c r="GF40" s="438">
        <v>0</v>
      </c>
      <c r="GG40" s="438">
        <v>0</v>
      </c>
      <c r="GH40" s="438">
        <v>0</v>
      </c>
      <c r="GI40" s="438">
        <v>0</v>
      </c>
      <c r="GJ40" s="438">
        <v>0</v>
      </c>
      <c r="GK40" s="438">
        <v>0</v>
      </c>
      <c r="GL40" s="438">
        <v>0</v>
      </c>
      <c r="GM40" s="438">
        <v>0</v>
      </c>
      <c r="GN40" s="438">
        <v>0</v>
      </c>
      <c r="GO40" s="438">
        <v>0</v>
      </c>
      <c r="GP40" s="438">
        <v>1378750</v>
      </c>
      <c r="GQ40" s="438">
        <v>1378750</v>
      </c>
      <c r="GR40" s="438">
        <v>0</v>
      </c>
      <c r="GS40" s="438">
        <v>0</v>
      </c>
      <c r="GT40" s="438">
        <v>0</v>
      </c>
      <c r="HB40" s="438">
        <v>0</v>
      </c>
      <c r="HC40" s="437">
        <v>0</v>
      </c>
      <c r="HD40" s="438">
        <v>0</v>
      </c>
    </row>
    <row r="41" spans="1:212" x14ac:dyDescent="0.2">
      <c r="A41" s="438">
        <v>25836</v>
      </c>
      <c r="B41" s="442">
        <v>21803</v>
      </c>
      <c r="C41" s="438">
        <v>9</v>
      </c>
      <c r="D41" s="438">
        <v>2020</v>
      </c>
      <c r="E41" s="438">
        <v>5392</v>
      </c>
      <c r="F41" s="438">
        <v>0</v>
      </c>
      <c r="G41" s="438">
        <v>318.86700000000002</v>
      </c>
      <c r="H41" s="438">
        <v>311.30399999999997</v>
      </c>
      <c r="I41" s="438">
        <v>311.30399999999997</v>
      </c>
      <c r="J41" s="438">
        <v>318.86700000000002</v>
      </c>
      <c r="K41" s="438">
        <v>0</v>
      </c>
      <c r="L41" s="437">
        <v>6544</v>
      </c>
      <c r="M41" s="438">
        <v>0</v>
      </c>
      <c r="N41" s="438">
        <v>0</v>
      </c>
      <c r="P41" s="438">
        <v>322.35700000000003</v>
      </c>
      <c r="Q41" s="438">
        <v>0</v>
      </c>
      <c r="R41" s="438">
        <v>79811</v>
      </c>
      <c r="S41" s="437">
        <v>247.58699999999999</v>
      </c>
      <c r="U41" s="438">
        <v>0</v>
      </c>
      <c r="V41" s="438">
        <v>92.254999999999995</v>
      </c>
      <c r="W41" s="438">
        <v>60372</v>
      </c>
      <c r="X41" s="438">
        <v>60372</v>
      </c>
      <c r="Z41" s="438">
        <v>0</v>
      </c>
      <c r="AA41" s="438">
        <v>1</v>
      </c>
      <c r="AB41" s="438">
        <v>1</v>
      </c>
      <c r="AC41" s="438">
        <v>0</v>
      </c>
      <c r="AD41" s="438" t="s">
        <v>332</v>
      </c>
      <c r="AE41" s="438">
        <v>0</v>
      </c>
      <c r="AH41" s="438">
        <v>0</v>
      </c>
      <c r="AI41" s="438">
        <v>0</v>
      </c>
      <c r="AJ41" s="437">
        <v>5105</v>
      </c>
      <c r="AK41" s="438" t="s">
        <v>561</v>
      </c>
      <c r="AL41" s="438" t="s">
        <v>42</v>
      </c>
      <c r="AM41" s="438">
        <v>0</v>
      </c>
      <c r="AN41" s="438">
        <v>0</v>
      </c>
      <c r="AO41" s="438">
        <v>0</v>
      </c>
      <c r="AP41" s="438">
        <v>0</v>
      </c>
      <c r="AQ41" s="438">
        <v>0</v>
      </c>
      <c r="AR41" s="438">
        <v>0</v>
      </c>
      <c r="AS41" s="438">
        <v>0</v>
      </c>
      <c r="AT41" s="438">
        <v>0</v>
      </c>
      <c r="AU41" s="438">
        <v>0</v>
      </c>
      <c r="AV41" s="438">
        <v>0</v>
      </c>
      <c r="AW41" s="438">
        <v>3175674</v>
      </c>
      <c r="AX41" s="438">
        <v>3167174</v>
      </c>
      <c r="AY41" s="438">
        <v>0</v>
      </c>
      <c r="AZ41" s="438">
        <v>79811</v>
      </c>
      <c r="BA41" s="438">
        <v>16.5</v>
      </c>
      <c r="BB41" s="438">
        <v>0</v>
      </c>
      <c r="BC41" s="438">
        <v>0</v>
      </c>
      <c r="BD41" s="438">
        <v>0</v>
      </c>
      <c r="BE41" s="438">
        <v>0</v>
      </c>
      <c r="BF41" s="438">
        <v>2672992</v>
      </c>
      <c r="BG41" s="438">
        <v>0</v>
      </c>
      <c r="BH41" s="438">
        <v>0</v>
      </c>
      <c r="BI41" s="438">
        <v>0</v>
      </c>
      <c r="BJ41" s="438">
        <v>12</v>
      </c>
      <c r="BK41" s="438">
        <v>0</v>
      </c>
      <c r="BL41" s="438">
        <v>0</v>
      </c>
      <c r="BM41" s="438">
        <v>0</v>
      </c>
      <c r="BN41" s="438">
        <v>0</v>
      </c>
      <c r="BO41" s="438">
        <v>0</v>
      </c>
      <c r="BP41" s="438">
        <v>0</v>
      </c>
      <c r="BQ41" s="437">
        <v>5392</v>
      </c>
      <c r="BR41" s="438">
        <v>1</v>
      </c>
      <c r="BS41" s="438">
        <v>0</v>
      </c>
      <c r="BT41" s="438">
        <v>0</v>
      </c>
      <c r="BU41" s="438">
        <v>0</v>
      </c>
      <c r="BV41" s="438">
        <v>0</v>
      </c>
      <c r="BW41" s="438">
        <v>0</v>
      </c>
      <c r="BX41" s="438">
        <v>0</v>
      </c>
      <c r="BY41" s="438">
        <v>0</v>
      </c>
      <c r="BZ41" s="438">
        <v>0</v>
      </c>
      <c r="CA41" s="438">
        <v>0</v>
      </c>
      <c r="CB41" s="438">
        <v>0</v>
      </c>
      <c r="CC41" s="438">
        <v>0</v>
      </c>
      <c r="CG41" s="438">
        <v>0</v>
      </c>
      <c r="CH41" s="438">
        <v>8500</v>
      </c>
      <c r="CI41" s="438">
        <v>0</v>
      </c>
      <c r="CJ41" s="438">
        <v>4</v>
      </c>
      <c r="CK41" s="438">
        <v>0</v>
      </c>
      <c r="CL41" s="438">
        <v>0</v>
      </c>
      <c r="CN41" s="438">
        <v>0</v>
      </c>
      <c r="CO41" s="438">
        <v>1</v>
      </c>
      <c r="CP41" s="438">
        <v>0</v>
      </c>
      <c r="CQ41" s="438">
        <v>1</v>
      </c>
      <c r="CR41" s="438">
        <v>318.86700000000002</v>
      </c>
      <c r="CS41" s="438">
        <v>0</v>
      </c>
      <c r="CT41" s="438">
        <v>0</v>
      </c>
      <c r="CU41" s="438">
        <v>0</v>
      </c>
      <c r="CV41" s="438">
        <v>0</v>
      </c>
      <c r="CW41" s="438">
        <v>0</v>
      </c>
      <c r="CX41" s="438">
        <v>0</v>
      </c>
      <c r="CY41" s="438">
        <v>0</v>
      </c>
      <c r="CZ41" s="438">
        <v>0</v>
      </c>
      <c r="DA41" s="438">
        <v>1</v>
      </c>
      <c r="DB41" s="438">
        <v>2037173</v>
      </c>
      <c r="DC41" s="438">
        <v>0</v>
      </c>
      <c r="DD41" s="438">
        <v>17.5</v>
      </c>
      <c r="DE41" s="438">
        <v>494294</v>
      </c>
      <c r="DF41" s="438">
        <v>494294</v>
      </c>
      <c r="DG41" s="438">
        <v>377.67</v>
      </c>
      <c r="DH41" s="438">
        <v>0</v>
      </c>
      <c r="DI41" s="438">
        <v>0</v>
      </c>
      <c r="DK41" s="437">
        <v>5392</v>
      </c>
      <c r="DL41" s="438">
        <v>0</v>
      </c>
      <c r="DM41" s="438">
        <v>154340</v>
      </c>
      <c r="DN41" s="438">
        <v>0</v>
      </c>
      <c r="DO41" s="438">
        <v>0</v>
      </c>
      <c r="DP41" s="438">
        <v>0</v>
      </c>
      <c r="DQ41" s="438">
        <v>0</v>
      </c>
      <c r="DR41" s="438">
        <v>0</v>
      </c>
      <c r="DS41" s="438">
        <v>0</v>
      </c>
      <c r="DT41" s="438">
        <v>0</v>
      </c>
      <c r="DU41" s="438">
        <v>0</v>
      </c>
      <c r="DV41" s="438">
        <v>0</v>
      </c>
      <c r="DW41" s="438">
        <v>0</v>
      </c>
      <c r="DX41" s="438">
        <v>0</v>
      </c>
      <c r="DY41" s="438">
        <v>0</v>
      </c>
      <c r="DZ41" s="438">
        <v>0</v>
      </c>
      <c r="EA41" s="438">
        <v>0</v>
      </c>
      <c r="EB41" s="438">
        <v>0</v>
      </c>
      <c r="EC41" s="438">
        <v>0</v>
      </c>
      <c r="ED41" s="438">
        <v>0</v>
      </c>
      <c r="EE41" s="438">
        <v>0</v>
      </c>
      <c r="EF41" s="438">
        <v>0</v>
      </c>
      <c r="EG41" s="438">
        <v>0</v>
      </c>
      <c r="EH41" s="438">
        <v>154340</v>
      </c>
      <c r="EI41" s="438">
        <v>0</v>
      </c>
      <c r="EJ41" s="438">
        <v>0</v>
      </c>
      <c r="EK41" s="438">
        <v>7.1150000000000002</v>
      </c>
      <c r="EL41" s="438">
        <v>0</v>
      </c>
      <c r="EM41" s="438">
        <v>0</v>
      </c>
      <c r="EN41" s="438">
        <v>0.44800000000000001</v>
      </c>
      <c r="EO41" s="438">
        <v>0</v>
      </c>
      <c r="EP41" s="438">
        <v>0</v>
      </c>
      <c r="EQ41" s="438">
        <v>7.5629999999999997</v>
      </c>
      <c r="ER41" s="438">
        <v>0</v>
      </c>
      <c r="ES41" s="438">
        <v>23.585000000000001</v>
      </c>
      <c r="ET41" s="438">
        <v>8500</v>
      </c>
      <c r="EU41" s="438">
        <v>79811</v>
      </c>
      <c r="EV41" s="438">
        <v>0</v>
      </c>
      <c r="EW41" s="438">
        <v>0</v>
      </c>
      <c r="EX41" s="438">
        <v>0</v>
      </c>
      <c r="EZ41" s="438">
        <v>2695175</v>
      </c>
      <c r="FA41" s="438">
        <v>0</v>
      </c>
      <c r="FB41" s="438">
        <v>2774986</v>
      </c>
      <c r="FC41" s="438">
        <v>0.97334900000000002</v>
      </c>
      <c r="FD41" s="438">
        <v>0</v>
      </c>
      <c r="FE41" s="438">
        <v>384388</v>
      </c>
      <c r="FF41" s="438">
        <v>87611</v>
      </c>
      <c r="FG41" s="437">
        <v>5.7854999999999997E-2</v>
      </c>
      <c r="FH41" s="437">
        <v>5.2366000000000003E-2</v>
      </c>
      <c r="FI41" s="438">
        <v>0</v>
      </c>
      <c r="FJ41" s="438">
        <v>0</v>
      </c>
      <c r="FK41" s="438">
        <v>523.64400000000001</v>
      </c>
      <c r="FL41" s="438">
        <v>3255485</v>
      </c>
      <c r="FM41" s="438">
        <v>0</v>
      </c>
      <c r="FN41" s="438">
        <v>0</v>
      </c>
      <c r="FO41" s="438">
        <v>28807</v>
      </c>
      <c r="FP41" s="438">
        <v>0</v>
      </c>
      <c r="FQ41" s="438">
        <v>28807</v>
      </c>
      <c r="FR41" s="438">
        <v>28807</v>
      </c>
      <c r="FS41" s="438">
        <v>0</v>
      </c>
      <c r="FT41" s="438">
        <v>0</v>
      </c>
      <c r="FU41" s="438">
        <v>0</v>
      </c>
      <c r="FV41" s="438">
        <v>0</v>
      </c>
      <c r="FW41" s="438">
        <v>0</v>
      </c>
      <c r="FX41" s="438">
        <v>0</v>
      </c>
      <c r="FY41" s="438">
        <v>0</v>
      </c>
      <c r="FZ41" s="438">
        <v>0</v>
      </c>
      <c r="GA41" s="438">
        <v>0</v>
      </c>
      <c r="GB41" s="438">
        <v>0</v>
      </c>
      <c r="GC41" s="438">
        <v>0</v>
      </c>
      <c r="GD41" s="438">
        <v>0</v>
      </c>
      <c r="GF41" s="438">
        <v>0</v>
      </c>
      <c r="GG41" s="438">
        <v>0</v>
      </c>
      <c r="GH41" s="438">
        <v>0</v>
      </c>
      <c r="GI41" s="438">
        <v>0</v>
      </c>
      <c r="GJ41" s="438">
        <v>0</v>
      </c>
      <c r="GK41" s="438">
        <v>4809.3500000000004</v>
      </c>
      <c r="GL41" s="438">
        <v>13040</v>
      </c>
      <c r="GM41" s="438">
        <v>0</v>
      </c>
      <c r="GN41" s="438">
        <v>49454</v>
      </c>
      <c r="GO41" s="438">
        <v>0</v>
      </c>
      <c r="GP41" s="438">
        <v>3246985</v>
      </c>
      <c r="GQ41" s="438">
        <v>3246985</v>
      </c>
      <c r="GR41" s="438">
        <v>0</v>
      </c>
      <c r="GS41" s="438">
        <v>0</v>
      </c>
      <c r="GT41" s="438">
        <v>0</v>
      </c>
      <c r="HB41" s="438">
        <v>0</v>
      </c>
      <c r="HC41" s="437">
        <v>0</v>
      </c>
      <c r="HD41" s="438">
        <v>0</v>
      </c>
    </row>
    <row r="42" spans="1:212" x14ac:dyDescent="0.2">
      <c r="A42" s="438">
        <v>25836</v>
      </c>
      <c r="B42" s="442">
        <v>21805</v>
      </c>
      <c r="C42" s="438">
        <v>9</v>
      </c>
      <c r="D42" s="438">
        <v>2020</v>
      </c>
      <c r="E42" s="438">
        <v>5392</v>
      </c>
      <c r="F42" s="438">
        <v>0</v>
      </c>
      <c r="G42" s="438">
        <v>644.02700000000004</v>
      </c>
      <c r="H42" s="438">
        <v>631.70399999999995</v>
      </c>
      <c r="I42" s="438">
        <v>631.70399999999995</v>
      </c>
      <c r="J42" s="438">
        <v>644.02700000000004</v>
      </c>
      <c r="K42" s="438">
        <v>0</v>
      </c>
      <c r="L42" s="437">
        <v>6544</v>
      </c>
      <c r="M42" s="438">
        <v>0</v>
      </c>
      <c r="N42" s="438">
        <v>0</v>
      </c>
      <c r="P42" s="438">
        <v>647.53</v>
      </c>
      <c r="Q42" s="438">
        <v>0</v>
      </c>
      <c r="R42" s="438">
        <v>160320</v>
      </c>
      <c r="S42" s="437">
        <v>247.58699999999999</v>
      </c>
      <c r="U42" s="438">
        <v>0</v>
      </c>
      <c r="V42" s="438">
        <v>85.043000000000006</v>
      </c>
      <c r="W42" s="438">
        <v>55652</v>
      </c>
      <c r="X42" s="438">
        <v>55652</v>
      </c>
      <c r="Z42" s="438">
        <v>0</v>
      </c>
      <c r="AA42" s="438">
        <v>1</v>
      </c>
      <c r="AB42" s="438">
        <v>1</v>
      </c>
      <c r="AC42" s="438">
        <v>0</v>
      </c>
      <c r="AD42" s="438" t="s">
        <v>332</v>
      </c>
      <c r="AE42" s="438">
        <v>0</v>
      </c>
      <c r="AH42" s="438">
        <v>0</v>
      </c>
      <c r="AI42" s="438">
        <v>0</v>
      </c>
      <c r="AJ42" s="437">
        <v>5105</v>
      </c>
      <c r="AK42" s="438" t="s">
        <v>561</v>
      </c>
      <c r="AL42" s="438" t="s">
        <v>338</v>
      </c>
      <c r="AM42" s="438">
        <v>0</v>
      </c>
      <c r="AN42" s="438">
        <v>0</v>
      </c>
      <c r="AO42" s="438">
        <v>0</v>
      </c>
      <c r="AP42" s="438">
        <v>0</v>
      </c>
      <c r="AQ42" s="438">
        <v>0</v>
      </c>
      <c r="AR42" s="438">
        <v>0</v>
      </c>
      <c r="AS42" s="438">
        <v>0</v>
      </c>
      <c r="AT42" s="438">
        <v>0</v>
      </c>
      <c r="AU42" s="438">
        <v>0</v>
      </c>
      <c r="AV42" s="438">
        <v>0</v>
      </c>
      <c r="AW42" s="438">
        <v>6233267</v>
      </c>
      <c r="AX42" s="438">
        <v>6233267</v>
      </c>
      <c r="AY42" s="438">
        <v>0</v>
      </c>
      <c r="AZ42" s="438">
        <v>160320</v>
      </c>
      <c r="BA42" s="438">
        <v>0</v>
      </c>
      <c r="BB42" s="438">
        <v>9423</v>
      </c>
      <c r="BC42" s="438">
        <v>9423</v>
      </c>
      <c r="BD42" s="438">
        <v>12</v>
      </c>
      <c r="BE42" s="438">
        <v>0</v>
      </c>
      <c r="BF42" s="438">
        <v>5298428</v>
      </c>
      <c r="BG42" s="438">
        <v>0</v>
      </c>
      <c r="BH42" s="438">
        <v>0</v>
      </c>
      <c r="BI42" s="438">
        <v>0</v>
      </c>
      <c r="BJ42" s="438">
        <v>12</v>
      </c>
      <c r="BK42" s="438">
        <v>0</v>
      </c>
      <c r="BL42" s="438">
        <v>0</v>
      </c>
      <c r="BM42" s="438">
        <v>0</v>
      </c>
      <c r="BN42" s="438">
        <v>0</v>
      </c>
      <c r="BO42" s="438">
        <v>0</v>
      </c>
      <c r="BP42" s="438">
        <v>0</v>
      </c>
      <c r="BQ42" s="437">
        <v>5392</v>
      </c>
      <c r="BR42" s="438">
        <v>1</v>
      </c>
      <c r="BS42" s="438">
        <v>0</v>
      </c>
      <c r="BT42" s="438">
        <v>0</v>
      </c>
      <c r="BU42" s="438">
        <v>0</v>
      </c>
      <c r="BV42" s="438">
        <v>0</v>
      </c>
      <c r="BW42" s="438">
        <v>0</v>
      </c>
      <c r="BX42" s="438">
        <v>0</v>
      </c>
      <c r="BY42" s="438">
        <v>0</v>
      </c>
      <c r="BZ42" s="438">
        <v>0</v>
      </c>
      <c r="CA42" s="438">
        <v>0</v>
      </c>
      <c r="CB42" s="438">
        <v>0</v>
      </c>
      <c r="CC42" s="438">
        <v>0</v>
      </c>
      <c r="CG42" s="438">
        <v>0</v>
      </c>
      <c r="CH42" s="438">
        <v>0</v>
      </c>
      <c r="CI42" s="438">
        <v>0</v>
      </c>
      <c r="CJ42" s="438">
        <v>4</v>
      </c>
      <c r="CK42" s="438">
        <v>0</v>
      </c>
      <c r="CL42" s="438">
        <v>0</v>
      </c>
      <c r="CN42" s="438">
        <v>0</v>
      </c>
      <c r="CO42" s="438">
        <v>1</v>
      </c>
      <c r="CP42" s="438">
        <v>0</v>
      </c>
      <c r="CQ42" s="438">
        <v>0</v>
      </c>
      <c r="CR42" s="438">
        <v>644.02700000000004</v>
      </c>
      <c r="CS42" s="438">
        <v>0</v>
      </c>
      <c r="CT42" s="438">
        <v>0</v>
      </c>
      <c r="CU42" s="438">
        <v>0</v>
      </c>
      <c r="CV42" s="438">
        <v>0</v>
      </c>
      <c r="CW42" s="438">
        <v>0</v>
      </c>
      <c r="CX42" s="438">
        <v>0</v>
      </c>
      <c r="CY42" s="438">
        <v>0</v>
      </c>
      <c r="CZ42" s="438">
        <v>0</v>
      </c>
      <c r="DA42" s="438">
        <v>1</v>
      </c>
      <c r="DB42" s="438">
        <v>4133871</v>
      </c>
      <c r="DC42" s="438">
        <v>0</v>
      </c>
      <c r="DD42" s="438">
        <v>0</v>
      </c>
      <c r="DE42" s="438">
        <v>923136</v>
      </c>
      <c r="DF42" s="438">
        <v>923136</v>
      </c>
      <c r="DG42" s="438">
        <v>705.33</v>
      </c>
      <c r="DH42" s="438">
        <v>0</v>
      </c>
      <c r="DI42" s="438">
        <v>0</v>
      </c>
      <c r="DK42" s="437">
        <v>5392</v>
      </c>
      <c r="DL42" s="438">
        <v>0</v>
      </c>
      <c r="DM42" s="438">
        <v>321419</v>
      </c>
      <c r="DN42" s="438">
        <v>0</v>
      </c>
      <c r="DO42" s="438">
        <v>0</v>
      </c>
      <c r="DP42" s="438">
        <v>0</v>
      </c>
      <c r="DQ42" s="438">
        <v>0</v>
      </c>
      <c r="DR42" s="438">
        <v>0</v>
      </c>
      <c r="DS42" s="438">
        <v>0</v>
      </c>
      <c r="DT42" s="438">
        <v>0</v>
      </c>
      <c r="DU42" s="438">
        <v>0</v>
      </c>
      <c r="DV42" s="438">
        <v>0</v>
      </c>
      <c r="DW42" s="438">
        <v>0</v>
      </c>
      <c r="DX42" s="438">
        <v>0</v>
      </c>
      <c r="DY42" s="438">
        <v>0</v>
      </c>
      <c r="DZ42" s="438">
        <v>0</v>
      </c>
      <c r="EA42" s="438">
        <v>0</v>
      </c>
      <c r="EB42" s="438">
        <v>0</v>
      </c>
      <c r="EC42" s="438">
        <v>10.055999999999999</v>
      </c>
      <c r="ED42" s="438">
        <v>72387</v>
      </c>
      <c r="EE42" s="438">
        <v>0</v>
      </c>
      <c r="EF42" s="438">
        <v>0</v>
      </c>
      <c r="EG42" s="438">
        <v>0</v>
      </c>
      <c r="EH42" s="438">
        <v>249032</v>
      </c>
      <c r="EI42" s="438">
        <v>0</v>
      </c>
      <c r="EJ42" s="438">
        <v>0</v>
      </c>
      <c r="EK42" s="438">
        <v>11.307</v>
      </c>
      <c r="EL42" s="438">
        <v>0</v>
      </c>
      <c r="EM42" s="438">
        <v>0.47299999999999998</v>
      </c>
      <c r="EN42" s="438">
        <v>0.54300000000000004</v>
      </c>
      <c r="EO42" s="438">
        <v>0</v>
      </c>
      <c r="EP42" s="438">
        <v>0</v>
      </c>
      <c r="EQ42" s="438">
        <v>12.323</v>
      </c>
      <c r="ER42" s="438">
        <v>0</v>
      </c>
      <c r="ES42" s="438">
        <v>38.055</v>
      </c>
      <c r="ET42" s="438">
        <v>0</v>
      </c>
      <c r="EU42" s="438">
        <v>160320</v>
      </c>
      <c r="EV42" s="438">
        <v>0</v>
      </c>
      <c r="EW42" s="438">
        <v>0</v>
      </c>
      <c r="EX42" s="438">
        <v>0</v>
      </c>
      <c r="EZ42" s="438">
        <v>5297668</v>
      </c>
      <c r="FA42" s="438">
        <v>0</v>
      </c>
      <c r="FB42" s="438">
        <v>5457988</v>
      </c>
      <c r="FC42" s="438">
        <v>0.97334900000000002</v>
      </c>
      <c r="FD42" s="438">
        <v>0</v>
      </c>
      <c r="FE42" s="438">
        <v>761937</v>
      </c>
      <c r="FF42" s="438">
        <v>173662</v>
      </c>
      <c r="FG42" s="437">
        <v>5.7854999999999997E-2</v>
      </c>
      <c r="FH42" s="437">
        <v>5.2366000000000003E-2</v>
      </c>
      <c r="FI42" s="438">
        <v>0</v>
      </c>
      <c r="FJ42" s="438">
        <v>0</v>
      </c>
      <c r="FK42" s="438">
        <v>1037.971</v>
      </c>
      <c r="FL42" s="438">
        <v>6393587</v>
      </c>
      <c r="FM42" s="438">
        <v>0</v>
      </c>
      <c r="FN42" s="438">
        <v>0</v>
      </c>
      <c r="FO42" s="438">
        <v>14487</v>
      </c>
      <c r="FP42" s="438">
        <v>0</v>
      </c>
      <c r="FQ42" s="438">
        <v>14487</v>
      </c>
      <c r="FR42" s="438">
        <v>14487</v>
      </c>
      <c r="FS42" s="438">
        <v>0</v>
      </c>
      <c r="FT42" s="438">
        <v>0</v>
      </c>
      <c r="FU42" s="438">
        <v>0</v>
      </c>
      <c r="FV42" s="438">
        <v>0</v>
      </c>
      <c r="FW42" s="438">
        <v>0</v>
      </c>
      <c r="FX42" s="438">
        <v>0</v>
      </c>
      <c r="FY42" s="438">
        <v>0</v>
      </c>
      <c r="FZ42" s="438">
        <v>0</v>
      </c>
      <c r="GA42" s="438">
        <v>0</v>
      </c>
      <c r="GB42" s="438">
        <v>0</v>
      </c>
      <c r="GC42" s="438">
        <v>0</v>
      </c>
      <c r="GD42" s="438">
        <v>0</v>
      </c>
      <c r="GF42" s="438">
        <v>0</v>
      </c>
      <c r="GG42" s="438">
        <v>0</v>
      </c>
      <c r="GH42" s="438">
        <v>0</v>
      </c>
      <c r="GI42" s="438">
        <v>0</v>
      </c>
      <c r="GJ42" s="438">
        <v>0</v>
      </c>
      <c r="GK42" s="438">
        <v>4604.6369999999997</v>
      </c>
      <c r="GL42" s="438">
        <v>0</v>
      </c>
      <c r="GM42" s="438">
        <v>0</v>
      </c>
      <c r="GN42" s="438">
        <v>0</v>
      </c>
      <c r="GO42" s="438">
        <v>0</v>
      </c>
      <c r="GP42" s="438">
        <v>6393587</v>
      </c>
      <c r="GQ42" s="438">
        <v>6393587</v>
      </c>
      <c r="GR42" s="438">
        <v>0</v>
      </c>
      <c r="GS42" s="438">
        <v>0</v>
      </c>
      <c r="GT42" s="438">
        <v>0</v>
      </c>
      <c r="HB42" s="438">
        <v>0</v>
      </c>
      <c r="HC42" s="437">
        <v>6.0754000000000002E-2</v>
      </c>
      <c r="HD42" s="438">
        <v>0</v>
      </c>
    </row>
    <row r="43" spans="1:212" x14ac:dyDescent="0.2">
      <c r="A43" s="438">
        <v>25836</v>
      </c>
      <c r="B43" s="442">
        <v>22004</v>
      </c>
      <c r="C43" s="438">
        <v>9</v>
      </c>
      <c r="D43" s="438">
        <v>2020</v>
      </c>
      <c r="E43" s="438">
        <v>5395</v>
      </c>
      <c r="F43" s="438">
        <v>0</v>
      </c>
      <c r="G43" s="438">
        <v>101.571</v>
      </c>
      <c r="H43" s="438">
        <v>94.400999999999996</v>
      </c>
      <c r="I43" s="438">
        <v>130</v>
      </c>
      <c r="J43" s="438">
        <v>101.571</v>
      </c>
      <c r="K43" s="438">
        <v>0</v>
      </c>
      <c r="L43" s="437">
        <v>8567</v>
      </c>
      <c r="M43" s="438">
        <v>0</v>
      </c>
      <c r="N43" s="438">
        <v>0</v>
      </c>
      <c r="P43" s="438">
        <v>87.971999999999994</v>
      </c>
      <c r="Q43" s="438">
        <v>0</v>
      </c>
      <c r="R43" s="438">
        <v>21781</v>
      </c>
      <c r="S43" s="437">
        <v>247.58699999999999</v>
      </c>
      <c r="U43" s="438">
        <v>0</v>
      </c>
      <c r="V43" s="438">
        <v>46.398000000000003</v>
      </c>
      <c r="W43" s="438">
        <v>39749</v>
      </c>
      <c r="X43" s="438">
        <v>39749</v>
      </c>
      <c r="Z43" s="438">
        <v>0</v>
      </c>
      <c r="AA43" s="438">
        <v>1.1000000000000001</v>
      </c>
      <c r="AB43" s="438">
        <v>1.1000000000000001</v>
      </c>
      <c r="AC43" s="438">
        <v>0</v>
      </c>
      <c r="AD43" s="438" t="s">
        <v>636</v>
      </c>
      <c r="AE43" s="438">
        <v>0</v>
      </c>
      <c r="AH43" s="438">
        <v>93620338</v>
      </c>
      <c r="AI43" s="438">
        <v>0</v>
      </c>
      <c r="AJ43" s="437">
        <v>5037</v>
      </c>
      <c r="AK43" s="438" t="s">
        <v>561</v>
      </c>
      <c r="AL43" s="438" t="s">
        <v>642</v>
      </c>
      <c r="AM43" s="438">
        <v>0</v>
      </c>
      <c r="AN43" s="438">
        <v>0</v>
      </c>
      <c r="AO43" s="438">
        <v>0</v>
      </c>
      <c r="AP43" s="438">
        <v>0</v>
      </c>
      <c r="AQ43" s="438">
        <v>0</v>
      </c>
      <c r="AR43" s="438">
        <v>0</v>
      </c>
      <c r="AS43" s="438">
        <v>0</v>
      </c>
      <c r="AT43" s="438">
        <v>1</v>
      </c>
      <c r="AU43" s="438">
        <v>1</v>
      </c>
      <c r="AV43" s="438">
        <v>0</v>
      </c>
      <c r="AW43" s="438">
        <v>763028</v>
      </c>
      <c r="AX43" s="438">
        <v>747530</v>
      </c>
      <c r="AY43" s="438">
        <v>0</v>
      </c>
      <c r="AZ43" s="438">
        <v>950258</v>
      </c>
      <c r="BA43" s="438">
        <v>7</v>
      </c>
      <c r="BB43" s="438">
        <v>1028</v>
      </c>
      <c r="BC43" s="438">
        <v>987</v>
      </c>
      <c r="BD43" s="438">
        <v>1</v>
      </c>
      <c r="BE43" s="438">
        <v>41</v>
      </c>
      <c r="BF43" s="438">
        <v>1412007</v>
      </c>
      <c r="BG43" s="438">
        <v>0</v>
      </c>
      <c r="BH43" s="438">
        <v>39.994</v>
      </c>
      <c r="BI43" s="438">
        <v>10998</v>
      </c>
      <c r="BJ43" s="438">
        <v>12</v>
      </c>
      <c r="BK43" s="438">
        <v>0</v>
      </c>
      <c r="BL43" s="438">
        <v>0</v>
      </c>
      <c r="BM43" s="438">
        <v>0</v>
      </c>
      <c r="BN43" s="438">
        <v>0</v>
      </c>
      <c r="BO43" s="438">
        <v>0</v>
      </c>
      <c r="BP43" s="438">
        <v>0</v>
      </c>
      <c r="BQ43" s="437">
        <v>6052</v>
      </c>
      <c r="BR43" s="438">
        <v>2</v>
      </c>
      <c r="BS43" s="438">
        <v>0</v>
      </c>
      <c r="BT43" s="438">
        <v>937294</v>
      </c>
      <c r="BU43" s="438">
        <v>57385</v>
      </c>
      <c r="BV43" s="438">
        <v>0</v>
      </c>
      <c r="BW43" s="438">
        <v>1.02</v>
      </c>
      <c r="BX43" s="438">
        <v>0.98</v>
      </c>
      <c r="BY43" s="438">
        <v>0.06</v>
      </c>
      <c r="BZ43" s="438">
        <v>0</v>
      </c>
      <c r="CA43" s="438">
        <v>0</v>
      </c>
      <c r="CB43" s="438">
        <v>0</v>
      </c>
      <c r="CC43" s="438">
        <v>0</v>
      </c>
      <c r="CD43" s="438">
        <v>0</v>
      </c>
      <c r="CF43" s="438">
        <v>0</v>
      </c>
      <c r="CG43" s="438">
        <v>0</v>
      </c>
      <c r="CH43" s="438">
        <v>4500</v>
      </c>
      <c r="CI43" s="438">
        <v>102</v>
      </c>
      <c r="CJ43" s="438">
        <v>3</v>
      </c>
      <c r="CK43" s="438">
        <v>0</v>
      </c>
      <c r="CL43" s="438">
        <v>0</v>
      </c>
      <c r="CN43" s="438">
        <v>0</v>
      </c>
      <c r="CO43" s="438">
        <v>0</v>
      </c>
      <c r="CP43" s="438">
        <v>3.9E-2</v>
      </c>
      <c r="CQ43" s="438">
        <v>4</v>
      </c>
      <c r="CR43" s="438">
        <v>87.971999999999994</v>
      </c>
      <c r="CS43" s="438">
        <v>93620338</v>
      </c>
      <c r="CT43" s="438">
        <v>0</v>
      </c>
      <c r="CU43" s="438">
        <v>994679</v>
      </c>
      <c r="CV43" s="438">
        <v>1.04</v>
      </c>
      <c r="CW43" s="438">
        <v>977151</v>
      </c>
      <c r="CX43" s="438">
        <v>0</v>
      </c>
      <c r="CY43" s="438">
        <v>93620338</v>
      </c>
      <c r="CZ43" s="438">
        <v>0</v>
      </c>
      <c r="DA43" s="438">
        <v>1</v>
      </c>
      <c r="DB43" s="438">
        <v>1113710</v>
      </c>
      <c r="DC43" s="438">
        <v>0</v>
      </c>
      <c r="DD43" s="438">
        <v>0</v>
      </c>
      <c r="DE43" s="438">
        <v>140499</v>
      </c>
      <c r="DF43" s="438">
        <v>141304</v>
      </c>
      <c r="DG43" s="438">
        <v>82</v>
      </c>
      <c r="DH43" s="438">
        <v>0</v>
      </c>
      <c r="DI43" s="438">
        <v>805</v>
      </c>
      <c r="DK43" s="437">
        <v>8567</v>
      </c>
      <c r="DL43" s="438">
        <v>0</v>
      </c>
      <c r="DM43" s="438">
        <v>100479</v>
      </c>
      <c r="DN43" s="438">
        <v>1048</v>
      </c>
      <c r="DO43" s="438">
        <v>0</v>
      </c>
      <c r="DP43" s="438">
        <v>0</v>
      </c>
      <c r="DQ43" s="438">
        <v>0</v>
      </c>
      <c r="DR43" s="438">
        <v>0</v>
      </c>
      <c r="DS43" s="438">
        <v>0</v>
      </c>
      <c r="DT43" s="438">
        <v>0</v>
      </c>
      <c r="DU43" s="438">
        <v>0</v>
      </c>
      <c r="DV43" s="438">
        <v>0</v>
      </c>
      <c r="DW43" s="438">
        <v>0</v>
      </c>
      <c r="DX43" s="438">
        <v>0</v>
      </c>
      <c r="DY43" s="438">
        <v>0</v>
      </c>
      <c r="DZ43" s="438">
        <v>0</v>
      </c>
      <c r="EA43" s="438">
        <v>0</v>
      </c>
      <c r="EB43" s="438">
        <v>0</v>
      </c>
      <c r="EC43" s="438">
        <v>6</v>
      </c>
      <c r="ED43" s="438">
        <v>56542</v>
      </c>
      <c r="EE43" s="438">
        <v>0</v>
      </c>
      <c r="EF43" s="438">
        <v>0</v>
      </c>
      <c r="EG43" s="438">
        <v>0</v>
      </c>
      <c r="EH43" s="438">
        <v>44985</v>
      </c>
      <c r="EI43" s="438">
        <v>0</v>
      </c>
      <c r="EJ43" s="438">
        <v>0</v>
      </c>
      <c r="EK43" s="438">
        <v>1.647</v>
      </c>
      <c r="EL43" s="438">
        <v>0</v>
      </c>
      <c r="EM43" s="438">
        <v>0</v>
      </c>
      <c r="EN43" s="438">
        <v>6.2E-2</v>
      </c>
      <c r="EO43" s="438">
        <v>0</v>
      </c>
      <c r="EP43" s="438">
        <v>0</v>
      </c>
      <c r="EQ43" s="438">
        <v>1.7090000000000001</v>
      </c>
      <c r="ER43" s="438">
        <v>0</v>
      </c>
      <c r="ES43" s="438">
        <v>5.2510000000000003</v>
      </c>
      <c r="ET43" s="438">
        <v>4500</v>
      </c>
      <c r="EU43" s="438">
        <v>32779</v>
      </c>
      <c r="EV43" s="438">
        <v>0</v>
      </c>
      <c r="EW43" s="438">
        <v>0</v>
      </c>
      <c r="EX43" s="438">
        <v>0</v>
      </c>
      <c r="EZ43" s="438">
        <v>586896</v>
      </c>
      <c r="FA43" s="438">
        <v>917479</v>
      </c>
      <c r="FB43" s="438">
        <v>1537154</v>
      </c>
      <c r="FC43" s="438">
        <v>0.96684000000000003</v>
      </c>
      <c r="FD43" s="438">
        <v>0</v>
      </c>
      <c r="FE43" s="438">
        <v>160634</v>
      </c>
      <c r="FF43" s="438">
        <v>0</v>
      </c>
      <c r="FG43" s="437">
        <v>6.13E-2</v>
      </c>
      <c r="FH43" s="437">
        <v>0</v>
      </c>
      <c r="FI43" s="438">
        <v>57389</v>
      </c>
      <c r="FJ43" s="438">
        <v>0</v>
      </c>
      <c r="FK43" s="438">
        <v>280.31599999999997</v>
      </c>
      <c r="FL43" s="438">
        <v>784809</v>
      </c>
      <c r="FM43" s="438">
        <v>994679</v>
      </c>
      <c r="FN43" s="438">
        <v>66768</v>
      </c>
      <c r="FO43" s="438">
        <v>0</v>
      </c>
      <c r="FP43" s="438">
        <v>0</v>
      </c>
      <c r="FQ43" s="438">
        <v>66768</v>
      </c>
      <c r="FR43" s="438">
        <v>66768</v>
      </c>
      <c r="FS43" s="438">
        <v>0</v>
      </c>
      <c r="FT43" s="438">
        <v>0</v>
      </c>
      <c r="FU43" s="438">
        <v>0</v>
      </c>
      <c r="FV43" s="438">
        <v>0</v>
      </c>
      <c r="FW43" s="438">
        <v>0</v>
      </c>
      <c r="FX43" s="438">
        <v>0</v>
      </c>
      <c r="FY43" s="438">
        <v>0</v>
      </c>
      <c r="FZ43" s="438">
        <v>0</v>
      </c>
      <c r="GA43" s="438">
        <v>0</v>
      </c>
      <c r="GB43" s="438">
        <v>63159</v>
      </c>
      <c r="GC43" s="438">
        <v>63159</v>
      </c>
      <c r="GD43" s="438">
        <v>5.4610000000000003</v>
      </c>
      <c r="GF43" s="438">
        <v>0</v>
      </c>
      <c r="GG43" s="438">
        <v>0</v>
      </c>
      <c r="GH43" s="438">
        <v>0</v>
      </c>
      <c r="GI43" s="438">
        <v>0</v>
      </c>
      <c r="GJ43" s="438">
        <v>1.3</v>
      </c>
      <c r="GK43" s="438">
        <v>4462.2449999999999</v>
      </c>
      <c r="GL43" s="438">
        <v>6114</v>
      </c>
      <c r="GM43" s="438">
        <v>0</v>
      </c>
      <c r="GN43" s="438">
        <v>88666</v>
      </c>
      <c r="GO43" s="438">
        <v>994679</v>
      </c>
      <c r="GP43" s="438">
        <v>780309</v>
      </c>
      <c r="GQ43" s="438">
        <v>1774988</v>
      </c>
      <c r="GR43" s="438">
        <v>93620338</v>
      </c>
      <c r="GS43" s="438">
        <v>994679</v>
      </c>
      <c r="GT43" s="438">
        <v>994679</v>
      </c>
      <c r="HB43" s="438">
        <v>0</v>
      </c>
      <c r="HC43" s="437">
        <v>0</v>
      </c>
      <c r="HD43" s="438">
        <v>0</v>
      </c>
    </row>
    <row r="44" spans="1:212" x14ac:dyDescent="0.2">
      <c r="A44" s="438">
        <v>25836</v>
      </c>
      <c r="B44" s="442">
        <v>31505</v>
      </c>
      <c r="C44" s="438">
        <v>9</v>
      </c>
      <c r="D44" s="438">
        <v>2020</v>
      </c>
      <c r="E44" s="438">
        <v>5833</v>
      </c>
      <c r="F44" s="438">
        <v>0</v>
      </c>
      <c r="G44" s="438">
        <v>166.92099999999999</v>
      </c>
      <c r="H44" s="438">
        <v>166.92099999999999</v>
      </c>
      <c r="I44" s="438">
        <v>166.92099999999999</v>
      </c>
      <c r="J44" s="438">
        <v>166.92099999999999</v>
      </c>
      <c r="K44" s="438">
        <v>0</v>
      </c>
      <c r="L44" s="437">
        <v>8341</v>
      </c>
      <c r="M44" s="438">
        <v>0</v>
      </c>
      <c r="N44" s="438">
        <v>0</v>
      </c>
      <c r="P44" s="438">
        <v>103.90300000000001</v>
      </c>
      <c r="Q44" s="438">
        <v>0</v>
      </c>
      <c r="R44" s="438">
        <v>25725</v>
      </c>
      <c r="S44" s="437">
        <v>247.58699999999999</v>
      </c>
      <c r="U44" s="438">
        <v>0</v>
      </c>
      <c r="V44" s="438">
        <v>0</v>
      </c>
      <c r="W44" s="438">
        <v>0</v>
      </c>
      <c r="X44" s="438">
        <v>0</v>
      </c>
      <c r="Z44" s="438">
        <v>0</v>
      </c>
      <c r="AA44" s="438">
        <v>1.19</v>
      </c>
      <c r="AB44" s="438">
        <v>1.19</v>
      </c>
      <c r="AC44" s="438">
        <v>0</v>
      </c>
      <c r="AD44" s="438" t="s">
        <v>332</v>
      </c>
      <c r="AE44" s="438">
        <v>0</v>
      </c>
      <c r="AH44" s="438">
        <v>0</v>
      </c>
      <c r="AI44" s="438">
        <v>0</v>
      </c>
      <c r="AJ44" s="437">
        <v>5140</v>
      </c>
      <c r="AK44" s="438" t="s">
        <v>561</v>
      </c>
      <c r="AL44" s="438" t="s">
        <v>643</v>
      </c>
      <c r="AM44" s="438">
        <v>0</v>
      </c>
      <c r="AN44" s="438">
        <v>0</v>
      </c>
      <c r="AO44" s="438">
        <v>0</v>
      </c>
      <c r="AP44" s="438">
        <v>0</v>
      </c>
      <c r="AQ44" s="438">
        <v>0</v>
      </c>
      <c r="AR44" s="438">
        <v>0</v>
      </c>
      <c r="AS44" s="438">
        <v>0</v>
      </c>
      <c r="AT44" s="438">
        <v>0</v>
      </c>
      <c r="AU44" s="438">
        <v>0</v>
      </c>
      <c r="AV44" s="438">
        <v>0</v>
      </c>
      <c r="AW44" s="438">
        <v>1366563</v>
      </c>
      <c r="AX44" s="438">
        <v>1366563</v>
      </c>
      <c r="AY44" s="438">
        <v>0</v>
      </c>
      <c r="AZ44" s="438">
        <v>25725</v>
      </c>
      <c r="BA44" s="438">
        <v>0</v>
      </c>
      <c r="BB44" s="438">
        <v>0</v>
      </c>
      <c r="BC44" s="438">
        <v>0</v>
      </c>
      <c r="BD44" s="438">
        <v>0</v>
      </c>
      <c r="BE44" s="438">
        <v>0</v>
      </c>
      <c r="BF44" s="438">
        <v>1309581</v>
      </c>
      <c r="BG44" s="438">
        <v>0</v>
      </c>
      <c r="BH44" s="438">
        <v>0</v>
      </c>
      <c r="BI44" s="438">
        <v>0</v>
      </c>
      <c r="BJ44" s="438">
        <v>12</v>
      </c>
      <c r="BK44" s="438">
        <v>0</v>
      </c>
      <c r="BL44" s="438">
        <v>0</v>
      </c>
      <c r="BM44" s="438">
        <v>0</v>
      </c>
      <c r="BN44" s="438">
        <v>0</v>
      </c>
      <c r="BO44" s="438">
        <v>0</v>
      </c>
      <c r="BP44" s="438">
        <v>0</v>
      </c>
      <c r="BQ44" s="437">
        <v>6538</v>
      </c>
      <c r="BR44" s="438">
        <v>2</v>
      </c>
      <c r="BS44" s="438">
        <v>0</v>
      </c>
      <c r="BT44" s="438">
        <v>0</v>
      </c>
      <c r="BU44" s="438">
        <v>0</v>
      </c>
      <c r="BV44" s="438">
        <v>0</v>
      </c>
      <c r="BW44" s="438">
        <v>0</v>
      </c>
      <c r="BX44" s="438">
        <v>0</v>
      </c>
      <c r="BY44" s="438">
        <v>0</v>
      </c>
      <c r="BZ44" s="438">
        <v>0</v>
      </c>
      <c r="CA44" s="438">
        <v>0</v>
      </c>
      <c r="CB44" s="438">
        <v>0</v>
      </c>
      <c r="CC44" s="438">
        <v>0</v>
      </c>
      <c r="CG44" s="438">
        <v>0</v>
      </c>
      <c r="CH44" s="438">
        <v>0</v>
      </c>
      <c r="CI44" s="438">
        <v>0</v>
      </c>
      <c r="CJ44" s="438">
        <v>1</v>
      </c>
      <c r="CK44" s="438">
        <v>0</v>
      </c>
      <c r="CL44" s="438">
        <v>0</v>
      </c>
      <c r="CN44" s="438">
        <v>0</v>
      </c>
      <c r="CO44" s="438">
        <v>0</v>
      </c>
      <c r="CP44" s="438">
        <v>0</v>
      </c>
      <c r="CQ44" s="438">
        <v>0</v>
      </c>
      <c r="CR44" s="438">
        <v>103.90300000000001</v>
      </c>
      <c r="CS44" s="438">
        <v>0</v>
      </c>
      <c r="CT44" s="438">
        <v>0</v>
      </c>
      <c r="CU44" s="438">
        <v>0</v>
      </c>
      <c r="CV44" s="438">
        <v>0</v>
      </c>
      <c r="CW44" s="438">
        <v>0</v>
      </c>
      <c r="CX44" s="438">
        <v>0</v>
      </c>
      <c r="CY44" s="438">
        <v>0</v>
      </c>
      <c r="CZ44" s="438">
        <v>0</v>
      </c>
      <c r="DA44" s="438">
        <v>1</v>
      </c>
      <c r="DB44" s="438">
        <v>1392288</v>
      </c>
      <c r="DC44" s="438">
        <v>0</v>
      </c>
      <c r="DD44" s="438">
        <v>0</v>
      </c>
      <c r="DE44" s="438">
        <v>0</v>
      </c>
      <c r="DF44" s="438">
        <v>0</v>
      </c>
      <c r="DG44" s="438">
        <v>0</v>
      </c>
      <c r="DH44" s="438">
        <v>0</v>
      </c>
      <c r="DI44" s="438">
        <v>0</v>
      </c>
      <c r="DK44" s="437">
        <v>8341</v>
      </c>
      <c r="DL44" s="438">
        <v>0</v>
      </c>
      <c r="DM44" s="438">
        <v>0</v>
      </c>
      <c r="DN44" s="438">
        <v>0</v>
      </c>
      <c r="DO44" s="438">
        <v>0</v>
      </c>
      <c r="DP44" s="438">
        <v>0</v>
      </c>
      <c r="DQ44" s="438">
        <v>0</v>
      </c>
      <c r="DR44" s="438">
        <v>0</v>
      </c>
      <c r="DS44" s="438">
        <v>0</v>
      </c>
      <c r="DT44" s="438">
        <v>0</v>
      </c>
      <c r="DU44" s="438">
        <v>0</v>
      </c>
      <c r="DV44" s="438">
        <v>0</v>
      </c>
      <c r="DW44" s="438">
        <v>0</v>
      </c>
      <c r="DX44" s="438">
        <v>0</v>
      </c>
      <c r="DY44" s="438">
        <v>0</v>
      </c>
      <c r="DZ44" s="438">
        <v>0</v>
      </c>
      <c r="EA44" s="438">
        <v>0</v>
      </c>
      <c r="EB44" s="438">
        <v>0</v>
      </c>
      <c r="EC44" s="438">
        <v>0</v>
      </c>
      <c r="ED44" s="438">
        <v>0</v>
      </c>
      <c r="EE44" s="438">
        <v>0</v>
      </c>
      <c r="EF44" s="438">
        <v>0</v>
      </c>
      <c r="EG44" s="438">
        <v>0</v>
      </c>
      <c r="EH44" s="438">
        <v>0</v>
      </c>
      <c r="EI44" s="438">
        <v>0</v>
      </c>
      <c r="EJ44" s="438">
        <v>0</v>
      </c>
      <c r="EK44" s="438">
        <v>0</v>
      </c>
      <c r="EL44" s="438">
        <v>0</v>
      </c>
      <c r="EM44" s="438">
        <v>0</v>
      </c>
      <c r="EN44" s="438">
        <v>0</v>
      </c>
      <c r="EO44" s="438">
        <v>0</v>
      </c>
      <c r="EP44" s="438">
        <v>0</v>
      </c>
      <c r="EQ44" s="438">
        <v>0</v>
      </c>
      <c r="ER44" s="438">
        <v>0</v>
      </c>
      <c r="ES44" s="438">
        <v>0</v>
      </c>
      <c r="ET44" s="438">
        <v>0</v>
      </c>
      <c r="EU44" s="438">
        <v>25725</v>
      </c>
      <c r="EV44" s="438">
        <v>0</v>
      </c>
      <c r="EW44" s="438">
        <v>0</v>
      </c>
      <c r="EX44" s="438">
        <v>0</v>
      </c>
      <c r="EZ44" s="438">
        <v>1366563</v>
      </c>
      <c r="FA44" s="438">
        <v>0</v>
      </c>
      <c r="FB44" s="438">
        <v>1392288</v>
      </c>
      <c r="FC44" s="438">
        <v>0.94059700000000002</v>
      </c>
      <c r="FD44" s="438">
        <v>0</v>
      </c>
      <c r="FE44" s="438">
        <v>0</v>
      </c>
      <c r="FF44" s="438">
        <v>0</v>
      </c>
      <c r="FG44" s="437">
        <v>0</v>
      </c>
      <c r="FH44" s="437">
        <v>0</v>
      </c>
      <c r="FI44" s="438">
        <v>0</v>
      </c>
      <c r="FJ44" s="438">
        <v>0</v>
      </c>
      <c r="FK44" s="438">
        <v>254.78200000000001</v>
      </c>
      <c r="FL44" s="438">
        <v>1392288</v>
      </c>
      <c r="FM44" s="438">
        <v>0</v>
      </c>
      <c r="FN44" s="438">
        <v>0</v>
      </c>
      <c r="FO44" s="438">
        <v>0</v>
      </c>
      <c r="FP44" s="438">
        <v>0</v>
      </c>
      <c r="FQ44" s="438">
        <v>0</v>
      </c>
      <c r="FR44" s="438">
        <v>0</v>
      </c>
      <c r="FS44" s="438">
        <v>0</v>
      </c>
      <c r="FT44" s="438">
        <v>0</v>
      </c>
      <c r="FU44" s="438">
        <v>0</v>
      </c>
      <c r="FV44" s="438">
        <v>0</v>
      </c>
      <c r="FW44" s="438">
        <v>0</v>
      </c>
      <c r="FX44" s="438">
        <v>0</v>
      </c>
      <c r="FY44" s="438">
        <v>0</v>
      </c>
      <c r="FZ44" s="438">
        <v>0</v>
      </c>
      <c r="GA44" s="438">
        <v>0</v>
      </c>
      <c r="GB44" s="438">
        <v>0</v>
      </c>
      <c r="GC44" s="438">
        <v>0</v>
      </c>
      <c r="GD44" s="438">
        <v>0</v>
      </c>
      <c r="GF44" s="438">
        <v>0</v>
      </c>
      <c r="GG44" s="438">
        <v>0</v>
      </c>
      <c r="GH44" s="438">
        <v>0</v>
      </c>
      <c r="GI44" s="438">
        <v>0</v>
      </c>
      <c r="GJ44" s="438">
        <v>0</v>
      </c>
      <c r="GK44" s="438">
        <v>0</v>
      </c>
      <c r="GL44" s="438">
        <v>0</v>
      </c>
      <c r="GM44" s="438">
        <v>0</v>
      </c>
      <c r="GN44" s="438">
        <v>0</v>
      </c>
      <c r="GO44" s="438">
        <v>0</v>
      </c>
      <c r="GP44" s="438">
        <v>1392288</v>
      </c>
      <c r="GQ44" s="438">
        <v>1392288</v>
      </c>
      <c r="GR44" s="438">
        <v>0</v>
      </c>
      <c r="GS44" s="438">
        <v>0</v>
      </c>
      <c r="GT44" s="438">
        <v>0</v>
      </c>
      <c r="HB44" s="438">
        <v>0</v>
      </c>
      <c r="HC44" s="437">
        <v>0</v>
      </c>
      <c r="HD44" s="438">
        <v>0</v>
      </c>
    </row>
    <row r="45" spans="1:212" x14ac:dyDescent="0.2">
      <c r="A45" s="438">
        <v>25836</v>
      </c>
      <c r="B45" s="442">
        <v>43801</v>
      </c>
      <c r="C45" s="438">
        <v>9</v>
      </c>
      <c r="D45" s="438">
        <v>2020</v>
      </c>
      <c r="E45" s="438">
        <v>5392</v>
      </c>
      <c r="F45" s="438">
        <v>0</v>
      </c>
      <c r="G45" s="438">
        <v>1346.13</v>
      </c>
      <c r="H45" s="438">
        <v>1339.14</v>
      </c>
      <c r="I45" s="438">
        <v>1339.14</v>
      </c>
      <c r="J45" s="438">
        <v>1346.13</v>
      </c>
      <c r="K45" s="438">
        <v>0</v>
      </c>
      <c r="L45" s="437">
        <v>6544</v>
      </c>
      <c r="M45" s="438">
        <v>0</v>
      </c>
      <c r="N45" s="438">
        <v>0</v>
      </c>
      <c r="P45" s="438">
        <v>1339.08</v>
      </c>
      <c r="Q45" s="438">
        <v>0</v>
      </c>
      <c r="R45" s="438">
        <v>331539</v>
      </c>
      <c r="S45" s="437">
        <v>247.58699999999999</v>
      </c>
      <c r="U45" s="438">
        <v>0</v>
      </c>
      <c r="V45" s="438">
        <v>107.86499999999999</v>
      </c>
      <c r="W45" s="438">
        <v>70587</v>
      </c>
      <c r="X45" s="438">
        <v>70587</v>
      </c>
      <c r="Z45" s="438">
        <v>0</v>
      </c>
      <c r="AA45" s="438">
        <v>1</v>
      </c>
      <c r="AB45" s="438">
        <v>1</v>
      </c>
      <c r="AC45" s="438">
        <v>0</v>
      </c>
      <c r="AD45" s="438" t="s">
        <v>332</v>
      </c>
      <c r="AE45" s="438">
        <v>0</v>
      </c>
      <c r="AH45" s="438">
        <v>0</v>
      </c>
      <c r="AI45" s="438">
        <v>0</v>
      </c>
      <c r="AJ45" s="437">
        <v>5105</v>
      </c>
      <c r="AK45" s="438" t="s">
        <v>561</v>
      </c>
      <c r="AL45" s="438" t="s">
        <v>339</v>
      </c>
      <c r="AM45" s="438">
        <v>0</v>
      </c>
      <c r="AN45" s="438">
        <v>0</v>
      </c>
      <c r="AO45" s="438">
        <v>0</v>
      </c>
      <c r="AP45" s="438">
        <v>0</v>
      </c>
      <c r="AQ45" s="438">
        <v>0</v>
      </c>
      <c r="AR45" s="438">
        <v>0</v>
      </c>
      <c r="AS45" s="438">
        <v>0</v>
      </c>
      <c r="AT45" s="438">
        <v>0</v>
      </c>
      <c r="AU45" s="438">
        <v>0</v>
      </c>
      <c r="AV45" s="438">
        <v>0</v>
      </c>
      <c r="AW45" s="438">
        <v>10724786</v>
      </c>
      <c r="AX45" s="438">
        <v>10713311</v>
      </c>
      <c r="AY45" s="438">
        <v>0</v>
      </c>
      <c r="AZ45" s="438">
        <v>343014</v>
      </c>
      <c r="BA45" s="438">
        <v>0</v>
      </c>
      <c r="BB45" s="438">
        <v>0</v>
      </c>
      <c r="BC45" s="438">
        <v>0</v>
      </c>
      <c r="BD45" s="438">
        <v>0</v>
      </c>
      <c r="BE45" s="438">
        <v>0</v>
      </c>
      <c r="BF45" s="438">
        <v>9173760</v>
      </c>
      <c r="BG45" s="438">
        <v>0</v>
      </c>
      <c r="BH45" s="438">
        <v>41.728000000000002</v>
      </c>
      <c r="BI45" s="438">
        <v>11475</v>
      </c>
      <c r="BJ45" s="438">
        <v>12</v>
      </c>
      <c r="BK45" s="438">
        <v>0</v>
      </c>
      <c r="BL45" s="438">
        <v>0</v>
      </c>
      <c r="BM45" s="438">
        <v>0</v>
      </c>
      <c r="BN45" s="438">
        <v>0</v>
      </c>
      <c r="BO45" s="438">
        <v>0</v>
      </c>
      <c r="BP45" s="438">
        <v>0</v>
      </c>
      <c r="BQ45" s="437">
        <v>5392</v>
      </c>
      <c r="BR45" s="438">
        <v>1</v>
      </c>
      <c r="BS45" s="438">
        <v>0</v>
      </c>
      <c r="BT45" s="438">
        <v>0</v>
      </c>
      <c r="BU45" s="438">
        <v>0</v>
      </c>
      <c r="BV45" s="438">
        <v>0</v>
      </c>
      <c r="BW45" s="438">
        <v>0</v>
      </c>
      <c r="BX45" s="438">
        <v>0</v>
      </c>
      <c r="BY45" s="438">
        <v>0</v>
      </c>
      <c r="BZ45" s="438">
        <v>0</v>
      </c>
      <c r="CA45" s="438">
        <v>0</v>
      </c>
      <c r="CB45" s="438">
        <v>0</v>
      </c>
      <c r="CC45" s="438">
        <v>0</v>
      </c>
      <c r="CG45" s="438">
        <v>0</v>
      </c>
      <c r="CH45" s="438">
        <v>0</v>
      </c>
      <c r="CI45" s="438">
        <v>0</v>
      </c>
      <c r="CJ45" s="438">
        <v>4</v>
      </c>
      <c r="CK45" s="438">
        <v>0</v>
      </c>
      <c r="CL45" s="438">
        <v>0</v>
      </c>
      <c r="CN45" s="438">
        <v>0</v>
      </c>
      <c r="CO45" s="438">
        <v>1</v>
      </c>
      <c r="CP45" s="438">
        <v>0</v>
      </c>
      <c r="CQ45" s="438">
        <v>0</v>
      </c>
      <c r="CR45" s="438">
        <v>1346.13</v>
      </c>
      <c r="CS45" s="438">
        <v>0</v>
      </c>
      <c r="CT45" s="438">
        <v>0</v>
      </c>
      <c r="CU45" s="438">
        <v>0</v>
      </c>
      <c r="CV45" s="438">
        <v>0</v>
      </c>
      <c r="CW45" s="438">
        <v>0</v>
      </c>
      <c r="CX45" s="438">
        <v>0</v>
      </c>
      <c r="CY45" s="438">
        <v>0</v>
      </c>
      <c r="CZ45" s="438">
        <v>0</v>
      </c>
      <c r="DA45" s="438">
        <v>1</v>
      </c>
      <c r="DB45" s="438">
        <v>8763332</v>
      </c>
      <c r="DC45" s="438">
        <v>0</v>
      </c>
      <c r="DD45" s="438">
        <v>0</v>
      </c>
      <c r="DE45" s="438">
        <v>172762</v>
      </c>
      <c r="DF45" s="438">
        <v>172762</v>
      </c>
      <c r="DG45" s="438">
        <v>132</v>
      </c>
      <c r="DH45" s="438">
        <v>0</v>
      </c>
      <c r="DI45" s="438">
        <v>0</v>
      </c>
      <c r="DK45" s="437">
        <v>5392</v>
      </c>
      <c r="DL45" s="438">
        <v>0</v>
      </c>
      <c r="DM45" s="438">
        <v>418260</v>
      </c>
      <c r="DN45" s="438">
        <v>0</v>
      </c>
      <c r="DO45" s="438">
        <v>0</v>
      </c>
      <c r="DP45" s="438">
        <v>0</v>
      </c>
      <c r="DQ45" s="438">
        <v>0</v>
      </c>
      <c r="DR45" s="438">
        <v>0</v>
      </c>
      <c r="DS45" s="438">
        <v>0</v>
      </c>
      <c r="DT45" s="438">
        <v>0</v>
      </c>
      <c r="DU45" s="438">
        <v>0</v>
      </c>
      <c r="DV45" s="438">
        <v>0</v>
      </c>
      <c r="DW45" s="438">
        <v>0</v>
      </c>
      <c r="DX45" s="438">
        <v>0</v>
      </c>
      <c r="DY45" s="438">
        <v>0</v>
      </c>
      <c r="DZ45" s="438">
        <v>0</v>
      </c>
      <c r="EA45" s="438">
        <v>0</v>
      </c>
      <c r="EB45" s="438">
        <v>0</v>
      </c>
      <c r="EC45" s="438">
        <v>35.79</v>
      </c>
      <c r="ED45" s="438">
        <v>257631</v>
      </c>
      <c r="EE45" s="438">
        <v>0</v>
      </c>
      <c r="EF45" s="438">
        <v>0</v>
      </c>
      <c r="EG45" s="438">
        <v>0</v>
      </c>
      <c r="EH45" s="438">
        <v>160629</v>
      </c>
      <c r="EI45" s="438">
        <v>0</v>
      </c>
      <c r="EJ45" s="438">
        <v>0</v>
      </c>
      <c r="EK45" s="438">
        <v>4.9690000000000003</v>
      </c>
      <c r="EL45" s="438">
        <v>0</v>
      </c>
      <c r="EM45" s="438">
        <v>0.23300000000000001</v>
      </c>
      <c r="EN45" s="438">
        <v>1.788</v>
      </c>
      <c r="EO45" s="438">
        <v>0</v>
      </c>
      <c r="EP45" s="438">
        <v>0</v>
      </c>
      <c r="EQ45" s="438">
        <v>6.99</v>
      </c>
      <c r="ER45" s="438">
        <v>0</v>
      </c>
      <c r="ES45" s="438">
        <v>24.545999999999999</v>
      </c>
      <c r="ET45" s="438">
        <v>0</v>
      </c>
      <c r="EU45" s="438">
        <v>343014</v>
      </c>
      <c r="EV45" s="438">
        <v>0</v>
      </c>
      <c r="EW45" s="438">
        <v>0</v>
      </c>
      <c r="EX45" s="438">
        <v>0</v>
      </c>
      <c r="EZ45" s="438">
        <v>9093402</v>
      </c>
      <c r="FA45" s="438">
        <v>0</v>
      </c>
      <c r="FB45" s="438">
        <v>9436416</v>
      </c>
      <c r="FC45" s="438">
        <v>0.97334900000000002</v>
      </c>
      <c r="FD45" s="438">
        <v>0</v>
      </c>
      <c r="FE45" s="438">
        <v>1319228</v>
      </c>
      <c r="FF45" s="438">
        <v>300681</v>
      </c>
      <c r="FG45" s="437">
        <v>5.7854999999999997E-2</v>
      </c>
      <c r="FH45" s="437">
        <v>5.2366000000000003E-2</v>
      </c>
      <c r="FI45" s="438">
        <v>0</v>
      </c>
      <c r="FJ45" s="438">
        <v>0</v>
      </c>
      <c r="FK45" s="438">
        <v>1797.1559999999999</v>
      </c>
      <c r="FL45" s="438">
        <v>11056325</v>
      </c>
      <c r="FM45" s="438">
        <v>0</v>
      </c>
      <c r="FN45" s="438">
        <v>0</v>
      </c>
      <c r="FO45" s="438">
        <v>0</v>
      </c>
      <c r="FP45" s="438">
        <v>0</v>
      </c>
      <c r="FQ45" s="438">
        <v>0</v>
      </c>
      <c r="FR45" s="438">
        <v>0</v>
      </c>
      <c r="FS45" s="438">
        <v>0</v>
      </c>
      <c r="FT45" s="438">
        <v>0</v>
      </c>
      <c r="FU45" s="438">
        <v>0</v>
      </c>
      <c r="FV45" s="438">
        <v>0</v>
      </c>
      <c r="FW45" s="438">
        <v>0</v>
      </c>
      <c r="FX45" s="438">
        <v>0</v>
      </c>
      <c r="FY45" s="438">
        <v>0</v>
      </c>
      <c r="FZ45" s="438">
        <v>0</v>
      </c>
      <c r="GA45" s="438">
        <v>0</v>
      </c>
      <c r="GB45" s="438">
        <v>0</v>
      </c>
      <c r="GC45" s="438">
        <v>0</v>
      </c>
      <c r="GD45" s="438">
        <v>0</v>
      </c>
      <c r="GF45" s="438">
        <v>0</v>
      </c>
      <c r="GG45" s="438">
        <v>0</v>
      </c>
      <c r="GH45" s="438">
        <v>0</v>
      </c>
      <c r="GI45" s="438">
        <v>0</v>
      </c>
      <c r="GJ45" s="438">
        <v>0</v>
      </c>
      <c r="GK45" s="438">
        <v>4604.6369999999997</v>
      </c>
      <c r="GL45" s="438">
        <v>0</v>
      </c>
      <c r="GM45" s="438">
        <v>0</v>
      </c>
      <c r="GN45" s="438">
        <v>0</v>
      </c>
      <c r="GO45" s="438">
        <v>0</v>
      </c>
      <c r="GP45" s="438">
        <v>11056325</v>
      </c>
      <c r="GQ45" s="438">
        <v>11056325</v>
      </c>
      <c r="GR45" s="438">
        <v>0</v>
      </c>
      <c r="GS45" s="438">
        <v>0</v>
      </c>
      <c r="GT45" s="438">
        <v>0</v>
      </c>
      <c r="HB45" s="438">
        <v>0</v>
      </c>
      <c r="HC45" s="437">
        <v>6.0754000000000002E-2</v>
      </c>
      <c r="HD45" s="438">
        <v>0</v>
      </c>
    </row>
    <row r="46" spans="1:212" x14ac:dyDescent="0.2">
      <c r="A46" s="438">
        <v>25836</v>
      </c>
      <c r="B46" s="442">
        <v>43802</v>
      </c>
      <c r="C46" s="438">
        <v>9</v>
      </c>
      <c r="D46" s="438">
        <v>2020</v>
      </c>
      <c r="E46" s="438">
        <v>5392</v>
      </c>
      <c r="F46" s="438">
        <v>0</v>
      </c>
      <c r="G46" s="438">
        <v>159.74299999999999</v>
      </c>
      <c r="H46" s="438">
        <v>156.51599999999999</v>
      </c>
      <c r="I46" s="438">
        <v>156.51599999999999</v>
      </c>
      <c r="J46" s="438">
        <v>159.74299999999999</v>
      </c>
      <c r="K46" s="438">
        <v>0</v>
      </c>
      <c r="L46" s="437">
        <v>6544</v>
      </c>
      <c r="M46" s="438">
        <v>0</v>
      </c>
      <c r="N46" s="438">
        <v>0</v>
      </c>
      <c r="P46" s="438">
        <v>157.96</v>
      </c>
      <c r="Q46" s="438">
        <v>0</v>
      </c>
      <c r="R46" s="438">
        <v>39109</v>
      </c>
      <c r="S46" s="437">
        <v>247.58699999999999</v>
      </c>
      <c r="U46" s="438">
        <v>0</v>
      </c>
      <c r="V46" s="438">
        <v>9.2899999999999991</v>
      </c>
      <c r="W46" s="438">
        <v>6079</v>
      </c>
      <c r="X46" s="438">
        <v>6079</v>
      </c>
      <c r="Z46" s="438">
        <v>0</v>
      </c>
      <c r="AA46" s="438">
        <v>1</v>
      </c>
      <c r="AB46" s="438">
        <v>1</v>
      </c>
      <c r="AC46" s="438">
        <v>0</v>
      </c>
      <c r="AD46" s="438" t="s">
        <v>332</v>
      </c>
      <c r="AE46" s="438">
        <v>0</v>
      </c>
      <c r="AH46" s="438">
        <v>0</v>
      </c>
      <c r="AI46" s="438">
        <v>0</v>
      </c>
      <c r="AJ46" s="437">
        <v>5105</v>
      </c>
      <c r="AK46" s="438" t="s">
        <v>561</v>
      </c>
      <c r="AL46" s="438" t="s">
        <v>550</v>
      </c>
      <c r="AM46" s="438">
        <v>0</v>
      </c>
      <c r="AN46" s="438">
        <v>0</v>
      </c>
      <c r="AO46" s="438">
        <v>0</v>
      </c>
      <c r="AP46" s="438">
        <v>0</v>
      </c>
      <c r="AQ46" s="438">
        <v>0</v>
      </c>
      <c r="AR46" s="438">
        <v>0</v>
      </c>
      <c r="AS46" s="438">
        <v>0</v>
      </c>
      <c r="AT46" s="438">
        <v>0</v>
      </c>
      <c r="AU46" s="438">
        <v>0</v>
      </c>
      <c r="AV46" s="438">
        <v>0</v>
      </c>
      <c r="AW46" s="438">
        <v>1264711</v>
      </c>
      <c r="AX46" s="438">
        <v>1264711</v>
      </c>
      <c r="AY46" s="438">
        <v>0</v>
      </c>
      <c r="AZ46" s="438">
        <v>39109</v>
      </c>
      <c r="BA46" s="438">
        <v>0</v>
      </c>
      <c r="BB46" s="438">
        <v>4406</v>
      </c>
      <c r="BC46" s="438">
        <v>4406</v>
      </c>
      <c r="BD46" s="438">
        <v>5.6109999999999998</v>
      </c>
      <c r="BE46" s="438">
        <v>0</v>
      </c>
      <c r="BF46" s="438">
        <v>1082942</v>
      </c>
      <c r="BG46" s="438">
        <v>0</v>
      </c>
      <c r="BH46" s="438">
        <v>0</v>
      </c>
      <c r="BI46" s="438">
        <v>0</v>
      </c>
      <c r="BJ46" s="438">
        <v>12</v>
      </c>
      <c r="BK46" s="438">
        <v>0</v>
      </c>
      <c r="BL46" s="438">
        <v>0</v>
      </c>
      <c r="BM46" s="438">
        <v>0</v>
      </c>
      <c r="BN46" s="438">
        <v>0</v>
      </c>
      <c r="BO46" s="438">
        <v>0</v>
      </c>
      <c r="BP46" s="438">
        <v>0</v>
      </c>
      <c r="BQ46" s="437">
        <v>5392</v>
      </c>
      <c r="BR46" s="438">
        <v>1</v>
      </c>
      <c r="BS46" s="438">
        <v>0</v>
      </c>
      <c r="BT46" s="438">
        <v>0</v>
      </c>
      <c r="BU46" s="438">
        <v>0</v>
      </c>
      <c r="BV46" s="438">
        <v>0</v>
      </c>
      <c r="BW46" s="438">
        <v>0</v>
      </c>
      <c r="BX46" s="438">
        <v>0</v>
      </c>
      <c r="BY46" s="438">
        <v>0</v>
      </c>
      <c r="BZ46" s="438">
        <v>0</v>
      </c>
      <c r="CA46" s="438">
        <v>0</v>
      </c>
      <c r="CB46" s="438">
        <v>0</v>
      </c>
      <c r="CC46" s="438">
        <v>0</v>
      </c>
      <c r="CG46" s="438">
        <v>0</v>
      </c>
      <c r="CH46" s="438">
        <v>0</v>
      </c>
      <c r="CI46" s="438">
        <v>0</v>
      </c>
      <c r="CJ46" s="438">
        <v>4</v>
      </c>
      <c r="CK46" s="438">
        <v>0</v>
      </c>
      <c r="CL46" s="438">
        <v>0</v>
      </c>
      <c r="CN46" s="438">
        <v>0</v>
      </c>
      <c r="CO46" s="438">
        <v>1</v>
      </c>
      <c r="CP46" s="438">
        <v>0</v>
      </c>
      <c r="CQ46" s="438">
        <v>0</v>
      </c>
      <c r="CR46" s="438">
        <v>159.74299999999999</v>
      </c>
      <c r="CS46" s="438">
        <v>0</v>
      </c>
      <c r="CT46" s="438">
        <v>0</v>
      </c>
      <c r="CU46" s="438">
        <v>0</v>
      </c>
      <c r="CV46" s="438">
        <v>0</v>
      </c>
      <c r="CW46" s="438">
        <v>0</v>
      </c>
      <c r="CX46" s="438">
        <v>0</v>
      </c>
      <c r="CY46" s="438">
        <v>0</v>
      </c>
      <c r="CZ46" s="438">
        <v>0</v>
      </c>
      <c r="DA46" s="438">
        <v>1</v>
      </c>
      <c r="DB46" s="438">
        <v>1024241</v>
      </c>
      <c r="DC46" s="438">
        <v>0</v>
      </c>
      <c r="DD46" s="438">
        <v>0</v>
      </c>
      <c r="DE46" s="438">
        <v>0</v>
      </c>
      <c r="DF46" s="438">
        <v>0</v>
      </c>
      <c r="DG46" s="438">
        <v>0</v>
      </c>
      <c r="DH46" s="438">
        <v>0</v>
      </c>
      <c r="DI46" s="438">
        <v>0</v>
      </c>
      <c r="DK46" s="437">
        <v>5392</v>
      </c>
      <c r="DL46" s="438">
        <v>0</v>
      </c>
      <c r="DM46" s="438">
        <v>77867</v>
      </c>
      <c r="DN46" s="438">
        <v>0</v>
      </c>
      <c r="DO46" s="438">
        <v>0</v>
      </c>
      <c r="DP46" s="438">
        <v>0</v>
      </c>
      <c r="DQ46" s="438">
        <v>0</v>
      </c>
      <c r="DR46" s="438">
        <v>0</v>
      </c>
      <c r="DS46" s="438">
        <v>0</v>
      </c>
      <c r="DT46" s="438">
        <v>0</v>
      </c>
      <c r="DU46" s="438">
        <v>0</v>
      </c>
      <c r="DV46" s="438">
        <v>0</v>
      </c>
      <c r="DW46" s="438">
        <v>0</v>
      </c>
      <c r="DX46" s="438">
        <v>0</v>
      </c>
      <c r="DY46" s="438">
        <v>0</v>
      </c>
      <c r="DZ46" s="438">
        <v>0</v>
      </c>
      <c r="EA46" s="438">
        <v>0</v>
      </c>
      <c r="EB46" s="438">
        <v>0</v>
      </c>
      <c r="EC46" s="438">
        <v>1.52</v>
      </c>
      <c r="ED46" s="438">
        <v>10942</v>
      </c>
      <c r="EE46" s="438">
        <v>0</v>
      </c>
      <c r="EF46" s="438">
        <v>0</v>
      </c>
      <c r="EG46" s="438">
        <v>0</v>
      </c>
      <c r="EH46" s="438">
        <v>66925</v>
      </c>
      <c r="EI46" s="438">
        <v>0</v>
      </c>
      <c r="EJ46" s="438">
        <v>0</v>
      </c>
      <c r="EK46" s="438">
        <v>2.34</v>
      </c>
      <c r="EL46" s="438">
        <v>0</v>
      </c>
      <c r="EM46" s="438">
        <v>0.61399999999999999</v>
      </c>
      <c r="EN46" s="438">
        <v>0.27300000000000002</v>
      </c>
      <c r="EO46" s="438">
        <v>0</v>
      </c>
      <c r="EP46" s="438">
        <v>0</v>
      </c>
      <c r="EQ46" s="438">
        <v>3.2269999999999999</v>
      </c>
      <c r="ER46" s="438">
        <v>0</v>
      </c>
      <c r="ES46" s="438">
        <v>10.227</v>
      </c>
      <c r="ET46" s="438">
        <v>0</v>
      </c>
      <c r="EU46" s="438">
        <v>39109</v>
      </c>
      <c r="EV46" s="438">
        <v>0</v>
      </c>
      <c r="EW46" s="438">
        <v>0</v>
      </c>
      <c r="EX46" s="438">
        <v>0</v>
      </c>
      <c r="EZ46" s="438">
        <v>1073484</v>
      </c>
      <c r="FA46" s="438">
        <v>0</v>
      </c>
      <c r="FB46" s="438">
        <v>1112593</v>
      </c>
      <c r="FC46" s="438">
        <v>0.97334900000000002</v>
      </c>
      <c r="FD46" s="438">
        <v>0</v>
      </c>
      <c r="FE46" s="438">
        <v>155732</v>
      </c>
      <c r="FF46" s="438">
        <v>35495</v>
      </c>
      <c r="FG46" s="437">
        <v>5.7854999999999997E-2</v>
      </c>
      <c r="FH46" s="437">
        <v>5.2366000000000003E-2</v>
      </c>
      <c r="FI46" s="438">
        <v>0</v>
      </c>
      <c r="FJ46" s="438">
        <v>0</v>
      </c>
      <c r="FK46" s="438">
        <v>212.15</v>
      </c>
      <c r="FL46" s="438">
        <v>1303820</v>
      </c>
      <c r="FM46" s="438">
        <v>0</v>
      </c>
      <c r="FN46" s="438">
        <v>0</v>
      </c>
      <c r="FO46" s="438">
        <v>0</v>
      </c>
      <c r="FP46" s="438">
        <v>0</v>
      </c>
      <c r="FQ46" s="438">
        <v>0</v>
      </c>
      <c r="FR46" s="438">
        <v>0</v>
      </c>
      <c r="FS46" s="438">
        <v>0</v>
      </c>
      <c r="FT46" s="438">
        <v>0</v>
      </c>
      <c r="FU46" s="438">
        <v>0</v>
      </c>
      <c r="FV46" s="438">
        <v>0</v>
      </c>
      <c r="FW46" s="438">
        <v>0</v>
      </c>
      <c r="FX46" s="438">
        <v>0</v>
      </c>
      <c r="FY46" s="438">
        <v>0</v>
      </c>
      <c r="FZ46" s="438">
        <v>0</v>
      </c>
      <c r="GA46" s="438">
        <v>0</v>
      </c>
      <c r="GB46" s="438">
        <v>0</v>
      </c>
      <c r="GC46" s="438">
        <v>0</v>
      </c>
      <c r="GD46" s="438">
        <v>0</v>
      </c>
      <c r="GF46" s="438">
        <v>0</v>
      </c>
      <c r="GG46" s="438">
        <v>0</v>
      </c>
      <c r="GH46" s="438">
        <v>0</v>
      </c>
      <c r="GI46" s="438">
        <v>0</v>
      </c>
      <c r="GJ46" s="438">
        <v>0</v>
      </c>
      <c r="GK46" s="438">
        <v>4604.6369999999997</v>
      </c>
      <c r="GL46" s="438">
        <v>0</v>
      </c>
      <c r="GM46" s="438">
        <v>0</v>
      </c>
      <c r="GN46" s="438">
        <v>0</v>
      </c>
      <c r="GO46" s="438">
        <v>0</v>
      </c>
      <c r="GP46" s="438">
        <v>1303820</v>
      </c>
      <c r="GQ46" s="438">
        <v>1303820</v>
      </c>
      <c r="GR46" s="438">
        <v>0</v>
      </c>
      <c r="GS46" s="438">
        <v>0</v>
      </c>
      <c r="GT46" s="438">
        <v>0</v>
      </c>
      <c r="HB46" s="438">
        <v>0</v>
      </c>
      <c r="HC46" s="437">
        <v>6.0754000000000002E-2</v>
      </c>
      <c r="HD46" s="438">
        <v>0</v>
      </c>
    </row>
    <row r="47" spans="1:212" x14ac:dyDescent="0.2">
      <c r="A47" s="438">
        <v>25836</v>
      </c>
      <c r="B47" s="442">
        <v>46802</v>
      </c>
      <c r="C47" s="438">
        <v>9</v>
      </c>
      <c r="D47" s="438">
        <v>2020</v>
      </c>
      <c r="E47" s="438">
        <v>5392</v>
      </c>
      <c r="F47" s="438">
        <v>0</v>
      </c>
      <c r="G47" s="438">
        <v>410.84199999999998</v>
      </c>
      <c r="H47" s="438">
        <v>263.78800000000001</v>
      </c>
      <c r="I47" s="438">
        <v>263.78800000000001</v>
      </c>
      <c r="J47" s="438">
        <v>410.84199999999998</v>
      </c>
      <c r="K47" s="438">
        <v>0</v>
      </c>
      <c r="L47" s="437">
        <v>6544</v>
      </c>
      <c r="M47" s="438">
        <v>0</v>
      </c>
      <c r="N47" s="438">
        <v>0</v>
      </c>
      <c r="P47" s="438">
        <v>409.65</v>
      </c>
      <c r="Q47" s="438">
        <v>0</v>
      </c>
      <c r="R47" s="438">
        <v>101424</v>
      </c>
      <c r="S47" s="437">
        <v>247.58699999999999</v>
      </c>
      <c r="U47" s="438">
        <v>0</v>
      </c>
      <c r="V47" s="438">
        <v>15.315</v>
      </c>
      <c r="W47" s="438">
        <v>10022</v>
      </c>
      <c r="X47" s="438">
        <v>10022</v>
      </c>
      <c r="Z47" s="438">
        <v>0</v>
      </c>
      <c r="AA47" s="438">
        <v>1</v>
      </c>
      <c r="AB47" s="438">
        <v>1</v>
      </c>
      <c r="AC47" s="438">
        <v>0</v>
      </c>
      <c r="AD47" s="438" t="s">
        <v>332</v>
      </c>
      <c r="AE47" s="438">
        <v>0</v>
      </c>
      <c r="AH47" s="438">
        <v>0</v>
      </c>
      <c r="AI47" s="438">
        <v>0</v>
      </c>
      <c r="AJ47" s="437">
        <v>5105</v>
      </c>
      <c r="AK47" s="438" t="s">
        <v>561</v>
      </c>
      <c r="AL47" s="438" t="s">
        <v>43</v>
      </c>
      <c r="AM47" s="438">
        <v>0</v>
      </c>
      <c r="AN47" s="438">
        <v>0</v>
      </c>
      <c r="AO47" s="438">
        <v>0</v>
      </c>
      <c r="AP47" s="438">
        <v>0</v>
      </c>
      <c r="AQ47" s="438">
        <v>0</v>
      </c>
      <c r="AR47" s="438">
        <v>0</v>
      </c>
      <c r="AS47" s="438">
        <v>0</v>
      </c>
      <c r="AT47" s="438">
        <v>0</v>
      </c>
      <c r="AU47" s="438">
        <v>0</v>
      </c>
      <c r="AV47" s="438">
        <v>0</v>
      </c>
      <c r="AW47" s="438">
        <v>7136840</v>
      </c>
      <c r="AX47" s="438">
        <v>7091807</v>
      </c>
      <c r="AY47" s="438">
        <v>0</v>
      </c>
      <c r="AZ47" s="438">
        <v>125311</v>
      </c>
      <c r="BA47" s="438">
        <v>42</v>
      </c>
      <c r="BB47" s="438">
        <v>0</v>
      </c>
      <c r="BC47" s="438">
        <v>0</v>
      </c>
      <c r="BD47" s="438">
        <v>0</v>
      </c>
      <c r="BE47" s="438">
        <v>0</v>
      </c>
      <c r="BF47" s="438">
        <v>5974637</v>
      </c>
      <c r="BG47" s="438">
        <v>0</v>
      </c>
      <c r="BH47" s="438">
        <v>86.86</v>
      </c>
      <c r="BI47" s="438">
        <v>23887</v>
      </c>
      <c r="BJ47" s="438">
        <v>12</v>
      </c>
      <c r="BK47" s="438">
        <v>0</v>
      </c>
      <c r="BL47" s="438">
        <v>0</v>
      </c>
      <c r="BM47" s="438">
        <v>0</v>
      </c>
      <c r="BN47" s="438">
        <v>0</v>
      </c>
      <c r="BO47" s="438">
        <v>0</v>
      </c>
      <c r="BP47" s="438">
        <v>0</v>
      </c>
      <c r="BQ47" s="437">
        <v>5392</v>
      </c>
      <c r="BR47" s="438">
        <v>1</v>
      </c>
      <c r="BS47" s="438">
        <v>0</v>
      </c>
      <c r="BT47" s="438">
        <v>0</v>
      </c>
      <c r="BU47" s="438">
        <v>0</v>
      </c>
      <c r="BV47" s="438">
        <v>0</v>
      </c>
      <c r="BW47" s="438">
        <v>0</v>
      </c>
      <c r="BX47" s="438">
        <v>0</v>
      </c>
      <c r="BY47" s="438">
        <v>0</v>
      </c>
      <c r="BZ47" s="438">
        <v>0</v>
      </c>
      <c r="CA47" s="438">
        <v>0</v>
      </c>
      <c r="CB47" s="438">
        <v>0</v>
      </c>
      <c r="CC47" s="438">
        <v>0</v>
      </c>
      <c r="CG47" s="438">
        <v>0</v>
      </c>
      <c r="CH47" s="438">
        <v>21146</v>
      </c>
      <c r="CI47" s="438">
        <v>0</v>
      </c>
      <c r="CJ47" s="438">
        <v>4</v>
      </c>
      <c r="CK47" s="438">
        <v>0</v>
      </c>
      <c r="CL47" s="438">
        <v>0</v>
      </c>
      <c r="CN47" s="438">
        <v>0</v>
      </c>
      <c r="CO47" s="438">
        <v>1</v>
      </c>
      <c r="CP47" s="438">
        <v>0</v>
      </c>
      <c r="CQ47" s="438">
        <v>0.58299999999999996</v>
      </c>
      <c r="CR47" s="438">
        <v>410.84199999999998</v>
      </c>
      <c r="CS47" s="438">
        <v>0</v>
      </c>
      <c r="CT47" s="438">
        <v>0</v>
      </c>
      <c r="CU47" s="438">
        <v>0</v>
      </c>
      <c r="CV47" s="438">
        <v>0</v>
      </c>
      <c r="CW47" s="438">
        <v>0</v>
      </c>
      <c r="CX47" s="438">
        <v>0</v>
      </c>
      <c r="CY47" s="438">
        <v>0</v>
      </c>
      <c r="CZ47" s="438">
        <v>0</v>
      </c>
      <c r="DA47" s="438">
        <v>1</v>
      </c>
      <c r="DB47" s="438">
        <v>1726229</v>
      </c>
      <c r="DC47" s="438">
        <v>0</v>
      </c>
      <c r="DD47" s="438">
        <v>42.582999999999998</v>
      </c>
      <c r="DE47" s="438">
        <v>828902</v>
      </c>
      <c r="DF47" s="438">
        <v>828902</v>
      </c>
      <c r="DG47" s="438">
        <v>633.33000000000004</v>
      </c>
      <c r="DH47" s="438">
        <v>0</v>
      </c>
      <c r="DI47" s="438">
        <v>0</v>
      </c>
      <c r="DK47" s="437">
        <v>5392</v>
      </c>
      <c r="DL47" s="438">
        <v>0</v>
      </c>
      <c r="DM47" s="438">
        <v>3431033</v>
      </c>
      <c r="DN47" s="438">
        <v>0</v>
      </c>
      <c r="DO47" s="438">
        <v>0</v>
      </c>
      <c r="DP47" s="438">
        <v>0</v>
      </c>
      <c r="DQ47" s="438">
        <v>0</v>
      </c>
      <c r="DR47" s="438">
        <v>0</v>
      </c>
      <c r="DS47" s="438">
        <v>0</v>
      </c>
      <c r="DT47" s="438">
        <v>0</v>
      </c>
      <c r="DU47" s="438">
        <v>0</v>
      </c>
      <c r="DV47" s="438">
        <v>0</v>
      </c>
      <c r="DW47" s="438">
        <v>0</v>
      </c>
      <c r="DX47" s="438">
        <v>0</v>
      </c>
      <c r="DY47" s="438">
        <v>0</v>
      </c>
      <c r="DZ47" s="438">
        <v>0</v>
      </c>
      <c r="EA47" s="438">
        <v>0</v>
      </c>
      <c r="EB47" s="438">
        <v>0</v>
      </c>
      <c r="EC47" s="438">
        <v>0</v>
      </c>
      <c r="ED47" s="438">
        <v>0</v>
      </c>
      <c r="EE47" s="438">
        <v>0</v>
      </c>
      <c r="EF47" s="438">
        <v>0</v>
      </c>
      <c r="EG47" s="438">
        <v>0</v>
      </c>
      <c r="EH47" s="438">
        <v>13023</v>
      </c>
      <c r="EI47" s="438">
        <v>3418010</v>
      </c>
      <c r="EJ47" s="438">
        <v>130.578</v>
      </c>
      <c r="EK47" s="438">
        <v>0</v>
      </c>
      <c r="EL47" s="438">
        <v>0</v>
      </c>
      <c r="EM47" s="438">
        <v>0</v>
      </c>
      <c r="EN47" s="438">
        <v>0.39800000000000002</v>
      </c>
      <c r="EO47" s="438">
        <v>0</v>
      </c>
      <c r="EP47" s="438">
        <v>0</v>
      </c>
      <c r="EQ47" s="438">
        <v>130.976</v>
      </c>
      <c r="ER47" s="438">
        <v>0</v>
      </c>
      <c r="ES47" s="438">
        <v>1.99</v>
      </c>
      <c r="ET47" s="438">
        <v>21146</v>
      </c>
      <c r="EU47" s="438">
        <v>125311</v>
      </c>
      <c r="EV47" s="438">
        <v>0</v>
      </c>
      <c r="EW47" s="438">
        <v>0</v>
      </c>
      <c r="EX47" s="438">
        <v>0</v>
      </c>
      <c r="EZ47" s="438">
        <v>6036801</v>
      </c>
      <c r="FA47" s="438">
        <v>0</v>
      </c>
      <c r="FB47" s="438">
        <v>6162112</v>
      </c>
      <c r="FC47" s="438">
        <v>0.97334900000000002</v>
      </c>
      <c r="FD47" s="438">
        <v>0</v>
      </c>
      <c r="FE47" s="438">
        <v>859180</v>
      </c>
      <c r="FF47" s="438">
        <v>195826</v>
      </c>
      <c r="FG47" s="437">
        <v>5.7854999999999997E-2</v>
      </c>
      <c r="FH47" s="437">
        <v>5.2366000000000003E-2</v>
      </c>
      <c r="FI47" s="438">
        <v>0</v>
      </c>
      <c r="FJ47" s="438">
        <v>0</v>
      </c>
      <c r="FK47" s="438">
        <v>1170.442</v>
      </c>
      <c r="FL47" s="438">
        <v>7238264</v>
      </c>
      <c r="FM47" s="438">
        <v>0</v>
      </c>
      <c r="FN47" s="438">
        <v>0</v>
      </c>
      <c r="FO47" s="438">
        <v>0</v>
      </c>
      <c r="FP47" s="438">
        <v>0</v>
      </c>
      <c r="FQ47" s="438">
        <v>0</v>
      </c>
      <c r="FR47" s="438">
        <v>0</v>
      </c>
      <c r="FS47" s="438">
        <v>0</v>
      </c>
      <c r="FT47" s="438">
        <v>0</v>
      </c>
      <c r="FU47" s="438">
        <v>0</v>
      </c>
      <c r="FV47" s="438">
        <v>0</v>
      </c>
      <c r="FW47" s="438">
        <v>0</v>
      </c>
      <c r="FX47" s="438">
        <v>0</v>
      </c>
      <c r="FY47" s="438">
        <v>0</v>
      </c>
      <c r="FZ47" s="438">
        <v>0</v>
      </c>
      <c r="GA47" s="438">
        <v>0</v>
      </c>
      <c r="GB47" s="438">
        <v>142039</v>
      </c>
      <c r="GC47" s="438">
        <v>142039</v>
      </c>
      <c r="GD47" s="438">
        <v>16.077999999999999</v>
      </c>
      <c r="GF47" s="438">
        <v>0</v>
      </c>
      <c r="GG47" s="438">
        <v>0</v>
      </c>
      <c r="GH47" s="438">
        <v>0</v>
      </c>
      <c r="GI47" s="438">
        <v>0</v>
      </c>
      <c r="GJ47" s="438">
        <v>0</v>
      </c>
      <c r="GK47" s="438">
        <v>4715.7929999999997</v>
      </c>
      <c r="GL47" s="438">
        <v>24090</v>
      </c>
      <c r="GM47" s="438">
        <v>0</v>
      </c>
      <c r="GN47" s="438">
        <v>0</v>
      </c>
      <c r="GO47" s="438">
        <v>0</v>
      </c>
      <c r="GP47" s="438">
        <v>7217118</v>
      </c>
      <c r="GQ47" s="438">
        <v>7217118</v>
      </c>
      <c r="GR47" s="438">
        <v>0</v>
      </c>
      <c r="GS47" s="438">
        <v>0</v>
      </c>
      <c r="GT47" s="438">
        <v>0</v>
      </c>
      <c r="HB47" s="438">
        <v>0</v>
      </c>
      <c r="HC47" s="437">
        <v>6.0754000000000002E-2</v>
      </c>
      <c r="HD47" s="438">
        <v>0</v>
      </c>
    </row>
    <row r="48" spans="1:212" x14ac:dyDescent="0.2">
      <c r="A48" s="438">
        <v>25836</v>
      </c>
      <c r="B48" s="442">
        <v>53001</v>
      </c>
      <c r="C48" s="438">
        <v>9</v>
      </c>
      <c r="D48" s="438">
        <v>2020</v>
      </c>
      <c r="E48" s="438">
        <v>5541</v>
      </c>
      <c r="F48" s="438">
        <v>0</v>
      </c>
      <c r="G48" s="438">
        <v>700</v>
      </c>
      <c r="H48" s="438">
        <v>628.87</v>
      </c>
      <c r="I48" s="438">
        <v>628.87</v>
      </c>
      <c r="J48" s="438">
        <v>700</v>
      </c>
      <c r="K48" s="438">
        <v>0</v>
      </c>
      <c r="L48" s="437">
        <v>7693</v>
      </c>
      <c r="M48" s="438">
        <v>0</v>
      </c>
      <c r="N48" s="438">
        <v>0</v>
      </c>
      <c r="P48" s="438">
        <v>709.52099999999996</v>
      </c>
      <c r="Q48" s="438">
        <v>0</v>
      </c>
      <c r="R48" s="438">
        <v>175668</v>
      </c>
      <c r="S48" s="437">
        <v>247.58699999999999</v>
      </c>
      <c r="U48" s="438">
        <v>0</v>
      </c>
      <c r="V48" s="438">
        <v>100</v>
      </c>
      <c r="W48" s="438">
        <v>76930</v>
      </c>
      <c r="X48" s="438">
        <v>76930</v>
      </c>
      <c r="Z48" s="438">
        <v>6031429</v>
      </c>
      <c r="AA48" s="438">
        <v>1.1100000000000001</v>
      </c>
      <c r="AB48" s="438">
        <v>1.1100000000000001</v>
      </c>
      <c r="AC48" s="438">
        <v>0</v>
      </c>
      <c r="AD48" s="438" t="s">
        <v>636</v>
      </c>
      <c r="AE48" s="438">
        <v>0</v>
      </c>
      <c r="AH48" s="438">
        <v>1270944212</v>
      </c>
      <c r="AI48" s="438">
        <v>0</v>
      </c>
      <c r="AJ48" s="437">
        <v>5140</v>
      </c>
      <c r="AK48" s="438" t="s">
        <v>637</v>
      </c>
      <c r="AL48" s="438" t="s">
        <v>644</v>
      </c>
      <c r="AM48" s="438">
        <v>0</v>
      </c>
      <c r="AN48" s="438">
        <v>0</v>
      </c>
      <c r="AO48" s="438">
        <v>631681</v>
      </c>
      <c r="AP48" s="438">
        <v>97800</v>
      </c>
      <c r="AQ48" s="438">
        <v>0</v>
      </c>
      <c r="AR48" s="438">
        <v>6342312.8716190001</v>
      </c>
      <c r="AS48" s="438">
        <v>0</v>
      </c>
      <c r="AT48" s="438">
        <v>1</v>
      </c>
      <c r="AU48" s="438">
        <v>0</v>
      </c>
      <c r="AV48" s="438">
        <v>0</v>
      </c>
      <c r="AW48" s="438">
        <v>294332</v>
      </c>
      <c r="AX48" s="438">
        <v>215686</v>
      </c>
      <c r="AY48" s="438">
        <v>0</v>
      </c>
      <c r="AZ48" s="438">
        <v>12934610</v>
      </c>
      <c r="BA48" s="438">
        <v>58.082999999999998</v>
      </c>
      <c r="BB48" s="438">
        <v>31387</v>
      </c>
      <c r="BC48" s="438">
        <v>31387</v>
      </c>
      <c r="BD48" s="438">
        <v>34</v>
      </c>
      <c r="BE48" s="438">
        <v>0</v>
      </c>
      <c r="BF48" s="438">
        <v>6540023</v>
      </c>
      <c r="BG48" s="438">
        <v>0</v>
      </c>
      <c r="BH48" s="438">
        <v>180</v>
      </c>
      <c r="BI48" s="438">
        <v>49500</v>
      </c>
      <c r="BJ48" s="438">
        <v>12</v>
      </c>
      <c r="BK48" s="438">
        <v>0</v>
      </c>
      <c r="BL48" s="438">
        <v>0</v>
      </c>
      <c r="BM48" s="438">
        <v>0</v>
      </c>
      <c r="BN48" s="438">
        <v>0</v>
      </c>
      <c r="BO48" s="438">
        <v>0</v>
      </c>
      <c r="BP48" s="438">
        <v>0</v>
      </c>
      <c r="BQ48" s="437">
        <v>6147</v>
      </c>
      <c r="BR48" s="438">
        <v>2</v>
      </c>
      <c r="BS48" s="438">
        <v>0</v>
      </c>
      <c r="BT48" s="438">
        <v>13296830</v>
      </c>
      <c r="BU48" s="438">
        <v>797810</v>
      </c>
      <c r="BV48" s="438">
        <v>0</v>
      </c>
      <c r="BW48" s="438">
        <v>0.98</v>
      </c>
      <c r="BX48" s="438">
        <v>1</v>
      </c>
      <c r="BY48" s="438">
        <v>0.06</v>
      </c>
      <c r="BZ48" s="438">
        <v>0</v>
      </c>
      <c r="CA48" s="438">
        <v>0</v>
      </c>
      <c r="CB48" s="438">
        <v>0</v>
      </c>
      <c r="CC48" s="438">
        <v>0</v>
      </c>
      <c r="CD48" s="438">
        <v>6342313</v>
      </c>
      <c r="CF48" s="438">
        <v>0</v>
      </c>
      <c r="CG48" s="438">
        <v>0</v>
      </c>
      <c r="CH48" s="438">
        <v>29146</v>
      </c>
      <c r="CI48" s="438">
        <v>700</v>
      </c>
      <c r="CJ48" s="438">
        <v>3</v>
      </c>
      <c r="CK48" s="438">
        <v>0</v>
      </c>
      <c r="CL48" s="438">
        <v>0</v>
      </c>
      <c r="CN48" s="438">
        <v>0</v>
      </c>
      <c r="CO48" s="438">
        <v>0</v>
      </c>
      <c r="CP48" s="438">
        <v>0.38300000000000001</v>
      </c>
      <c r="CQ48" s="438">
        <v>0.41699999999999998</v>
      </c>
      <c r="CR48" s="438">
        <v>709.52099999999996</v>
      </c>
      <c r="CS48" s="438">
        <v>1270944212</v>
      </c>
      <c r="CT48" s="438">
        <v>1879409</v>
      </c>
      <c r="CU48" s="438">
        <v>14094640</v>
      </c>
      <c r="CV48" s="438">
        <v>1.06</v>
      </c>
      <c r="CW48" s="438">
        <v>31079206</v>
      </c>
      <c r="CX48" s="438">
        <v>0</v>
      </c>
      <c r="CY48" s="438">
        <v>1270944212</v>
      </c>
      <c r="CZ48" s="438">
        <v>6342313</v>
      </c>
      <c r="DA48" s="438">
        <v>1</v>
      </c>
      <c r="DB48" s="438">
        <v>4837897</v>
      </c>
      <c r="DC48" s="438">
        <v>0</v>
      </c>
      <c r="DD48" s="438">
        <v>58.5</v>
      </c>
      <c r="DE48" s="438">
        <v>753914</v>
      </c>
      <c r="DF48" s="438">
        <v>761015</v>
      </c>
      <c r="DG48" s="438">
        <v>490</v>
      </c>
      <c r="DH48" s="438">
        <v>0</v>
      </c>
      <c r="DI48" s="438">
        <v>7101</v>
      </c>
      <c r="DK48" s="437">
        <v>7693</v>
      </c>
      <c r="DL48" s="438">
        <v>0</v>
      </c>
      <c r="DM48" s="438">
        <v>507123</v>
      </c>
      <c r="DN48" s="438">
        <v>0</v>
      </c>
      <c r="DO48" s="438">
        <v>0</v>
      </c>
      <c r="DP48" s="438">
        <v>0</v>
      </c>
      <c r="DQ48" s="438">
        <v>0</v>
      </c>
      <c r="DR48" s="438">
        <v>0</v>
      </c>
      <c r="DS48" s="438">
        <v>0</v>
      </c>
      <c r="DT48" s="438">
        <v>0</v>
      </c>
      <c r="DU48" s="438">
        <v>0</v>
      </c>
      <c r="DV48" s="438">
        <v>0</v>
      </c>
      <c r="DW48" s="438">
        <v>0</v>
      </c>
      <c r="DX48" s="438">
        <v>0</v>
      </c>
      <c r="DY48" s="438">
        <v>0</v>
      </c>
      <c r="DZ48" s="438">
        <v>0</v>
      </c>
      <c r="EA48" s="438">
        <v>0.26400000000000001</v>
      </c>
      <c r="EB48" s="438">
        <v>0</v>
      </c>
      <c r="EC48" s="438">
        <v>13.7</v>
      </c>
      <c r="ED48" s="438">
        <v>115934</v>
      </c>
      <c r="EE48" s="438">
        <v>0</v>
      </c>
      <c r="EF48" s="438">
        <v>0</v>
      </c>
      <c r="EG48" s="438">
        <v>0</v>
      </c>
      <c r="EH48" s="438">
        <v>391189</v>
      </c>
      <c r="EI48" s="438">
        <v>0</v>
      </c>
      <c r="EJ48" s="438">
        <v>0</v>
      </c>
      <c r="EK48" s="438">
        <v>12</v>
      </c>
      <c r="EL48" s="438">
        <v>0</v>
      </c>
      <c r="EM48" s="438">
        <v>2.9</v>
      </c>
      <c r="EN48" s="438">
        <v>0.96599999999999997</v>
      </c>
      <c r="EO48" s="438">
        <v>0</v>
      </c>
      <c r="EP48" s="438">
        <v>0</v>
      </c>
      <c r="EQ48" s="438">
        <v>16.13</v>
      </c>
      <c r="ER48" s="438">
        <v>0</v>
      </c>
      <c r="ES48" s="438">
        <v>50.85</v>
      </c>
      <c r="ET48" s="438">
        <v>29146</v>
      </c>
      <c r="EU48" s="438">
        <v>225168</v>
      </c>
      <c r="EV48" s="438">
        <v>0</v>
      </c>
      <c r="EW48" s="438">
        <v>0</v>
      </c>
      <c r="EX48" s="438">
        <v>0</v>
      </c>
      <c r="EZ48" s="438">
        <v>0</v>
      </c>
      <c r="FA48" s="438">
        <v>12709442</v>
      </c>
      <c r="FB48" s="438">
        <v>6903181</v>
      </c>
      <c r="FC48" s="438">
        <v>0.96381499999999998</v>
      </c>
      <c r="FD48" s="438">
        <v>0</v>
      </c>
      <c r="FE48" s="438">
        <v>215686</v>
      </c>
      <c r="FF48" s="438">
        <v>0</v>
      </c>
      <c r="FG48" s="437">
        <v>6.2799999999999995E-2</v>
      </c>
      <c r="FH48" s="437">
        <v>0</v>
      </c>
      <c r="FI48" s="438">
        <v>798153</v>
      </c>
      <c r="FJ48" s="438">
        <v>0</v>
      </c>
      <c r="FK48" s="438">
        <v>1272.3779999999999</v>
      </c>
      <c r="FL48" s="438">
        <v>470000</v>
      </c>
      <c r="FM48" s="438">
        <v>15974049</v>
      </c>
      <c r="FN48" s="438">
        <v>0</v>
      </c>
      <c r="FO48" s="438">
        <v>68124</v>
      </c>
      <c r="FP48" s="438">
        <v>0</v>
      </c>
      <c r="FQ48" s="438">
        <v>68124</v>
      </c>
      <c r="FR48" s="438">
        <v>68124</v>
      </c>
      <c r="FS48" s="438">
        <v>0</v>
      </c>
      <c r="FT48" s="438">
        <v>0</v>
      </c>
      <c r="FU48" s="438">
        <v>0</v>
      </c>
      <c r="FV48" s="438">
        <v>0</v>
      </c>
      <c r="FW48" s="438">
        <v>0</v>
      </c>
      <c r="FX48" s="438">
        <v>0</v>
      </c>
      <c r="FY48" s="438">
        <v>0</v>
      </c>
      <c r="FZ48" s="438">
        <v>0</v>
      </c>
      <c r="GA48" s="438">
        <v>0</v>
      </c>
      <c r="GB48" s="438">
        <v>571205</v>
      </c>
      <c r="GC48" s="438">
        <v>571205</v>
      </c>
      <c r="GD48" s="438">
        <v>55</v>
      </c>
      <c r="GF48" s="438">
        <v>0</v>
      </c>
      <c r="GG48" s="438">
        <v>0</v>
      </c>
      <c r="GH48" s="438">
        <v>0</v>
      </c>
      <c r="GI48" s="438">
        <v>0</v>
      </c>
      <c r="GJ48" s="438">
        <v>1.5</v>
      </c>
      <c r="GK48" s="438">
        <v>6311.4390000000003</v>
      </c>
      <c r="GL48" s="438">
        <v>27157</v>
      </c>
      <c r="GM48" s="438">
        <v>0</v>
      </c>
      <c r="GN48" s="438">
        <v>93339</v>
      </c>
      <c r="GO48" s="438">
        <v>7752327</v>
      </c>
      <c r="GP48" s="438">
        <v>440854</v>
      </c>
      <c r="GQ48" s="438">
        <v>8193181</v>
      </c>
      <c r="GR48" s="438">
        <v>1270944212</v>
      </c>
      <c r="GS48" s="438">
        <v>14094640</v>
      </c>
      <c r="GT48" s="438">
        <v>14094640</v>
      </c>
      <c r="HB48" s="438">
        <v>0</v>
      </c>
      <c r="HC48" s="437">
        <v>0</v>
      </c>
      <c r="HD48" s="438">
        <v>0</v>
      </c>
    </row>
    <row r="49" spans="1:212" x14ac:dyDescent="0.2">
      <c r="A49" s="438">
        <v>25836</v>
      </c>
      <c r="B49" s="442">
        <v>57802</v>
      </c>
      <c r="C49" s="438">
        <v>9</v>
      </c>
      <c r="D49" s="438">
        <v>2020</v>
      </c>
      <c r="E49" s="438">
        <v>5392</v>
      </c>
      <c r="F49" s="438">
        <v>0</v>
      </c>
      <c r="G49" s="438">
        <v>625.46299999999997</v>
      </c>
      <c r="H49" s="438">
        <v>609.31399999999996</v>
      </c>
      <c r="I49" s="438">
        <v>609.31399999999996</v>
      </c>
      <c r="J49" s="438">
        <v>625.46299999999997</v>
      </c>
      <c r="K49" s="438">
        <v>0</v>
      </c>
      <c r="L49" s="437">
        <v>6544</v>
      </c>
      <c r="M49" s="438">
        <v>0</v>
      </c>
      <c r="N49" s="438">
        <v>0</v>
      </c>
      <c r="P49" s="438">
        <v>627.58299999999997</v>
      </c>
      <c r="Q49" s="438">
        <v>0</v>
      </c>
      <c r="R49" s="438">
        <v>155381</v>
      </c>
      <c r="S49" s="437">
        <v>247.58699999999999</v>
      </c>
      <c r="U49" s="438">
        <v>0</v>
      </c>
      <c r="V49" s="438">
        <v>132.56800000000001</v>
      </c>
      <c r="W49" s="438">
        <v>86752</v>
      </c>
      <c r="X49" s="438">
        <v>86752</v>
      </c>
      <c r="Z49" s="438">
        <v>0</v>
      </c>
      <c r="AA49" s="438">
        <v>1</v>
      </c>
      <c r="AB49" s="438">
        <v>1</v>
      </c>
      <c r="AC49" s="438">
        <v>0</v>
      </c>
      <c r="AD49" s="438" t="s">
        <v>332</v>
      </c>
      <c r="AE49" s="438">
        <v>0</v>
      </c>
      <c r="AH49" s="438">
        <v>0</v>
      </c>
      <c r="AI49" s="438">
        <v>0</v>
      </c>
      <c r="AJ49" s="437">
        <v>5105</v>
      </c>
      <c r="AK49" s="438" t="s">
        <v>561</v>
      </c>
      <c r="AL49" s="438" t="s">
        <v>18</v>
      </c>
      <c r="AM49" s="438">
        <v>0</v>
      </c>
      <c r="AN49" s="438">
        <v>0</v>
      </c>
      <c r="AO49" s="438">
        <v>0</v>
      </c>
      <c r="AP49" s="438">
        <v>0</v>
      </c>
      <c r="AQ49" s="438">
        <v>0</v>
      </c>
      <c r="AR49" s="438">
        <v>0</v>
      </c>
      <c r="AS49" s="438">
        <v>0</v>
      </c>
      <c r="AT49" s="438">
        <v>0</v>
      </c>
      <c r="AU49" s="438">
        <v>0</v>
      </c>
      <c r="AV49" s="438">
        <v>0</v>
      </c>
      <c r="AW49" s="438">
        <v>6234245</v>
      </c>
      <c r="AX49" s="438">
        <v>6169348</v>
      </c>
      <c r="AY49" s="438">
        <v>0</v>
      </c>
      <c r="AZ49" s="438">
        <v>208361</v>
      </c>
      <c r="BA49" s="438">
        <v>23.832999999999998</v>
      </c>
      <c r="BB49" s="438">
        <v>0</v>
      </c>
      <c r="BC49" s="438">
        <v>0</v>
      </c>
      <c r="BD49" s="438">
        <v>0</v>
      </c>
      <c r="BE49" s="438">
        <v>0</v>
      </c>
      <c r="BF49" s="438">
        <v>5138646</v>
      </c>
      <c r="BG49" s="438">
        <v>0</v>
      </c>
      <c r="BH49" s="438">
        <v>192.65299999999999</v>
      </c>
      <c r="BI49" s="438">
        <v>52980</v>
      </c>
      <c r="BJ49" s="438">
        <v>12</v>
      </c>
      <c r="BK49" s="438">
        <v>0</v>
      </c>
      <c r="BL49" s="438">
        <v>0</v>
      </c>
      <c r="BM49" s="438">
        <v>0</v>
      </c>
      <c r="BN49" s="438">
        <v>0</v>
      </c>
      <c r="BO49" s="438">
        <v>0</v>
      </c>
      <c r="BP49" s="438">
        <v>0</v>
      </c>
      <c r="BQ49" s="437">
        <v>5392</v>
      </c>
      <c r="BR49" s="438">
        <v>1</v>
      </c>
      <c r="BS49" s="438">
        <v>0</v>
      </c>
      <c r="BT49" s="438">
        <v>0</v>
      </c>
      <c r="BU49" s="438">
        <v>0</v>
      </c>
      <c r="BV49" s="438">
        <v>0</v>
      </c>
      <c r="BW49" s="438">
        <v>0</v>
      </c>
      <c r="BX49" s="438">
        <v>0</v>
      </c>
      <c r="BY49" s="438">
        <v>0</v>
      </c>
      <c r="BZ49" s="438">
        <v>0</v>
      </c>
      <c r="CA49" s="438">
        <v>0</v>
      </c>
      <c r="CB49" s="438">
        <v>0</v>
      </c>
      <c r="CC49" s="438">
        <v>0</v>
      </c>
      <c r="CG49" s="438">
        <v>0</v>
      </c>
      <c r="CH49" s="438">
        <v>11917</v>
      </c>
      <c r="CI49" s="438">
        <v>0</v>
      </c>
      <c r="CJ49" s="438">
        <v>4</v>
      </c>
      <c r="CK49" s="438">
        <v>0</v>
      </c>
      <c r="CL49" s="438">
        <v>0</v>
      </c>
      <c r="CN49" s="438">
        <v>0</v>
      </c>
      <c r="CO49" s="438">
        <v>1</v>
      </c>
      <c r="CP49" s="438">
        <v>0</v>
      </c>
      <c r="CQ49" s="438">
        <v>0</v>
      </c>
      <c r="CR49" s="438">
        <v>625.46299999999997</v>
      </c>
      <c r="CS49" s="438">
        <v>0</v>
      </c>
      <c r="CT49" s="438">
        <v>0</v>
      </c>
      <c r="CU49" s="438">
        <v>0</v>
      </c>
      <c r="CV49" s="438">
        <v>0</v>
      </c>
      <c r="CW49" s="438">
        <v>0</v>
      </c>
      <c r="CX49" s="438">
        <v>0</v>
      </c>
      <c r="CY49" s="438">
        <v>0</v>
      </c>
      <c r="CZ49" s="438">
        <v>0</v>
      </c>
      <c r="DA49" s="438">
        <v>1</v>
      </c>
      <c r="DB49" s="438">
        <v>3987351</v>
      </c>
      <c r="DC49" s="438">
        <v>0</v>
      </c>
      <c r="DD49" s="438">
        <v>23.832999999999998</v>
      </c>
      <c r="DE49" s="438">
        <v>748634</v>
      </c>
      <c r="DF49" s="438">
        <v>748634</v>
      </c>
      <c r="DG49" s="438">
        <v>572</v>
      </c>
      <c r="DH49" s="438">
        <v>0</v>
      </c>
      <c r="DI49" s="438">
        <v>0</v>
      </c>
      <c r="DK49" s="437">
        <v>5392</v>
      </c>
      <c r="DL49" s="438">
        <v>0</v>
      </c>
      <c r="DM49" s="438">
        <v>456607</v>
      </c>
      <c r="DN49" s="438">
        <v>0</v>
      </c>
      <c r="DO49" s="438">
        <v>0</v>
      </c>
      <c r="DP49" s="438">
        <v>0</v>
      </c>
      <c r="DQ49" s="438">
        <v>0</v>
      </c>
      <c r="DR49" s="438">
        <v>0</v>
      </c>
      <c r="DS49" s="438">
        <v>0</v>
      </c>
      <c r="DT49" s="438">
        <v>0</v>
      </c>
      <c r="DU49" s="438">
        <v>0</v>
      </c>
      <c r="DV49" s="438">
        <v>0</v>
      </c>
      <c r="DW49" s="438">
        <v>0</v>
      </c>
      <c r="DX49" s="438">
        <v>0</v>
      </c>
      <c r="DY49" s="438">
        <v>0</v>
      </c>
      <c r="DZ49" s="438">
        <v>0</v>
      </c>
      <c r="EA49" s="438">
        <v>0</v>
      </c>
      <c r="EB49" s="438">
        <v>0</v>
      </c>
      <c r="EC49" s="438">
        <v>17.940000000000001</v>
      </c>
      <c r="ED49" s="438">
        <v>129139</v>
      </c>
      <c r="EE49" s="438">
        <v>0</v>
      </c>
      <c r="EF49" s="438">
        <v>0</v>
      </c>
      <c r="EG49" s="438">
        <v>0</v>
      </c>
      <c r="EH49" s="438">
        <v>327468</v>
      </c>
      <c r="EI49" s="438">
        <v>0</v>
      </c>
      <c r="EJ49" s="438">
        <v>0</v>
      </c>
      <c r="EK49" s="438">
        <v>14.952</v>
      </c>
      <c r="EL49" s="438">
        <v>0</v>
      </c>
      <c r="EM49" s="438">
        <v>0.4</v>
      </c>
      <c r="EN49" s="438">
        <v>0.79700000000000004</v>
      </c>
      <c r="EO49" s="438">
        <v>0</v>
      </c>
      <c r="EP49" s="438">
        <v>0</v>
      </c>
      <c r="EQ49" s="438">
        <v>16.149000000000001</v>
      </c>
      <c r="ER49" s="438">
        <v>0</v>
      </c>
      <c r="ES49" s="438">
        <v>50.040999999999997</v>
      </c>
      <c r="ET49" s="438">
        <v>11917</v>
      </c>
      <c r="EU49" s="438">
        <v>208361</v>
      </c>
      <c r="EV49" s="438">
        <v>0</v>
      </c>
      <c r="EW49" s="438">
        <v>0</v>
      </c>
      <c r="EX49" s="438">
        <v>0</v>
      </c>
      <c r="EZ49" s="438">
        <v>5261963</v>
      </c>
      <c r="FA49" s="438">
        <v>0</v>
      </c>
      <c r="FB49" s="438">
        <v>5470324</v>
      </c>
      <c r="FC49" s="438">
        <v>0.97334900000000002</v>
      </c>
      <c r="FD49" s="438">
        <v>0</v>
      </c>
      <c r="FE49" s="438">
        <v>738960</v>
      </c>
      <c r="FF49" s="438">
        <v>168425</v>
      </c>
      <c r="FG49" s="437">
        <v>5.7854999999999997E-2</v>
      </c>
      <c r="FH49" s="437">
        <v>5.2366000000000003E-2</v>
      </c>
      <c r="FI49" s="438">
        <v>0</v>
      </c>
      <c r="FJ49" s="438">
        <v>0</v>
      </c>
      <c r="FK49" s="438">
        <v>1006.67</v>
      </c>
      <c r="FL49" s="438">
        <v>6389626</v>
      </c>
      <c r="FM49" s="438">
        <v>0</v>
      </c>
      <c r="FN49" s="438">
        <v>0</v>
      </c>
      <c r="FO49" s="438">
        <v>138000</v>
      </c>
      <c r="FP49" s="438">
        <v>0</v>
      </c>
      <c r="FQ49" s="438">
        <v>138000</v>
      </c>
      <c r="FR49" s="438">
        <v>138000</v>
      </c>
      <c r="FS49" s="438">
        <v>0</v>
      </c>
      <c r="FT49" s="438">
        <v>0</v>
      </c>
      <c r="FU49" s="438">
        <v>0</v>
      </c>
      <c r="FV49" s="438">
        <v>0</v>
      </c>
      <c r="FW49" s="438">
        <v>0</v>
      </c>
      <c r="FX49" s="438">
        <v>0</v>
      </c>
      <c r="FY49" s="438">
        <v>0</v>
      </c>
      <c r="FZ49" s="438">
        <v>0</v>
      </c>
      <c r="GA49" s="438">
        <v>0</v>
      </c>
      <c r="GB49" s="438">
        <v>0</v>
      </c>
      <c r="GC49" s="438">
        <v>0</v>
      </c>
      <c r="GD49" s="438">
        <v>0</v>
      </c>
      <c r="GF49" s="438">
        <v>0</v>
      </c>
      <c r="GG49" s="438">
        <v>0</v>
      </c>
      <c r="GH49" s="438">
        <v>0</v>
      </c>
      <c r="GI49" s="438">
        <v>0</v>
      </c>
      <c r="GJ49" s="438">
        <v>0</v>
      </c>
      <c r="GK49" s="438">
        <v>4965.8940000000002</v>
      </c>
      <c r="GL49" s="438">
        <v>14383</v>
      </c>
      <c r="GM49" s="438">
        <v>0</v>
      </c>
      <c r="GN49" s="438">
        <v>0</v>
      </c>
      <c r="GO49" s="438">
        <v>0</v>
      </c>
      <c r="GP49" s="438">
        <v>6377709</v>
      </c>
      <c r="GQ49" s="438">
        <v>6377709</v>
      </c>
      <c r="GR49" s="438">
        <v>0</v>
      </c>
      <c r="GS49" s="438">
        <v>0</v>
      </c>
      <c r="GT49" s="438">
        <v>0</v>
      </c>
      <c r="HB49" s="438">
        <v>0</v>
      </c>
      <c r="HC49" s="437">
        <v>6.0754000000000002E-2</v>
      </c>
      <c r="HD49" s="438">
        <v>0</v>
      </c>
    </row>
    <row r="50" spans="1:212" x14ac:dyDescent="0.2">
      <c r="A50" s="438">
        <v>25836</v>
      </c>
      <c r="B50" s="442">
        <v>57803</v>
      </c>
      <c r="C50" s="438">
        <v>9</v>
      </c>
      <c r="D50" s="438">
        <v>2020</v>
      </c>
      <c r="E50" s="438">
        <v>5392</v>
      </c>
      <c r="F50" s="438">
        <v>0</v>
      </c>
      <c r="G50" s="438">
        <v>17529.075000000001</v>
      </c>
      <c r="H50" s="438">
        <v>16263.683999999999</v>
      </c>
      <c r="I50" s="438">
        <v>16263.683999999999</v>
      </c>
      <c r="J50" s="438">
        <v>17529.075000000001</v>
      </c>
      <c r="K50" s="438">
        <v>0</v>
      </c>
      <c r="L50" s="437">
        <v>6544</v>
      </c>
      <c r="M50" s="438">
        <v>0</v>
      </c>
      <c r="N50" s="438">
        <v>0</v>
      </c>
      <c r="P50" s="438">
        <v>17587.297999999999</v>
      </c>
      <c r="Q50" s="438">
        <v>0</v>
      </c>
      <c r="R50" s="438">
        <v>4354386</v>
      </c>
      <c r="S50" s="437">
        <v>247.58699999999999</v>
      </c>
      <c r="U50" s="438">
        <v>0</v>
      </c>
      <c r="V50" s="438">
        <v>5190.29</v>
      </c>
      <c r="W50" s="438">
        <v>3396526</v>
      </c>
      <c r="X50" s="438">
        <v>3396526</v>
      </c>
      <c r="Z50" s="438">
        <v>0</v>
      </c>
      <c r="AA50" s="438">
        <v>1</v>
      </c>
      <c r="AB50" s="438">
        <v>1</v>
      </c>
      <c r="AC50" s="438">
        <v>0</v>
      </c>
      <c r="AD50" s="438" t="s">
        <v>332</v>
      </c>
      <c r="AE50" s="438">
        <v>0</v>
      </c>
      <c r="AH50" s="438">
        <v>0</v>
      </c>
      <c r="AI50" s="438">
        <v>0</v>
      </c>
      <c r="AJ50" s="437">
        <v>5105</v>
      </c>
      <c r="AK50" s="438" t="s">
        <v>561</v>
      </c>
      <c r="AL50" s="438" t="s">
        <v>407</v>
      </c>
      <c r="AM50" s="438">
        <v>0</v>
      </c>
      <c r="AN50" s="438">
        <v>0</v>
      </c>
      <c r="AO50" s="438">
        <v>0</v>
      </c>
      <c r="AP50" s="438">
        <v>0</v>
      </c>
      <c r="AQ50" s="438">
        <v>0</v>
      </c>
      <c r="AR50" s="438">
        <v>0</v>
      </c>
      <c r="AS50" s="438">
        <v>0</v>
      </c>
      <c r="AT50" s="438">
        <v>0</v>
      </c>
      <c r="AU50" s="438">
        <v>0</v>
      </c>
      <c r="AV50" s="438">
        <v>0</v>
      </c>
      <c r="AW50" s="438">
        <v>167353862</v>
      </c>
      <c r="AX50" s="438">
        <v>165980567</v>
      </c>
      <c r="AY50" s="438">
        <v>0</v>
      </c>
      <c r="AZ50" s="438">
        <v>5534202</v>
      </c>
      <c r="BA50" s="438">
        <v>384.25</v>
      </c>
      <c r="BB50" s="438">
        <v>0</v>
      </c>
      <c r="BC50" s="438">
        <v>0</v>
      </c>
      <c r="BD50" s="438">
        <v>0</v>
      </c>
      <c r="BE50" s="438">
        <v>0</v>
      </c>
      <c r="BF50" s="438">
        <v>141478798</v>
      </c>
      <c r="BG50" s="438">
        <v>0</v>
      </c>
      <c r="BH50" s="438">
        <v>4290.24</v>
      </c>
      <c r="BI50" s="438">
        <v>1179816</v>
      </c>
      <c r="BJ50" s="438">
        <v>12</v>
      </c>
      <c r="BK50" s="438">
        <v>0</v>
      </c>
      <c r="BL50" s="438">
        <v>0</v>
      </c>
      <c r="BM50" s="438">
        <v>0</v>
      </c>
      <c r="BN50" s="438">
        <v>0</v>
      </c>
      <c r="BO50" s="438">
        <v>0</v>
      </c>
      <c r="BP50" s="438">
        <v>0</v>
      </c>
      <c r="BQ50" s="437">
        <v>5392</v>
      </c>
      <c r="BR50" s="438">
        <v>1</v>
      </c>
      <c r="BS50" s="438">
        <v>0</v>
      </c>
      <c r="BT50" s="438">
        <v>0</v>
      </c>
      <c r="BU50" s="438">
        <v>0</v>
      </c>
      <c r="BV50" s="438">
        <v>0</v>
      </c>
      <c r="BW50" s="438">
        <v>0</v>
      </c>
      <c r="BX50" s="438">
        <v>0</v>
      </c>
      <c r="BY50" s="438">
        <v>0</v>
      </c>
      <c r="BZ50" s="438">
        <v>0</v>
      </c>
      <c r="CA50" s="438">
        <v>0</v>
      </c>
      <c r="CB50" s="438">
        <v>0</v>
      </c>
      <c r="CC50" s="438">
        <v>0</v>
      </c>
      <c r="CG50" s="438">
        <v>0</v>
      </c>
      <c r="CH50" s="438">
        <v>193479</v>
      </c>
      <c r="CI50" s="438">
        <v>0</v>
      </c>
      <c r="CJ50" s="438">
        <v>4</v>
      </c>
      <c r="CK50" s="438">
        <v>0</v>
      </c>
      <c r="CL50" s="438">
        <v>0</v>
      </c>
      <c r="CN50" s="438">
        <v>0</v>
      </c>
      <c r="CO50" s="438">
        <v>1</v>
      </c>
      <c r="CP50" s="438">
        <v>0</v>
      </c>
      <c r="CQ50" s="438">
        <v>5.4169999999999998</v>
      </c>
      <c r="CR50" s="438">
        <v>17529.075000000001</v>
      </c>
      <c r="CS50" s="438">
        <v>0</v>
      </c>
      <c r="CT50" s="438">
        <v>0</v>
      </c>
      <c r="CU50" s="438">
        <v>0</v>
      </c>
      <c r="CV50" s="438">
        <v>0</v>
      </c>
      <c r="CW50" s="438">
        <v>0</v>
      </c>
      <c r="CX50" s="438">
        <v>0</v>
      </c>
      <c r="CY50" s="438">
        <v>0</v>
      </c>
      <c r="CZ50" s="438">
        <v>0</v>
      </c>
      <c r="DA50" s="438">
        <v>1</v>
      </c>
      <c r="DB50" s="438">
        <v>106429548</v>
      </c>
      <c r="DC50" s="438">
        <v>0</v>
      </c>
      <c r="DD50" s="438">
        <v>389.66699999999997</v>
      </c>
      <c r="DE50" s="438">
        <v>17947797</v>
      </c>
      <c r="DF50" s="438">
        <v>17947797</v>
      </c>
      <c r="DG50" s="438">
        <v>13713.17</v>
      </c>
      <c r="DH50" s="438">
        <v>0</v>
      </c>
      <c r="DI50" s="438">
        <v>0</v>
      </c>
      <c r="DK50" s="437">
        <v>5392</v>
      </c>
      <c r="DL50" s="438">
        <v>0</v>
      </c>
      <c r="DM50" s="438">
        <v>10869766</v>
      </c>
      <c r="DN50" s="438">
        <v>0</v>
      </c>
      <c r="DO50" s="438">
        <v>0</v>
      </c>
      <c r="DP50" s="438">
        <v>0</v>
      </c>
      <c r="DQ50" s="438">
        <v>0</v>
      </c>
      <c r="DR50" s="438">
        <v>0</v>
      </c>
      <c r="DS50" s="438">
        <v>0</v>
      </c>
      <c r="DT50" s="438">
        <v>0</v>
      </c>
      <c r="DU50" s="438">
        <v>0</v>
      </c>
      <c r="DV50" s="438">
        <v>0</v>
      </c>
      <c r="DW50" s="438">
        <v>0</v>
      </c>
      <c r="DX50" s="438">
        <v>0</v>
      </c>
      <c r="DY50" s="438">
        <v>0</v>
      </c>
      <c r="DZ50" s="438">
        <v>0</v>
      </c>
      <c r="EA50" s="438">
        <v>0.54300000000000004</v>
      </c>
      <c r="EB50" s="438">
        <v>0</v>
      </c>
      <c r="EC50" s="438">
        <v>80.988</v>
      </c>
      <c r="ED50" s="438">
        <v>582984</v>
      </c>
      <c r="EE50" s="438">
        <v>0</v>
      </c>
      <c r="EF50" s="438">
        <v>0</v>
      </c>
      <c r="EG50" s="438">
        <v>0</v>
      </c>
      <c r="EH50" s="438">
        <v>10286782</v>
      </c>
      <c r="EI50" s="438">
        <v>0</v>
      </c>
      <c r="EJ50" s="438">
        <v>0</v>
      </c>
      <c r="EK50" s="438">
        <v>402.5</v>
      </c>
      <c r="EL50" s="438">
        <v>0</v>
      </c>
      <c r="EM50" s="438">
        <v>76.492000000000004</v>
      </c>
      <c r="EN50" s="438">
        <v>26.45</v>
      </c>
      <c r="EO50" s="438">
        <v>0</v>
      </c>
      <c r="EP50" s="438">
        <v>0</v>
      </c>
      <c r="EQ50" s="438">
        <v>505.98500000000001</v>
      </c>
      <c r="ER50" s="438">
        <v>0</v>
      </c>
      <c r="ES50" s="438">
        <v>1571.941</v>
      </c>
      <c r="ET50" s="438">
        <v>193479</v>
      </c>
      <c r="EU50" s="438">
        <v>5534202</v>
      </c>
      <c r="EV50" s="438">
        <v>0</v>
      </c>
      <c r="EW50" s="438">
        <v>0</v>
      </c>
      <c r="EX50" s="438">
        <v>0</v>
      </c>
      <c r="EZ50" s="438">
        <v>140998147</v>
      </c>
      <c r="FA50" s="438">
        <v>0</v>
      </c>
      <c r="FB50" s="438">
        <v>146532349</v>
      </c>
      <c r="FC50" s="438">
        <v>0.97334900000000002</v>
      </c>
      <c r="FD50" s="438">
        <v>0</v>
      </c>
      <c r="FE50" s="438">
        <v>20345283</v>
      </c>
      <c r="FF50" s="438">
        <v>4637137</v>
      </c>
      <c r="FG50" s="437">
        <v>5.7854999999999997E-2</v>
      </c>
      <c r="FH50" s="437">
        <v>5.2366000000000003E-2</v>
      </c>
      <c r="FI50" s="438">
        <v>0</v>
      </c>
      <c r="FJ50" s="438">
        <v>0</v>
      </c>
      <c r="FK50" s="438">
        <v>27715.944</v>
      </c>
      <c r="FL50" s="438">
        <v>171708248</v>
      </c>
      <c r="FM50" s="438">
        <v>0</v>
      </c>
      <c r="FN50" s="438">
        <v>0</v>
      </c>
      <c r="FO50" s="438">
        <v>0</v>
      </c>
      <c r="FP50" s="438">
        <v>0</v>
      </c>
      <c r="FQ50" s="438">
        <v>0</v>
      </c>
      <c r="FR50" s="438">
        <v>0</v>
      </c>
      <c r="FS50" s="438">
        <v>0</v>
      </c>
      <c r="FT50" s="438">
        <v>0</v>
      </c>
      <c r="FU50" s="438">
        <v>1.53</v>
      </c>
      <c r="FV50" s="438">
        <v>0</v>
      </c>
      <c r="FW50" s="438">
        <v>0</v>
      </c>
      <c r="FX50" s="438">
        <v>0</v>
      </c>
      <c r="FY50" s="438">
        <v>0</v>
      </c>
      <c r="FZ50" s="438">
        <v>0</v>
      </c>
      <c r="GA50" s="438">
        <v>0</v>
      </c>
      <c r="GB50" s="438">
        <v>6708896</v>
      </c>
      <c r="GC50" s="438">
        <v>6708896</v>
      </c>
      <c r="GD50" s="438">
        <v>759.40599999999995</v>
      </c>
      <c r="GF50" s="438">
        <v>0</v>
      </c>
      <c r="GG50" s="438">
        <v>0</v>
      </c>
      <c r="GH50" s="438">
        <v>0</v>
      </c>
      <c r="GI50" s="438">
        <v>0</v>
      </c>
      <c r="GJ50" s="438">
        <v>0</v>
      </c>
      <c r="GK50" s="438">
        <v>4964.9679999999998</v>
      </c>
      <c r="GL50" s="438">
        <v>32605</v>
      </c>
      <c r="GM50" s="438">
        <v>0</v>
      </c>
      <c r="GN50" s="438">
        <v>0</v>
      </c>
      <c r="GO50" s="438">
        <v>0</v>
      </c>
      <c r="GP50" s="438">
        <v>171514769</v>
      </c>
      <c r="GQ50" s="438">
        <v>171514769</v>
      </c>
      <c r="GR50" s="438">
        <v>0</v>
      </c>
      <c r="GS50" s="438">
        <v>0</v>
      </c>
      <c r="GT50" s="438">
        <v>0</v>
      </c>
      <c r="HB50" s="438">
        <v>0</v>
      </c>
      <c r="HC50" s="437">
        <v>6.0754000000000002E-2</v>
      </c>
      <c r="HD50" s="438">
        <v>0</v>
      </c>
    </row>
    <row r="51" spans="1:212" x14ac:dyDescent="0.2">
      <c r="A51" s="438">
        <v>25836</v>
      </c>
      <c r="B51" s="442">
        <v>57804</v>
      </c>
      <c r="C51" s="438">
        <v>9</v>
      </c>
      <c r="D51" s="438">
        <v>2020</v>
      </c>
      <c r="E51" s="438">
        <v>5392</v>
      </c>
      <c r="F51" s="438">
        <v>0</v>
      </c>
      <c r="G51" s="438">
        <v>4651.3230000000003</v>
      </c>
      <c r="H51" s="438">
        <v>4437.7709999999997</v>
      </c>
      <c r="I51" s="438">
        <v>4437.7709999999997</v>
      </c>
      <c r="J51" s="438">
        <v>4651.3230000000003</v>
      </c>
      <c r="K51" s="438">
        <v>0</v>
      </c>
      <c r="L51" s="437">
        <v>6544</v>
      </c>
      <c r="M51" s="438">
        <v>0</v>
      </c>
      <c r="N51" s="438">
        <v>0</v>
      </c>
      <c r="P51" s="438">
        <v>4655.41</v>
      </c>
      <c r="Q51" s="438">
        <v>0</v>
      </c>
      <c r="R51" s="438">
        <v>1152619</v>
      </c>
      <c r="S51" s="437">
        <v>247.58699999999999</v>
      </c>
      <c r="U51" s="438">
        <v>0</v>
      </c>
      <c r="V51" s="438">
        <v>744.61</v>
      </c>
      <c r="W51" s="438">
        <v>487273</v>
      </c>
      <c r="X51" s="438">
        <v>487273</v>
      </c>
      <c r="Z51" s="438">
        <v>0</v>
      </c>
      <c r="AA51" s="438">
        <v>1</v>
      </c>
      <c r="AB51" s="438">
        <v>1</v>
      </c>
      <c r="AC51" s="438">
        <v>0</v>
      </c>
      <c r="AD51" s="438" t="s">
        <v>332</v>
      </c>
      <c r="AE51" s="438">
        <v>0</v>
      </c>
      <c r="AH51" s="438">
        <v>0</v>
      </c>
      <c r="AI51" s="438">
        <v>0</v>
      </c>
      <c r="AJ51" s="437">
        <v>5105</v>
      </c>
      <c r="AK51" s="438" t="s">
        <v>561</v>
      </c>
      <c r="AL51" s="438" t="s">
        <v>340</v>
      </c>
      <c r="AM51" s="438">
        <v>0</v>
      </c>
      <c r="AN51" s="438">
        <v>0</v>
      </c>
      <c r="AO51" s="438">
        <v>0</v>
      </c>
      <c r="AP51" s="438">
        <v>0</v>
      </c>
      <c r="AQ51" s="438">
        <v>0</v>
      </c>
      <c r="AR51" s="438">
        <v>0</v>
      </c>
      <c r="AS51" s="438">
        <v>0</v>
      </c>
      <c r="AT51" s="438">
        <v>0</v>
      </c>
      <c r="AU51" s="438">
        <v>0</v>
      </c>
      <c r="AV51" s="438">
        <v>0</v>
      </c>
      <c r="AW51" s="438">
        <v>48319049</v>
      </c>
      <c r="AX51" s="438">
        <v>47039935</v>
      </c>
      <c r="AY51" s="438">
        <v>0</v>
      </c>
      <c r="AZ51" s="438">
        <v>2431733</v>
      </c>
      <c r="BA51" s="438">
        <v>0</v>
      </c>
      <c r="BB51" s="438">
        <v>0</v>
      </c>
      <c r="BC51" s="438">
        <v>0</v>
      </c>
      <c r="BD51" s="438">
        <v>0</v>
      </c>
      <c r="BE51" s="438">
        <v>0</v>
      </c>
      <c r="BF51" s="438">
        <v>39218870</v>
      </c>
      <c r="BG51" s="438">
        <v>0</v>
      </c>
      <c r="BH51" s="438">
        <v>4960.7820000000002</v>
      </c>
      <c r="BI51" s="438">
        <v>1279114</v>
      </c>
      <c r="BJ51" s="438">
        <v>12</v>
      </c>
      <c r="BK51" s="438">
        <v>0</v>
      </c>
      <c r="BL51" s="438">
        <v>0</v>
      </c>
      <c r="BM51" s="438">
        <v>0</v>
      </c>
      <c r="BN51" s="438">
        <v>0</v>
      </c>
      <c r="BO51" s="438">
        <v>0</v>
      </c>
      <c r="BP51" s="438">
        <v>0</v>
      </c>
      <c r="BQ51" s="437">
        <v>5392</v>
      </c>
      <c r="BR51" s="438">
        <v>1</v>
      </c>
      <c r="BS51" s="438">
        <v>0</v>
      </c>
      <c r="BT51" s="438">
        <v>0</v>
      </c>
      <c r="BU51" s="438">
        <v>0</v>
      </c>
      <c r="BV51" s="438">
        <v>0</v>
      </c>
      <c r="BW51" s="438">
        <v>0</v>
      </c>
      <c r="BX51" s="438">
        <v>0</v>
      </c>
      <c r="BY51" s="438">
        <v>0</v>
      </c>
      <c r="BZ51" s="438">
        <v>0</v>
      </c>
      <c r="CA51" s="438">
        <v>0</v>
      </c>
      <c r="CB51" s="438">
        <v>0</v>
      </c>
      <c r="CC51" s="438">
        <v>0</v>
      </c>
      <c r="CG51" s="438">
        <v>0</v>
      </c>
      <c r="CH51" s="438">
        <v>0</v>
      </c>
      <c r="CI51" s="438">
        <v>0</v>
      </c>
      <c r="CJ51" s="438">
        <v>4</v>
      </c>
      <c r="CK51" s="438">
        <v>0</v>
      </c>
      <c r="CL51" s="438">
        <v>0</v>
      </c>
      <c r="CN51" s="438">
        <v>0</v>
      </c>
      <c r="CO51" s="438">
        <v>1</v>
      </c>
      <c r="CP51" s="438">
        <v>0</v>
      </c>
      <c r="CQ51" s="438">
        <v>0</v>
      </c>
      <c r="CR51" s="438">
        <v>4651.3230000000003</v>
      </c>
      <c r="CS51" s="438">
        <v>0</v>
      </c>
      <c r="CT51" s="438">
        <v>0</v>
      </c>
      <c r="CU51" s="438">
        <v>0</v>
      </c>
      <c r="CV51" s="438">
        <v>0</v>
      </c>
      <c r="CW51" s="438">
        <v>0</v>
      </c>
      <c r="CX51" s="438">
        <v>0</v>
      </c>
      <c r="CY51" s="438">
        <v>0</v>
      </c>
      <c r="CZ51" s="438">
        <v>0</v>
      </c>
      <c r="DA51" s="438">
        <v>1</v>
      </c>
      <c r="DB51" s="438">
        <v>29040773</v>
      </c>
      <c r="DC51" s="438">
        <v>0</v>
      </c>
      <c r="DD51" s="438">
        <v>0</v>
      </c>
      <c r="DE51" s="438">
        <v>6103157</v>
      </c>
      <c r="DF51" s="438">
        <v>6103157</v>
      </c>
      <c r="DG51" s="438">
        <v>4663.17</v>
      </c>
      <c r="DH51" s="438">
        <v>0</v>
      </c>
      <c r="DI51" s="438">
        <v>0</v>
      </c>
      <c r="DK51" s="437">
        <v>5392</v>
      </c>
      <c r="DL51" s="438">
        <v>0</v>
      </c>
      <c r="DM51" s="438">
        <v>2829732</v>
      </c>
      <c r="DN51" s="438">
        <v>0</v>
      </c>
      <c r="DO51" s="438">
        <v>0</v>
      </c>
      <c r="DP51" s="438">
        <v>0</v>
      </c>
      <c r="DQ51" s="438">
        <v>0</v>
      </c>
      <c r="DR51" s="438">
        <v>0</v>
      </c>
      <c r="DS51" s="438">
        <v>0</v>
      </c>
      <c r="DT51" s="438">
        <v>0</v>
      </c>
      <c r="DU51" s="438">
        <v>0</v>
      </c>
      <c r="DV51" s="438">
        <v>0</v>
      </c>
      <c r="DW51" s="438">
        <v>0</v>
      </c>
      <c r="DX51" s="438">
        <v>0</v>
      </c>
      <c r="DY51" s="438">
        <v>0</v>
      </c>
      <c r="DZ51" s="438">
        <v>0</v>
      </c>
      <c r="EA51" s="438">
        <v>0</v>
      </c>
      <c r="EB51" s="438">
        <v>0</v>
      </c>
      <c r="EC51" s="438">
        <v>375.29300000000001</v>
      </c>
      <c r="ED51" s="438">
        <v>2701509</v>
      </c>
      <c r="EE51" s="438">
        <v>0</v>
      </c>
      <c r="EF51" s="438">
        <v>0</v>
      </c>
      <c r="EG51" s="438">
        <v>0</v>
      </c>
      <c r="EH51" s="438">
        <v>128223</v>
      </c>
      <c r="EI51" s="438">
        <v>0</v>
      </c>
      <c r="EJ51" s="438">
        <v>0</v>
      </c>
      <c r="EK51" s="438">
        <v>5.7229999999999999</v>
      </c>
      <c r="EL51" s="438">
        <v>0</v>
      </c>
      <c r="EM51" s="438">
        <v>0</v>
      </c>
      <c r="EN51" s="438">
        <v>0.48499999999999999</v>
      </c>
      <c r="EO51" s="438">
        <v>0</v>
      </c>
      <c r="EP51" s="438">
        <v>0</v>
      </c>
      <c r="EQ51" s="438">
        <v>6.2080000000000002</v>
      </c>
      <c r="ER51" s="438">
        <v>0</v>
      </c>
      <c r="ES51" s="438">
        <v>19.594000000000001</v>
      </c>
      <c r="ET51" s="438">
        <v>0</v>
      </c>
      <c r="EU51" s="438">
        <v>2431733</v>
      </c>
      <c r="EV51" s="438">
        <v>0</v>
      </c>
      <c r="EW51" s="438">
        <v>0</v>
      </c>
      <c r="EX51" s="438">
        <v>0</v>
      </c>
      <c r="EZ51" s="438">
        <v>40114641</v>
      </c>
      <c r="FA51" s="438">
        <v>0</v>
      </c>
      <c r="FB51" s="438">
        <v>42546374</v>
      </c>
      <c r="FC51" s="438">
        <v>0.97334900000000002</v>
      </c>
      <c r="FD51" s="438">
        <v>0</v>
      </c>
      <c r="FE51" s="438">
        <v>5639849</v>
      </c>
      <c r="FF51" s="438">
        <v>1285445</v>
      </c>
      <c r="FG51" s="437">
        <v>5.7854999999999997E-2</v>
      </c>
      <c r="FH51" s="437">
        <v>5.2366000000000003E-2</v>
      </c>
      <c r="FI51" s="438">
        <v>0</v>
      </c>
      <c r="FJ51" s="438">
        <v>0</v>
      </c>
      <c r="FK51" s="438">
        <v>7683.0450000000001</v>
      </c>
      <c r="FL51" s="438">
        <v>49471668</v>
      </c>
      <c r="FM51" s="438">
        <v>0</v>
      </c>
      <c r="FN51" s="438">
        <v>0</v>
      </c>
      <c r="FO51" s="438">
        <v>974565</v>
      </c>
      <c r="FP51" s="438">
        <v>0</v>
      </c>
      <c r="FQ51" s="438">
        <v>974565</v>
      </c>
      <c r="FR51" s="438">
        <v>974565</v>
      </c>
      <c r="FS51" s="438">
        <v>0</v>
      </c>
      <c r="FT51" s="438">
        <v>0</v>
      </c>
      <c r="FU51" s="438">
        <v>0</v>
      </c>
      <c r="FV51" s="438">
        <v>0</v>
      </c>
      <c r="FW51" s="438">
        <v>0</v>
      </c>
      <c r="FX51" s="438">
        <v>0</v>
      </c>
      <c r="FY51" s="438">
        <v>0</v>
      </c>
      <c r="FZ51" s="438">
        <v>0</v>
      </c>
      <c r="GA51" s="438">
        <v>0</v>
      </c>
      <c r="GB51" s="438">
        <v>1831760</v>
      </c>
      <c r="GC51" s="438">
        <v>1831760</v>
      </c>
      <c r="GD51" s="438">
        <v>207.34399999999999</v>
      </c>
      <c r="GF51" s="438">
        <v>0</v>
      </c>
      <c r="GG51" s="438">
        <v>0</v>
      </c>
      <c r="GH51" s="438">
        <v>0</v>
      </c>
      <c r="GI51" s="438">
        <v>0</v>
      </c>
      <c r="GJ51" s="438">
        <v>0</v>
      </c>
      <c r="GK51" s="438">
        <v>4946.8999999999996</v>
      </c>
      <c r="GL51" s="438">
        <v>59703</v>
      </c>
      <c r="GM51" s="438">
        <v>0</v>
      </c>
      <c r="GN51" s="438">
        <v>413599</v>
      </c>
      <c r="GO51" s="438">
        <v>0</v>
      </c>
      <c r="GP51" s="438">
        <v>49471668</v>
      </c>
      <c r="GQ51" s="438">
        <v>49471668</v>
      </c>
      <c r="GR51" s="438">
        <v>0</v>
      </c>
      <c r="GS51" s="438">
        <v>0</v>
      </c>
      <c r="GT51" s="438">
        <v>0</v>
      </c>
      <c r="HB51" s="438">
        <v>0</v>
      </c>
      <c r="HC51" s="437">
        <v>6.0754000000000002E-2</v>
      </c>
      <c r="HD51" s="438">
        <v>0</v>
      </c>
    </row>
    <row r="52" spans="1:212" x14ac:dyDescent="0.2">
      <c r="A52" s="438">
        <v>25836</v>
      </c>
      <c r="B52" s="442">
        <v>57805</v>
      </c>
      <c r="C52" s="438">
        <v>9</v>
      </c>
      <c r="D52" s="438">
        <v>2020</v>
      </c>
      <c r="E52" s="438">
        <v>5392</v>
      </c>
      <c r="F52" s="438">
        <v>0</v>
      </c>
      <c r="G52" s="438">
        <v>208.5</v>
      </c>
      <c r="H52" s="438">
        <v>202.17099999999999</v>
      </c>
      <c r="I52" s="438">
        <v>202.17099999999999</v>
      </c>
      <c r="J52" s="438">
        <v>208.5</v>
      </c>
      <c r="K52" s="438">
        <v>0</v>
      </c>
      <c r="L52" s="437">
        <v>6544</v>
      </c>
      <c r="M52" s="438">
        <v>0</v>
      </c>
      <c r="N52" s="438">
        <v>0</v>
      </c>
      <c r="P52" s="438">
        <v>206.63300000000001</v>
      </c>
      <c r="Q52" s="438">
        <v>0</v>
      </c>
      <c r="R52" s="438">
        <v>51160</v>
      </c>
      <c r="S52" s="437">
        <v>247.58699999999999</v>
      </c>
      <c r="U52" s="438">
        <v>0</v>
      </c>
      <c r="V52" s="438">
        <v>80.95</v>
      </c>
      <c r="W52" s="438">
        <v>52974</v>
      </c>
      <c r="X52" s="438">
        <v>52974</v>
      </c>
      <c r="Z52" s="438">
        <v>0</v>
      </c>
      <c r="AA52" s="438">
        <v>1</v>
      </c>
      <c r="AB52" s="438">
        <v>1</v>
      </c>
      <c r="AC52" s="438">
        <v>0</v>
      </c>
      <c r="AD52" s="438" t="s">
        <v>332</v>
      </c>
      <c r="AE52" s="438">
        <v>0</v>
      </c>
      <c r="AH52" s="438">
        <v>0</v>
      </c>
      <c r="AI52" s="438">
        <v>0</v>
      </c>
      <c r="AJ52" s="437">
        <v>5105</v>
      </c>
      <c r="AK52" s="438" t="s">
        <v>561</v>
      </c>
      <c r="AL52" s="438" t="s">
        <v>341</v>
      </c>
      <c r="AM52" s="438">
        <v>0</v>
      </c>
      <c r="AN52" s="438">
        <v>0</v>
      </c>
      <c r="AO52" s="438">
        <v>0</v>
      </c>
      <c r="AP52" s="438">
        <v>0</v>
      </c>
      <c r="AQ52" s="438">
        <v>0</v>
      </c>
      <c r="AR52" s="438">
        <v>0</v>
      </c>
      <c r="AS52" s="438">
        <v>0</v>
      </c>
      <c r="AT52" s="438">
        <v>0</v>
      </c>
      <c r="AU52" s="438">
        <v>0</v>
      </c>
      <c r="AV52" s="438">
        <v>0</v>
      </c>
      <c r="AW52" s="438">
        <v>2034944</v>
      </c>
      <c r="AX52" s="438">
        <v>2034944</v>
      </c>
      <c r="AY52" s="438">
        <v>0</v>
      </c>
      <c r="AZ52" s="438">
        <v>51160</v>
      </c>
      <c r="BA52" s="438">
        <v>0</v>
      </c>
      <c r="BB52" s="438">
        <v>0</v>
      </c>
      <c r="BC52" s="438">
        <v>0</v>
      </c>
      <c r="BD52" s="438">
        <v>0</v>
      </c>
      <c r="BE52" s="438">
        <v>0</v>
      </c>
      <c r="BF52" s="438">
        <v>1732701</v>
      </c>
      <c r="BG52" s="438">
        <v>0</v>
      </c>
      <c r="BH52" s="438">
        <v>0</v>
      </c>
      <c r="BI52" s="438">
        <v>0</v>
      </c>
      <c r="BJ52" s="438">
        <v>12</v>
      </c>
      <c r="BK52" s="438">
        <v>0</v>
      </c>
      <c r="BL52" s="438">
        <v>0</v>
      </c>
      <c r="BM52" s="438">
        <v>0</v>
      </c>
      <c r="BN52" s="438">
        <v>0</v>
      </c>
      <c r="BO52" s="438">
        <v>0</v>
      </c>
      <c r="BP52" s="438">
        <v>0</v>
      </c>
      <c r="BQ52" s="437">
        <v>5392</v>
      </c>
      <c r="BR52" s="438">
        <v>1</v>
      </c>
      <c r="BS52" s="438">
        <v>0</v>
      </c>
      <c r="BT52" s="438">
        <v>0</v>
      </c>
      <c r="BU52" s="438">
        <v>0</v>
      </c>
      <c r="BV52" s="438">
        <v>0</v>
      </c>
      <c r="BW52" s="438">
        <v>0</v>
      </c>
      <c r="BX52" s="438">
        <v>0</v>
      </c>
      <c r="BY52" s="438">
        <v>0</v>
      </c>
      <c r="BZ52" s="438">
        <v>0</v>
      </c>
      <c r="CA52" s="438">
        <v>0</v>
      </c>
      <c r="CB52" s="438">
        <v>0</v>
      </c>
      <c r="CC52" s="438">
        <v>0</v>
      </c>
      <c r="CG52" s="438">
        <v>0</v>
      </c>
      <c r="CH52" s="438">
        <v>0</v>
      </c>
      <c r="CI52" s="438">
        <v>0</v>
      </c>
      <c r="CJ52" s="438">
        <v>4</v>
      </c>
      <c r="CK52" s="438">
        <v>0</v>
      </c>
      <c r="CL52" s="438">
        <v>0</v>
      </c>
      <c r="CN52" s="438">
        <v>0</v>
      </c>
      <c r="CO52" s="438">
        <v>1</v>
      </c>
      <c r="CP52" s="438">
        <v>0</v>
      </c>
      <c r="CQ52" s="438">
        <v>0</v>
      </c>
      <c r="CR52" s="438">
        <v>208.5</v>
      </c>
      <c r="CS52" s="438">
        <v>0</v>
      </c>
      <c r="CT52" s="438">
        <v>0</v>
      </c>
      <c r="CU52" s="438">
        <v>0</v>
      </c>
      <c r="CV52" s="438">
        <v>0</v>
      </c>
      <c r="CW52" s="438">
        <v>0</v>
      </c>
      <c r="CX52" s="438">
        <v>0</v>
      </c>
      <c r="CY52" s="438">
        <v>0</v>
      </c>
      <c r="CZ52" s="438">
        <v>0</v>
      </c>
      <c r="DA52" s="438">
        <v>1</v>
      </c>
      <c r="DB52" s="438">
        <v>1323007</v>
      </c>
      <c r="DC52" s="438">
        <v>0</v>
      </c>
      <c r="DD52" s="438">
        <v>0</v>
      </c>
      <c r="DE52" s="438">
        <v>259365</v>
      </c>
      <c r="DF52" s="438">
        <v>259365</v>
      </c>
      <c r="DG52" s="438">
        <v>198.17</v>
      </c>
      <c r="DH52" s="438">
        <v>0</v>
      </c>
      <c r="DI52" s="438">
        <v>0</v>
      </c>
      <c r="DK52" s="437">
        <v>5392</v>
      </c>
      <c r="DL52" s="438">
        <v>0</v>
      </c>
      <c r="DM52" s="438">
        <v>144797</v>
      </c>
      <c r="DN52" s="438">
        <v>0</v>
      </c>
      <c r="DO52" s="438">
        <v>0</v>
      </c>
      <c r="DP52" s="438">
        <v>0</v>
      </c>
      <c r="DQ52" s="438">
        <v>0</v>
      </c>
      <c r="DR52" s="438">
        <v>0</v>
      </c>
      <c r="DS52" s="438">
        <v>0</v>
      </c>
      <c r="DT52" s="438">
        <v>0</v>
      </c>
      <c r="DU52" s="438">
        <v>0</v>
      </c>
      <c r="DV52" s="438">
        <v>0</v>
      </c>
      <c r="DW52" s="438">
        <v>0</v>
      </c>
      <c r="DX52" s="438">
        <v>0</v>
      </c>
      <c r="DY52" s="438">
        <v>0</v>
      </c>
      <c r="DZ52" s="438">
        <v>0</v>
      </c>
      <c r="EA52" s="438">
        <v>0</v>
      </c>
      <c r="EB52" s="438">
        <v>0</v>
      </c>
      <c r="EC52" s="438">
        <v>1.0669999999999999</v>
      </c>
      <c r="ED52" s="438">
        <v>7681</v>
      </c>
      <c r="EE52" s="438">
        <v>0</v>
      </c>
      <c r="EF52" s="438">
        <v>0</v>
      </c>
      <c r="EG52" s="438">
        <v>0</v>
      </c>
      <c r="EH52" s="438">
        <v>137116</v>
      </c>
      <c r="EI52" s="438">
        <v>0</v>
      </c>
      <c r="EJ52" s="438">
        <v>0</v>
      </c>
      <c r="EK52" s="438">
        <v>5.3460000000000001</v>
      </c>
      <c r="EL52" s="438">
        <v>0</v>
      </c>
      <c r="EM52" s="438">
        <v>0</v>
      </c>
      <c r="EN52" s="438">
        <v>0.98299999999999998</v>
      </c>
      <c r="EO52" s="438">
        <v>0</v>
      </c>
      <c r="EP52" s="438">
        <v>0</v>
      </c>
      <c r="EQ52" s="438">
        <v>6.3289999999999997</v>
      </c>
      <c r="ER52" s="438">
        <v>0</v>
      </c>
      <c r="ES52" s="438">
        <v>20.952999999999999</v>
      </c>
      <c r="ET52" s="438">
        <v>0</v>
      </c>
      <c r="EU52" s="438">
        <v>51160</v>
      </c>
      <c r="EV52" s="438">
        <v>0</v>
      </c>
      <c r="EW52" s="438">
        <v>0</v>
      </c>
      <c r="EX52" s="438">
        <v>0</v>
      </c>
      <c r="EZ52" s="438">
        <v>1728983</v>
      </c>
      <c r="FA52" s="438">
        <v>0</v>
      </c>
      <c r="FB52" s="438">
        <v>1780143</v>
      </c>
      <c r="FC52" s="438">
        <v>0.97334900000000002</v>
      </c>
      <c r="FD52" s="438">
        <v>0</v>
      </c>
      <c r="FE52" s="438">
        <v>249170</v>
      </c>
      <c r="FF52" s="438">
        <v>56791</v>
      </c>
      <c r="FG52" s="437">
        <v>5.7854999999999997E-2</v>
      </c>
      <c r="FH52" s="437">
        <v>5.2366000000000003E-2</v>
      </c>
      <c r="FI52" s="438">
        <v>0</v>
      </c>
      <c r="FJ52" s="438">
        <v>0</v>
      </c>
      <c r="FK52" s="438">
        <v>339.43900000000002</v>
      </c>
      <c r="FL52" s="438">
        <v>2086104</v>
      </c>
      <c r="FM52" s="438">
        <v>0</v>
      </c>
      <c r="FN52" s="438">
        <v>0</v>
      </c>
      <c r="FO52" s="438">
        <v>0</v>
      </c>
      <c r="FP52" s="438">
        <v>0</v>
      </c>
      <c r="FQ52" s="438">
        <v>0</v>
      </c>
      <c r="FR52" s="438">
        <v>0</v>
      </c>
      <c r="FS52" s="438">
        <v>0</v>
      </c>
      <c r="FT52" s="438">
        <v>0</v>
      </c>
      <c r="FU52" s="438">
        <v>0</v>
      </c>
      <c r="FV52" s="438">
        <v>0</v>
      </c>
      <c r="FW52" s="438">
        <v>0</v>
      </c>
      <c r="FX52" s="438">
        <v>0</v>
      </c>
      <c r="FY52" s="438">
        <v>0</v>
      </c>
      <c r="FZ52" s="438">
        <v>0</v>
      </c>
      <c r="GA52" s="438">
        <v>0</v>
      </c>
      <c r="GB52" s="438">
        <v>0</v>
      </c>
      <c r="GC52" s="438">
        <v>0</v>
      </c>
      <c r="GD52" s="438">
        <v>0</v>
      </c>
      <c r="GF52" s="438">
        <v>0</v>
      </c>
      <c r="GG52" s="438">
        <v>0</v>
      </c>
      <c r="GH52" s="438">
        <v>0</v>
      </c>
      <c r="GI52" s="438">
        <v>0</v>
      </c>
      <c r="GJ52" s="438">
        <v>0</v>
      </c>
      <c r="GK52" s="438">
        <v>4801.0129999999999</v>
      </c>
      <c r="GL52" s="438">
        <v>4138</v>
      </c>
      <c r="GM52" s="438">
        <v>0</v>
      </c>
      <c r="GN52" s="438">
        <v>0</v>
      </c>
      <c r="GO52" s="438">
        <v>0</v>
      </c>
      <c r="GP52" s="438">
        <v>2086104</v>
      </c>
      <c r="GQ52" s="438">
        <v>2086104</v>
      </c>
      <c r="GR52" s="438">
        <v>0</v>
      </c>
      <c r="GS52" s="438">
        <v>0</v>
      </c>
      <c r="GT52" s="438">
        <v>0</v>
      </c>
      <c r="HB52" s="438">
        <v>0</v>
      </c>
      <c r="HC52" s="437">
        <v>0</v>
      </c>
      <c r="HD52" s="438">
        <v>0</v>
      </c>
    </row>
    <row r="53" spans="1:212" x14ac:dyDescent="0.2">
      <c r="A53" s="438">
        <v>25836</v>
      </c>
      <c r="B53" s="442">
        <v>57806</v>
      </c>
      <c r="C53" s="438">
        <v>9</v>
      </c>
      <c r="D53" s="438">
        <v>2020</v>
      </c>
      <c r="E53" s="438">
        <v>5392</v>
      </c>
      <c r="F53" s="438">
        <v>0</v>
      </c>
      <c r="G53" s="438">
        <v>1454.395</v>
      </c>
      <c r="H53" s="438">
        <v>1404.4829999999999</v>
      </c>
      <c r="I53" s="438">
        <v>1404.4829999999999</v>
      </c>
      <c r="J53" s="438">
        <v>1454.395</v>
      </c>
      <c r="K53" s="438">
        <v>0</v>
      </c>
      <c r="L53" s="437">
        <v>6544</v>
      </c>
      <c r="M53" s="438">
        <v>0</v>
      </c>
      <c r="N53" s="438">
        <v>0</v>
      </c>
      <c r="P53" s="438">
        <v>1472.5920000000001</v>
      </c>
      <c r="Q53" s="438">
        <v>0</v>
      </c>
      <c r="R53" s="438">
        <v>364595</v>
      </c>
      <c r="S53" s="437">
        <v>247.58699999999999</v>
      </c>
      <c r="U53" s="438">
        <v>0</v>
      </c>
      <c r="V53" s="438">
        <v>270.95499999999998</v>
      </c>
      <c r="W53" s="438">
        <v>177313</v>
      </c>
      <c r="X53" s="438">
        <v>177313</v>
      </c>
      <c r="Z53" s="438">
        <v>0</v>
      </c>
      <c r="AA53" s="438">
        <v>1</v>
      </c>
      <c r="AB53" s="438">
        <v>1</v>
      </c>
      <c r="AC53" s="438">
        <v>0</v>
      </c>
      <c r="AD53" s="438" t="s">
        <v>332</v>
      </c>
      <c r="AE53" s="438">
        <v>0</v>
      </c>
      <c r="AH53" s="438">
        <v>0</v>
      </c>
      <c r="AI53" s="438">
        <v>0</v>
      </c>
      <c r="AJ53" s="437">
        <v>5105</v>
      </c>
      <c r="AK53" s="438" t="s">
        <v>561</v>
      </c>
      <c r="AL53" s="438" t="s">
        <v>342</v>
      </c>
      <c r="AM53" s="438">
        <v>0</v>
      </c>
      <c r="AN53" s="438">
        <v>0</v>
      </c>
      <c r="AO53" s="438">
        <v>0</v>
      </c>
      <c r="AP53" s="438">
        <v>0</v>
      </c>
      <c r="AQ53" s="438">
        <v>0</v>
      </c>
      <c r="AR53" s="438">
        <v>0</v>
      </c>
      <c r="AS53" s="438">
        <v>0</v>
      </c>
      <c r="AT53" s="438">
        <v>0</v>
      </c>
      <c r="AU53" s="438">
        <v>0</v>
      </c>
      <c r="AV53" s="438">
        <v>0</v>
      </c>
      <c r="AW53" s="438">
        <v>13855323</v>
      </c>
      <c r="AX53" s="438">
        <v>13782069</v>
      </c>
      <c r="AY53" s="438">
        <v>0</v>
      </c>
      <c r="AZ53" s="438">
        <v>417516</v>
      </c>
      <c r="BA53" s="438">
        <v>40.582999999999998</v>
      </c>
      <c r="BB53" s="438">
        <v>36908</v>
      </c>
      <c r="BC53" s="438">
        <v>36908</v>
      </c>
      <c r="BD53" s="438">
        <v>47</v>
      </c>
      <c r="BE53" s="438">
        <v>0</v>
      </c>
      <c r="BF53" s="438">
        <v>11750101</v>
      </c>
      <c r="BG53" s="438">
        <v>0</v>
      </c>
      <c r="BH53" s="438">
        <v>192.44</v>
      </c>
      <c r="BI53" s="438">
        <v>52921</v>
      </c>
      <c r="BJ53" s="438">
        <v>12</v>
      </c>
      <c r="BK53" s="438">
        <v>0</v>
      </c>
      <c r="BL53" s="438">
        <v>0</v>
      </c>
      <c r="BM53" s="438">
        <v>0</v>
      </c>
      <c r="BN53" s="438">
        <v>0</v>
      </c>
      <c r="BO53" s="438">
        <v>0</v>
      </c>
      <c r="BP53" s="438">
        <v>0</v>
      </c>
      <c r="BQ53" s="437">
        <v>5392</v>
      </c>
      <c r="BR53" s="438">
        <v>1</v>
      </c>
      <c r="BS53" s="438">
        <v>0</v>
      </c>
      <c r="BT53" s="438">
        <v>0</v>
      </c>
      <c r="BU53" s="438">
        <v>0</v>
      </c>
      <c r="BV53" s="438">
        <v>0</v>
      </c>
      <c r="BW53" s="438">
        <v>0</v>
      </c>
      <c r="BX53" s="438">
        <v>0</v>
      </c>
      <c r="BY53" s="438">
        <v>0</v>
      </c>
      <c r="BZ53" s="438">
        <v>0</v>
      </c>
      <c r="CA53" s="438">
        <v>0</v>
      </c>
      <c r="CB53" s="438">
        <v>0</v>
      </c>
      <c r="CC53" s="438">
        <v>0</v>
      </c>
      <c r="CG53" s="438">
        <v>0</v>
      </c>
      <c r="CH53" s="438">
        <v>20333</v>
      </c>
      <c r="CI53" s="438">
        <v>0</v>
      </c>
      <c r="CJ53" s="438">
        <v>4</v>
      </c>
      <c r="CK53" s="438">
        <v>0</v>
      </c>
      <c r="CL53" s="438">
        <v>0</v>
      </c>
      <c r="CN53" s="438">
        <v>0</v>
      </c>
      <c r="CO53" s="438">
        <v>1</v>
      </c>
      <c r="CP53" s="438">
        <v>0</v>
      </c>
      <c r="CQ53" s="438">
        <v>0.16700000000000001</v>
      </c>
      <c r="CR53" s="438">
        <v>1454.395</v>
      </c>
      <c r="CS53" s="438">
        <v>0</v>
      </c>
      <c r="CT53" s="438">
        <v>0</v>
      </c>
      <c r="CU53" s="438">
        <v>0</v>
      </c>
      <c r="CV53" s="438">
        <v>0</v>
      </c>
      <c r="CW53" s="438">
        <v>0</v>
      </c>
      <c r="CX53" s="438">
        <v>0</v>
      </c>
      <c r="CY53" s="438">
        <v>0</v>
      </c>
      <c r="CZ53" s="438">
        <v>0</v>
      </c>
      <c r="DA53" s="438">
        <v>1</v>
      </c>
      <c r="DB53" s="438">
        <v>9190937</v>
      </c>
      <c r="DC53" s="438">
        <v>0</v>
      </c>
      <c r="DD53" s="438">
        <v>40.75</v>
      </c>
      <c r="DE53" s="438">
        <v>1690538</v>
      </c>
      <c r="DF53" s="438">
        <v>1690538</v>
      </c>
      <c r="DG53" s="438">
        <v>1291.67</v>
      </c>
      <c r="DH53" s="438">
        <v>0</v>
      </c>
      <c r="DI53" s="438">
        <v>0</v>
      </c>
      <c r="DK53" s="437">
        <v>5392</v>
      </c>
      <c r="DL53" s="438">
        <v>0</v>
      </c>
      <c r="DM53" s="438">
        <v>679353</v>
      </c>
      <c r="DN53" s="438">
        <v>0</v>
      </c>
      <c r="DO53" s="438">
        <v>0</v>
      </c>
      <c r="DP53" s="438">
        <v>0</v>
      </c>
      <c r="DQ53" s="438">
        <v>0</v>
      </c>
      <c r="DR53" s="438">
        <v>0</v>
      </c>
      <c r="DS53" s="438">
        <v>0</v>
      </c>
      <c r="DT53" s="438">
        <v>0</v>
      </c>
      <c r="DU53" s="438">
        <v>0</v>
      </c>
      <c r="DV53" s="438">
        <v>0</v>
      </c>
      <c r="DW53" s="438">
        <v>0</v>
      </c>
      <c r="DX53" s="438">
        <v>0</v>
      </c>
      <c r="DY53" s="438">
        <v>0</v>
      </c>
      <c r="DZ53" s="438">
        <v>0</v>
      </c>
      <c r="EA53" s="438">
        <v>1.7999999999999999E-2</v>
      </c>
      <c r="EB53" s="438">
        <v>0</v>
      </c>
      <c r="EC53" s="438">
        <v>46.322000000000003</v>
      </c>
      <c r="ED53" s="438">
        <v>333444</v>
      </c>
      <c r="EE53" s="438">
        <v>0</v>
      </c>
      <c r="EF53" s="438">
        <v>0</v>
      </c>
      <c r="EG53" s="438">
        <v>0</v>
      </c>
      <c r="EH53" s="438">
        <v>345909</v>
      </c>
      <c r="EI53" s="438">
        <v>0</v>
      </c>
      <c r="EJ53" s="438">
        <v>0</v>
      </c>
      <c r="EK53" s="438">
        <v>14.368</v>
      </c>
      <c r="EL53" s="438">
        <v>0</v>
      </c>
      <c r="EM53" s="438">
        <v>0</v>
      </c>
      <c r="EN53" s="438">
        <v>1.9330000000000001</v>
      </c>
      <c r="EO53" s="438">
        <v>0</v>
      </c>
      <c r="EP53" s="438">
        <v>0</v>
      </c>
      <c r="EQ53" s="438">
        <v>16.318999999999999</v>
      </c>
      <c r="ER53" s="438">
        <v>0</v>
      </c>
      <c r="ES53" s="438">
        <v>52.859000000000002</v>
      </c>
      <c r="ET53" s="438">
        <v>20333</v>
      </c>
      <c r="EU53" s="438">
        <v>417516</v>
      </c>
      <c r="EV53" s="438">
        <v>0</v>
      </c>
      <c r="EW53" s="438">
        <v>0</v>
      </c>
      <c r="EX53" s="438">
        <v>0</v>
      </c>
      <c r="EZ53" s="438">
        <v>11707228</v>
      </c>
      <c r="FA53" s="438">
        <v>0</v>
      </c>
      <c r="FB53" s="438">
        <v>12124744</v>
      </c>
      <c r="FC53" s="438">
        <v>0.97334900000000002</v>
      </c>
      <c r="FD53" s="438">
        <v>0</v>
      </c>
      <c r="FE53" s="438">
        <v>1689717</v>
      </c>
      <c r="FF53" s="438">
        <v>385124</v>
      </c>
      <c r="FG53" s="437">
        <v>5.7854999999999997E-2</v>
      </c>
      <c r="FH53" s="437">
        <v>5.2366000000000003E-2</v>
      </c>
      <c r="FI53" s="438">
        <v>0</v>
      </c>
      <c r="FJ53" s="438">
        <v>0</v>
      </c>
      <c r="FK53" s="438">
        <v>2301.8649999999998</v>
      </c>
      <c r="FL53" s="438">
        <v>14219918</v>
      </c>
      <c r="FM53" s="438">
        <v>0</v>
      </c>
      <c r="FN53" s="438">
        <v>0</v>
      </c>
      <c r="FO53" s="438">
        <v>0</v>
      </c>
      <c r="FP53" s="438">
        <v>0</v>
      </c>
      <c r="FQ53" s="438">
        <v>0</v>
      </c>
      <c r="FR53" s="438">
        <v>0</v>
      </c>
      <c r="FS53" s="438">
        <v>0</v>
      </c>
      <c r="FT53" s="438">
        <v>0</v>
      </c>
      <c r="FU53" s="438">
        <v>0</v>
      </c>
      <c r="FV53" s="438">
        <v>0</v>
      </c>
      <c r="FW53" s="438">
        <v>0</v>
      </c>
      <c r="FX53" s="438">
        <v>0</v>
      </c>
      <c r="FY53" s="438">
        <v>0</v>
      </c>
      <c r="FZ53" s="438">
        <v>0</v>
      </c>
      <c r="GA53" s="438">
        <v>0</v>
      </c>
      <c r="GB53" s="438">
        <v>296774</v>
      </c>
      <c r="GC53" s="438">
        <v>296774</v>
      </c>
      <c r="GD53" s="438">
        <v>33.593000000000004</v>
      </c>
      <c r="GF53" s="438">
        <v>0</v>
      </c>
      <c r="GG53" s="438">
        <v>0</v>
      </c>
      <c r="GH53" s="438">
        <v>0</v>
      </c>
      <c r="GI53" s="438">
        <v>0</v>
      </c>
      <c r="GJ53" s="438">
        <v>0</v>
      </c>
      <c r="GK53" s="438">
        <v>4770.4449999999997</v>
      </c>
      <c r="GL53" s="438">
        <v>42202</v>
      </c>
      <c r="GM53" s="438">
        <v>0</v>
      </c>
      <c r="GN53" s="438">
        <v>0</v>
      </c>
      <c r="GO53" s="438">
        <v>0</v>
      </c>
      <c r="GP53" s="438">
        <v>14199585</v>
      </c>
      <c r="GQ53" s="438">
        <v>14199585</v>
      </c>
      <c r="GR53" s="438">
        <v>0</v>
      </c>
      <c r="GS53" s="438">
        <v>0</v>
      </c>
      <c r="GT53" s="438">
        <v>0</v>
      </c>
      <c r="HB53" s="438">
        <v>0</v>
      </c>
      <c r="HC53" s="437">
        <v>6.0754000000000002E-2</v>
      </c>
      <c r="HD53" s="438">
        <v>0</v>
      </c>
    </row>
    <row r="54" spans="1:212" x14ac:dyDescent="0.2">
      <c r="A54" s="438">
        <v>25836</v>
      </c>
      <c r="B54" s="442">
        <v>57807</v>
      </c>
      <c r="C54" s="438">
        <v>9</v>
      </c>
      <c r="D54" s="438">
        <v>2020</v>
      </c>
      <c r="E54" s="438">
        <v>5392</v>
      </c>
      <c r="F54" s="438">
        <v>0</v>
      </c>
      <c r="G54" s="438">
        <v>5425.01</v>
      </c>
      <c r="H54" s="438">
        <v>4923.3270000000002</v>
      </c>
      <c r="I54" s="438">
        <v>4923.3270000000002</v>
      </c>
      <c r="J54" s="438">
        <v>5425.01</v>
      </c>
      <c r="K54" s="438">
        <v>0</v>
      </c>
      <c r="L54" s="437">
        <v>6544</v>
      </c>
      <c r="M54" s="438">
        <v>0</v>
      </c>
      <c r="N54" s="438">
        <v>0</v>
      </c>
      <c r="P54" s="438">
        <v>5439.81</v>
      </c>
      <c r="Q54" s="438">
        <v>0</v>
      </c>
      <c r="R54" s="438">
        <v>1346826</v>
      </c>
      <c r="S54" s="437">
        <v>247.58699999999999</v>
      </c>
      <c r="U54" s="438">
        <v>0</v>
      </c>
      <c r="V54" s="438">
        <v>465.65199999999999</v>
      </c>
      <c r="W54" s="438">
        <v>304723</v>
      </c>
      <c r="X54" s="438">
        <v>304723</v>
      </c>
      <c r="Z54" s="438">
        <v>0</v>
      </c>
      <c r="AA54" s="438">
        <v>1</v>
      </c>
      <c r="AB54" s="438">
        <v>1</v>
      </c>
      <c r="AC54" s="438">
        <v>0</v>
      </c>
      <c r="AD54" s="438" t="s">
        <v>332</v>
      </c>
      <c r="AE54" s="438">
        <v>0</v>
      </c>
      <c r="AH54" s="438">
        <v>0</v>
      </c>
      <c r="AI54" s="438">
        <v>0</v>
      </c>
      <c r="AJ54" s="437">
        <v>5105</v>
      </c>
      <c r="AK54" s="438" t="s">
        <v>561</v>
      </c>
      <c r="AL54" s="438" t="s">
        <v>19</v>
      </c>
      <c r="AM54" s="438">
        <v>0</v>
      </c>
      <c r="AN54" s="438">
        <v>0</v>
      </c>
      <c r="AO54" s="438">
        <v>0</v>
      </c>
      <c r="AP54" s="438">
        <v>0</v>
      </c>
      <c r="AQ54" s="438">
        <v>0</v>
      </c>
      <c r="AR54" s="438">
        <v>0</v>
      </c>
      <c r="AS54" s="438">
        <v>0</v>
      </c>
      <c r="AT54" s="438">
        <v>0</v>
      </c>
      <c r="AU54" s="438">
        <v>0</v>
      </c>
      <c r="AV54" s="438">
        <v>0</v>
      </c>
      <c r="AW54" s="438">
        <v>51367960</v>
      </c>
      <c r="AX54" s="438">
        <v>50983647</v>
      </c>
      <c r="AY54" s="438">
        <v>0</v>
      </c>
      <c r="AZ54" s="438">
        <v>1731139</v>
      </c>
      <c r="BA54" s="438">
        <v>0</v>
      </c>
      <c r="BB54" s="438">
        <v>205743</v>
      </c>
      <c r="BC54" s="438">
        <v>205743</v>
      </c>
      <c r="BD54" s="438">
        <v>262</v>
      </c>
      <c r="BE54" s="438">
        <v>0</v>
      </c>
      <c r="BF54" s="438">
        <v>43465256</v>
      </c>
      <c r="BG54" s="438">
        <v>0</v>
      </c>
      <c r="BH54" s="438">
        <v>1397.5029999999999</v>
      </c>
      <c r="BI54" s="438">
        <v>384313</v>
      </c>
      <c r="BJ54" s="438">
        <v>12</v>
      </c>
      <c r="BK54" s="438">
        <v>0</v>
      </c>
      <c r="BL54" s="438">
        <v>0</v>
      </c>
      <c r="BM54" s="438">
        <v>0</v>
      </c>
      <c r="BN54" s="438">
        <v>0</v>
      </c>
      <c r="BO54" s="438">
        <v>0</v>
      </c>
      <c r="BP54" s="438">
        <v>0</v>
      </c>
      <c r="BQ54" s="437">
        <v>5392</v>
      </c>
      <c r="BR54" s="438">
        <v>1</v>
      </c>
      <c r="BS54" s="438">
        <v>0</v>
      </c>
      <c r="BT54" s="438">
        <v>0</v>
      </c>
      <c r="BU54" s="438">
        <v>0</v>
      </c>
      <c r="BV54" s="438">
        <v>0</v>
      </c>
      <c r="BW54" s="438">
        <v>0</v>
      </c>
      <c r="BX54" s="438">
        <v>0</v>
      </c>
      <c r="BY54" s="438">
        <v>0</v>
      </c>
      <c r="BZ54" s="438">
        <v>0</v>
      </c>
      <c r="CA54" s="438">
        <v>0</v>
      </c>
      <c r="CB54" s="438">
        <v>0</v>
      </c>
      <c r="CC54" s="438">
        <v>0</v>
      </c>
      <c r="CG54" s="438">
        <v>0</v>
      </c>
      <c r="CH54" s="438">
        <v>0</v>
      </c>
      <c r="CI54" s="438">
        <v>0</v>
      </c>
      <c r="CJ54" s="438">
        <v>4</v>
      </c>
      <c r="CK54" s="438">
        <v>0</v>
      </c>
      <c r="CL54" s="438">
        <v>0</v>
      </c>
      <c r="CN54" s="438">
        <v>0</v>
      </c>
      <c r="CO54" s="438">
        <v>1</v>
      </c>
      <c r="CP54" s="438">
        <v>0</v>
      </c>
      <c r="CQ54" s="438">
        <v>0</v>
      </c>
      <c r="CR54" s="438">
        <v>5425.01</v>
      </c>
      <c r="CS54" s="438">
        <v>0</v>
      </c>
      <c r="CT54" s="438">
        <v>0</v>
      </c>
      <c r="CU54" s="438">
        <v>0</v>
      </c>
      <c r="CV54" s="438">
        <v>0</v>
      </c>
      <c r="CW54" s="438">
        <v>0</v>
      </c>
      <c r="CX54" s="438">
        <v>0</v>
      </c>
      <c r="CY54" s="438">
        <v>0</v>
      </c>
      <c r="CZ54" s="438">
        <v>0</v>
      </c>
      <c r="DA54" s="438">
        <v>1</v>
      </c>
      <c r="DB54" s="438">
        <v>32218252</v>
      </c>
      <c r="DC54" s="438">
        <v>0</v>
      </c>
      <c r="DD54" s="438">
        <v>0</v>
      </c>
      <c r="DE54" s="438">
        <v>4692925</v>
      </c>
      <c r="DF54" s="438">
        <v>4692925</v>
      </c>
      <c r="DG54" s="438">
        <v>3585.67</v>
      </c>
      <c r="DH54" s="438">
        <v>0</v>
      </c>
      <c r="DI54" s="438">
        <v>0</v>
      </c>
      <c r="DK54" s="437">
        <v>5392</v>
      </c>
      <c r="DL54" s="438">
        <v>0</v>
      </c>
      <c r="DM54" s="438">
        <v>4259570</v>
      </c>
      <c r="DN54" s="438">
        <v>0</v>
      </c>
      <c r="DO54" s="438">
        <v>0</v>
      </c>
      <c r="DP54" s="438">
        <v>0</v>
      </c>
      <c r="DQ54" s="438">
        <v>0</v>
      </c>
      <c r="DR54" s="438">
        <v>0</v>
      </c>
      <c r="DS54" s="438">
        <v>0</v>
      </c>
      <c r="DT54" s="438">
        <v>0</v>
      </c>
      <c r="DU54" s="438">
        <v>0</v>
      </c>
      <c r="DV54" s="438">
        <v>0</v>
      </c>
      <c r="DW54" s="438">
        <v>0</v>
      </c>
      <c r="DX54" s="438">
        <v>0</v>
      </c>
      <c r="DY54" s="438">
        <v>0</v>
      </c>
      <c r="DZ54" s="438">
        <v>0</v>
      </c>
      <c r="EA54" s="438">
        <v>0</v>
      </c>
      <c r="EB54" s="438">
        <v>0</v>
      </c>
      <c r="EC54" s="438">
        <v>124.292</v>
      </c>
      <c r="ED54" s="438">
        <v>894704</v>
      </c>
      <c r="EE54" s="438">
        <v>0</v>
      </c>
      <c r="EF54" s="438">
        <v>0</v>
      </c>
      <c r="EG54" s="438">
        <v>0</v>
      </c>
      <c r="EH54" s="438">
        <v>3364866</v>
      </c>
      <c r="EI54" s="438">
        <v>0</v>
      </c>
      <c r="EJ54" s="438">
        <v>0</v>
      </c>
      <c r="EK54" s="438">
        <v>127.44</v>
      </c>
      <c r="EL54" s="438">
        <v>0</v>
      </c>
      <c r="EM54" s="438">
        <v>28.036999999999999</v>
      </c>
      <c r="EN54" s="438">
        <v>9.5519999999999996</v>
      </c>
      <c r="EO54" s="438">
        <v>0</v>
      </c>
      <c r="EP54" s="438">
        <v>0</v>
      </c>
      <c r="EQ54" s="438">
        <v>165.029</v>
      </c>
      <c r="ER54" s="438">
        <v>0</v>
      </c>
      <c r="ES54" s="438">
        <v>514.19100000000003</v>
      </c>
      <c r="ET54" s="438">
        <v>0</v>
      </c>
      <c r="EU54" s="438">
        <v>1731139</v>
      </c>
      <c r="EV54" s="438">
        <v>0</v>
      </c>
      <c r="EW54" s="438">
        <v>0</v>
      </c>
      <c r="EX54" s="438">
        <v>0</v>
      </c>
      <c r="EZ54" s="438">
        <v>43308523</v>
      </c>
      <c r="FA54" s="438">
        <v>0</v>
      </c>
      <c r="FB54" s="438">
        <v>45039662</v>
      </c>
      <c r="FC54" s="438">
        <v>0.97334900000000002</v>
      </c>
      <c r="FD54" s="438">
        <v>0</v>
      </c>
      <c r="FE54" s="438">
        <v>6250498</v>
      </c>
      <c r="FF54" s="438">
        <v>1424626</v>
      </c>
      <c r="FG54" s="437">
        <v>5.7854999999999997E-2</v>
      </c>
      <c r="FH54" s="437">
        <v>5.2366000000000003E-2</v>
      </c>
      <c r="FI54" s="438">
        <v>0</v>
      </c>
      <c r="FJ54" s="438">
        <v>0</v>
      </c>
      <c r="FK54" s="438">
        <v>8514.92</v>
      </c>
      <c r="FL54" s="438">
        <v>52714786</v>
      </c>
      <c r="FM54" s="438">
        <v>0</v>
      </c>
      <c r="FN54" s="438">
        <v>0</v>
      </c>
      <c r="FO54" s="438">
        <v>0</v>
      </c>
      <c r="FP54" s="438">
        <v>0</v>
      </c>
      <c r="FQ54" s="438">
        <v>0</v>
      </c>
      <c r="FR54" s="438">
        <v>0</v>
      </c>
      <c r="FS54" s="438">
        <v>0</v>
      </c>
      <c r="FT54" s="438">
        <v>0</v>
      </c>
      <c r="FU54" s="438">
        <v>0</v>
      </c>
      <c r="FV54" s="438">
        <v>0</v>
      </c>
      <c r="FW54" s="438">
        <v>0</v>
      </c>
      <c r="FX54" s="438">
        <v>0</v>
      </c>
      <c r="FY54" s="438">
        <v>0</v>
      </c>
      <c r="FZ54" s="438">
        <v>0</v>
      </c>
      <c r="GA54" s="438">
        <v>0</v>
      </c>
      <c r="GB54" s="438">
        <v>2974136</v>
      </c>
      <c r="GC54" s="438">
        <v>2974136</v>
      </c>
      <c r="GD54" s="438">
        <v>336.654</v>
      </c>
      <c r="GF54" s="438">
        <v>0</v>
      </c>
      <c r="GG54" s="438">
        <v>0</v>
      </c>
      <c r="GH54" s="438">
        <v>0</v>
      </c>
      <c r="GI54" s="438">
        <v>0</v>
      </c>
      <c r="GJ54" s="438">
        <v>0</v>
      </c>
      <c r="GK54" s="438">
        <v>4736.1719999999996</v>
      </c>
      <c r="GL54" s="438">
        <v>89982</v>
      </c>
      <c r="GM54" s="438">
        <v>0</v>
      </c>
      <c r="GN54" s="438">
        <v>0</v>
      </c>
      <c r="GO54" s="438">
        <v>0</v>
      </c>
      <c r="GP54" s="438">
        <v>52714786</v>
      </c>
      <c r="GQ54" s="438">
        <v>52714786</v>
      </c>
      <c r="GR54" s="438">
        <v>0</v>
      </c>
      <c r="GS54" s="438">
        <v>0</v>
      </c>
      <c r="GT54" s="438">
        <v>0</v>
      </c>
      <c r="HB54" s="438">
        <v>0</v>
      </c>
      <c r="HC54" s="437">
        <v>6.0754000000000002E-2</v>
      </c>
      <c r="HD54" s="438">
        <v>0</v>
      </c>
    </row>
    <row r="55" spans="1:212" x14ac:dyDescent="0.2">
      <c r="A55" s="438">
        <v>25836</v>
      </c>
      <c r="B55" s="442">
        <v>57808</v>
      </c>
      <c r="C55" s="438">
        <v>9</v>
      </c>
      <c r="D55" s="438">
        <v>2020</v>
      </c>
      <c r="E55" s="438">
        <v>5392</v>
      </c>
      <c r="F55" s="438">
        <v>0</v>
      </c>
      <c r="G55" s="438">
        <v>1910.9929999999999</v>
      </c>
      <c r="H55" s="438">
        <v>1887.7260000000001</v>
      </c>
      <c r="I55" s="438">
        <v>1887.7260000000001</v>
      </c>
      <c r="J55" s="438">
        <v>1910.9929999999999</v>
      </c>
      <c r="K55" s="438">
        <v>0</v>
      </c>
      <c r="L55" s="437">
        <v>6544</v>
      </c>
      <c r="M55" s="438">
        <v>0</v>
      </c>
      <c r="N55" s="438">
        <v>0</v>
      </c>
      <c r="P55" s="438">
        <v>1917.915</v>
      </c>
      <c r="Q55" s="438">
        <v>0</v>
      </c>
      <c r="R55" s="438">
        <v>474851</v>
      </c>
      <c r="S55" s="437">
        <v>247.58699999999999</v>
      </c>
      <c r="U55" s="438">
        <v>0</v>
      </c>
      <c r="V55" s="438">
        <v>568.82000000000005</v>
      </c>
      <c r="W55" s="438">
        <v>372236</v>
      </c>
      <c r="X55" s="438">
        <v>372236</v>
      </c>
      <c r="Z55" s="438">
        <v>0</v>
      </c>
      <c r="AA55" s="438">
        <v>1</v>
      </c>
      <c r="AB55" s="438">
        <v>1</v>
      </c>
      <c r="AC55" s="438">
        <v>0</v>
      </c>
      <c r="AD55" s="438" t="s">
        <v>332</v>
      </c>
      <c r="AE55" s="438">
        <v>0</v>
      </c>
      <c r="AH55" s="438">
        <v>0</v>
      </c>
      <c r="AI55" s="438">
        <v>0</v>
      </c>
      <c r="AJ55" s="437">
        <v>5105</v>
      </c>
      <c r="AK55" s="438" t="s">
        <v>561</v>
      </c>
      <c r="AL55" s="438" t="s">
        <v>44</v>
      </c>
      <c r="AM55" s="438">
        <v>0</v>
      </c>
      <c r="AN55" s="438">
        <v>0</v>
      </c>
      <c r="AO55" s="438">
        <v>0</v>
      </c>
      <c r="AP55" s="438">
        <v>0</v>
      </c>
      <c r="AQ55" s="438">
        <v>0</v>
      </c>
      <c r="AR55" s="438">
        <v>0</v>
      </c>
      <c r="AS55" s="438">
        <v>0</v>
      </c>
      <c r="AT55" s="438">
        <v>0</v>
      </c>
      <c r="AU55" s="438">
        <v>0</v>
      </c>
      <c r="AV55" s="438">
        <v>0</v>
      </c>
      <c r="AW55" s="438">
        <v>16391509</v>
      </c>
      <c r="AX55" s="438">
        <v>16343997</v>
      </c>
      <c r="AY55" s="438">
        <v>0</v>
      </c>
      <c r="AZ55" s="438">
        <v>502259</v>
      </c>
      <c r="BA55" s="438">
        <v>34.582999999999998</v>
      </c>
      <c r="BB55" s="438">
        <v>75033</v>
      </c>
      <c r="BC55" s="438">
        <v>75033</v>
      </c>
      <c r="BD55" s="438">
        <v>95.55</v>
      </c>
      <c r="BE55" s="438">
        <v>0</v>
      </c>
      <c r="BF55" s="438">
        <v>13768631</v>
      </c>
      <c r="BG55" s="438">
        <v>0</v>
      </c>
      <c r="BH55" s="438">
        <v>99.667000000000002</v>
      </c>
      <c r="BI55" s="438">
        <v>27408</v>
      </c>
      <c r="BJ55" s="438">
        <v>12</v>
      </c>
      <c r="BK55" s="438">
        <v>0</v>
      </c>
      <c r="BL55" s="438">
        <v>0</v>
      </c>
      <c r="BM55" s="438">
        <v>0</v>
      </c>
      <c r="BN55" s="438">
        <v>0</v>
      </c>
      <c r="BO55" s="438">
        <v>0</v>
      </c>
      <c r="BP55" s="438">
        <v>0</v>
      </c>
      <c r="BQ55" s="437">
        <v>5392</v>
      </c>
      <c r="BR55" s="438">
        <v>1</v>
      </c>
      <c r="BS55" s="438">
        <v>0</v>
      </c>
      <c r="BT55" s="438">
        <v>0</v>
      </c>
      <c r="BU55" s="438">
        <v>0</v>
      </c>
      <c r="BV55" s="438">
        <v>0</v>
      </c>
      <c r="BW55" s="438">
        <v>0</v>
      </c>
      <c r="BX55" s="438">
        <v>0</v>
      </c>
      <c r="BY55" s="438">
        <v>0</v>
      </c>
      <c r="BZ55" s="438">
        <v>0</v>
      </c>
      <c r="CA55" s="438">
        <v>0</v>
      </c>
      <c r="CB55" s="438">
        <v>0</v>
      </c>
      <c r="CC55" s="438">
        <v>0</v>
      </c>
      <c r="CG55" s="438">
        <v>0</v>
      </c>
      <c r="CH55" s="438">
        <v>20104</v>
      </c>
      <c r="CI55" s="438">
        <v>0</v>
      </c>
      <c r="CJ55" s="438">
        <v>4</v>
      </c>
      <c r="CK55" s="438">
        <v>0</v>
      </c>
      <c r="CL55" s="438">
        <v>0</v>
      </c>
      <c r="CN55" s="438">
        <v>0</v>
      </c>
      <c r="CO55" s="438">
        <v>1</v>
      </c>
      <c r="CP55" s="438">
        <v>0</v>
      </c>
      <c r="CQ55" s="438">
        <v>11.25</v>
      </c>
      <c r="CR55" s="438">
        <v>1910.9929999999999</v>
      </c>
      <c r="CS55" s="438">
        <v>0</v>
      </c>
      <c r="CT55" s="438">
        <v>0</v>
      </c>
      <c r="CU55" s="438">
        <v>0</v>
      </c>
      <c r="CV55" s="438">
        <v>0</v>
      </c>
      <c r="CW55" s="438">
        <v>0</v>
      </c>
      <c r="CX55" s="438">
        <v>0</v>
      </c>
      <c r="CY55" s="438">
        <v>0</v>
      </c>
      <c r="CZ55" s="438">
        <v>0</v>
      </c>
      <c r="DA55" s="438">
        <v>1</v>
      </c>
      <c r="DB55" s="438">
        <v>12353279</v>
      </c>
      <c r="DC55" s="438">
        <v>0</v>
      </c>
      <c r="DD55" s="438">
        <v>0</v>
      </c>
      <c r="DE55" s="438">
        <v>905690</v>
      </c>
      <c r="DF55" s="438">
        <v>905690</v>
      </c>
      <c r="DG55" s="438">
        <v>692</v>
      </c>
      <c r="DH55" s="438">
        <v>0</v>
      </c>
      <c r="DI55" s="438">
        <v>0</v>
      </c>
      <c r="DK55" s="437">
        <v>5392</v>
      </c>
      <c r="DL55" s="438">
        <v>0</v>
      </c>
      <c r="DM55" s="438">
        <v>355792</v>
      </c>
      <c r="DN55" s="438">
        <v>0</v>
      </c>
      <c r="DO55" s="438">
        <v>0</v>
      </c>
      <c r="DP55" s="438">
        <v>0</v>
      </c>
      <c r="DQ55" s="438">
        <v>0</v>
      </c>
      <c r="DR55" s="438">
        <v>0</v>
      </c>
      <c r="DS55" s="438">
        <v>0</v>
      </c>
      <c r="DT55" s="438">
        <v>0</v>
      </c>
      <c r="DU55" s="438">
        <v>0</v>
      </c>
      <c r="DV55" s="438">
        <v>0</v>
      </c>
      <c r="DW55" s="438">
        <v>0</v>
      </c>
      <c r="DX55" s="438">
        <v>0</v>
      </c>
      <c r="DY55" s="438">
        <v>0</v>
      </c>
      <c r="DZ55" s="438">
        <v>0</v>
      </c>
      <c r="EA55" s="438">
        <v>2.5999999999999999E-2</v>
      </c>
      <c r="EB55" s="438">
        <v>0</v>
      </c>
      <c r="EC55" s="438">
        <v>10.231999999999999</v>
      </c>
      <c r="ED55" s="438">
        <v>73654</v>
      </c>
      <c r="EE55" s="438">
        <v>0</v>
      </c>
      <c r="EF55" s="438">
        <v>0</v>
      </c>
      <c r="EG55" s="438">
        <v>0.55000000000000004</v>
      </c>
      <c r="EH55" s="438">
        <v>282138</v>
      </c>
      <c r="EI55" s="438">
        <v>0</v>
      </c>
      <c r="EJ55" s="438">
        <v>0</v>
      </c>
      <c r="EK55" s="438">
        <v>11.644</v>
      </c>
      <c r="EL55" s="438">
        <v>0</v>
      </c>
      <c r="EM55" s="438">
        <v>0.67900000000000005</v>
      </c>
      <c r="EN55" s="438">
        <v>0.90600000000000003</v>
      </c>
      <c r="EO55" s="438">
        <v>0</v>
      </c>
      <c r="EP55" s="438">
        <v>0</v>
      </c>
      <c r="EQ55" s="438">
        <v>13.805</v>
      </c>
      <c r="ER55" s="438">
        <v>0</v>
      </c>
      <c r="ES55" s="438">
        <v>43.113999999999997</v>
      </c>
      <c r="ET55" s="438">
        <v>20104</v>
      </c>
      <c r="EU55" s="438">
        <v>502259</v>
      </c>
      <c r="EV55" s="438">
        <v>0</v>
      </c>
      <c r="EW55" s="438">
        <v>0</v>
      </c>
      <c r="EX55" s="438">
        <v>0</v>
      </c>
      <c r="EZ55" s="438">
        <v>13912723</v>
      </c>
      <c r="FA55" s="438">
        <v>0</v>
      </c>
      <c r="FB55" s="438">
        <v>14414982</v>
      </c>
      <c r="FC55" s="438">
        <v>0.97334900000000002</v>
      </c>
      <c r="FD55" s="438">
        <v>0</v>
      </c>
      <c r="FE55" s="438">
        <v>1979991</v>
      </c>
      <c r="FF55" s="438">
        <v>451283</v>
      </c>
      <c r="FG55" s="437">
        <v>5.7854999999999997E-2</v>
      </c>
      <c r="FH55" s="437">
        <v>5.2366000000000003E-2</v>
      </c>
      <c r="FI55" s="438">
        <v>0</v>
      </c>
      <c r="FJ55" s="438">
        <v>0</v>
      </c>
      <c r="FK55" s="438">
        <v>2697.299</v>
      </c>
      <c r="FL55" s="438">
        <v>16866360</v>
      </c>
      <c r="FM55" s="438">
        <v>0</v>
      </c>
      <c r="FN55" s="438">
        <v>0</v>
      </c>
      <c r="FO55" s="438">
        <v>241953</v>
      </c>
      <c r="FP55" s="438">
        <v>0</v>
      </c>
      <c r="FQ55" s="438">
        <v>241953</v>
      </c>
      <c r="FR55" s="438">
        <v>241953</v>
      </c>
      <c r="FS55" s="438">
        <v>0</v>
      </c>
      <c r="FT55" s="438">
        <v>0</v>
      </c>
      <c r="FU55" s="438">
        <v>0</v>
      </c>
      <c r="FV55" s="438">
        <v>0</v>
      </c>
      <c r="FW55" s="438">
        <v>0</v>
      </c>
      <c r="FX55" s="438">
        <v>0</v>
      </c>
      <c r="FY55" s="438">
        <v>0</v>
      </c>
      <c r="FZ55" s="438">
        <v>0</v>
      </c>
      <c r="GA55" s="438">
        <v>0</v>
      </c>
      <c r="GB55" s="438">
        <v>83591</v>
      </c>
      <c r="GC55" s="438">
        <v>83591</v>
      </c>
      <c r="GD55" s="438">
        <v>9.4619999999999997</v>
      </c>
      <c r="GF55" s="438">
        <v>0</v>
      </c>
      <c r="GG55" s="438">
        <v>0</v>
      </c>
      <c r="GH55" s="438">
        <v>0</v>
      </c>
      <c r="GI55" s="438">
        <v>0</v>
      </c>
      <c r="GJ55" s="438">
        <v>0</v>
      </c>
      <c r="GK55" s="438">
        <v>4872.3379999999997</v>
      </c>
      <c r="GL55" s="438">
        <v>38969</v>
      </c>
      <c r="GM55" s="438">
        <v>0</v>
      </c>
      <c r="GN55" s="438">
        <v>68530</v>
      </c>
      <c r="GO55" s="438">
        <v>0</v>
      </c>
      <c r="GP55" s="438">
        <v>16846256</v>
      </c>
      <c r="GQ55" s="438">
        <v>16846256</v>
      </c>
      <c r="GR55" s="438">
        <v>0</v>
      </c>
      <c r="GS55" s="438">
        <v>0</v>
      </c>
      <c r="GT55" s="438">
        <v>0</v>
      </c>
      <c r="HB55" s="438">
        <v>0</v>
      </c>
      <c r="HC55" s="437">
        <v>6.0754000000000002E-2</v>
      </c>
      <c r="HD55" s="438">
        <v>0</v>
      </c>
    </row>
    <row r="56" spans="1:212" x14ac:dyDescent="0.2">
      <c r="A56" s="438">
        <v>25836</v>
      </c>
      <c r="B56" s="442">
        <v>57809</v>
      </c>
      <c r="C56" s="438">
        <v>9</v>
      </c>
      <c r="D56" s="438">
        <v>2020</v>
      </c>
      <c r="E56" s="438">
        <v>5392</v>
      </c>
      <c r="F56" s="438">
        <v>0</v>
      </c>
      <c r="G56" s="438">
        <v>107.352</v>
      </c>
      <c r="H56" s="438">
        <v>107.05500000000001</v>
      </c>
      <c r="I56" s="438">
        <v>107.05500000000001</v>
      </c>
      <c r="J56" s="438">
        <v>107.352</v>
      </c>
      <c r="K56" s="438">
        <v>0</v>
      </c>
      <c r="L56" s="437">
        <v>6544</v>
      </c>
      <c r="M56" s="438">
        <v>0</v>
      </c>
      <c r="N56" s="438">
        <v>0</v>
      </c>
      <c r="P56" s="438">
        <v>108.17</v>
      </c>
      <c r="Q56" s="438">
        <v>0</v>
      </c>
      <c r="R56" s="438">
        <v>26781</v>
      </c>
      <c r="S56" s="437">
        <v>247.58699999999999</v>
      </c>
      <c r="U56" s="438">
        <v>0</v>
      </c>
      <c r="V56" s="438">
        <v>21.978000000000002</v>
      </c>
      <c r="W56" s="438">
        <v>14382</v>
      </c>
      <c r="X56" s="438">
        <v>14382</v>
      </c>
      <c r="Z56" s="438">
        <v>0</v>
      </c>
      <c r="AA56" s="438">
        <v>1</v>
      </c>
      <c r="AB56" s="438">
        <v>1</v>
      </c>
      <c r="AC56" s="438">
        <v>0</v>
      </c>
      <c r="AD56" s="438" t="s">
        <v>332</v>
      </c>
      <c r="AE56" s="438">
        <v>0</v>
      </c>
      <c r="AH56" s="438">
        <v>0</v>
      </c>
      <c r="AI56" s="438">
        <v>0</v>
      </c>
      <c r="AJ56" s="437">
        <v>5105</v>
      </c>
      <c r="AK56" s="438" t="s">
        <v>561</v>
      </c>
      <c r="AL56" s="438" t="s">
        <v>343</v>
      </c>
      <c r="AM56" s="438">
        <v>0</v>
      </c>
      <c r="AN56" s="438">
        <v>0</v>
      </c>
      <c r="AO56" s="438">
        <v>0</v>
      </c>
      <c r="AP56" s="438">
        <v>0</v>
      </c>
      <c r="AQ56" s="438">
        <v>0</v>
      </c>
      <c r="AR56" s="438">
        <v>0</v>
      </c>
      <c r="AS56" s="438">
        <v>0</v>
      </c>
      <c r="AT56" s="438">
        <v>0</v>
      </c>
      <c r="AU56" s="438">
        <v>0</v>
      </c>
      <c r="AV56" s="438">
        <v>0</v>
      </c>
      <c r="AW56" s="438">
        <v>1139713</v>
      </c>
      <c r="AX56" s="438">
        <v>1136213</v>
      </c>
      <c r="AY56" s="438">
        <v>0</v>
      </c>
      <c r="AZ56" s="438">
        <v>26781</v>
      </c>
      <c r="BA56" s="438">
        <v>7</v>
      </c>
      <c r="BB56" s="438">
        <v>0</v>
      </c>
      <c r="BC56" s="438">
        <v>0</v>
      </c>
      <c r="BD56" s="438">
        <v>0</v>
      </c>
      <c r="BE56" s="438">
        <v>0</v>
      </c>
      <c r="BF56" s="438">
        <v>965973</v>
      </c>
      <c r="BG56" s="438">
        <v>0</v>
      </c>
      <c r="BH56" s="438">
        <v>0</v>
      </c>
      <c r="BI56" s="438">
        <v>0</v>
      </c>
      <c r="BJ56" s="438">
        <v>12</v>
      </c>
      <c r="BK56" s="438">
        <v>0</v>
      </c>
      <c r="BL56" s="438">
        <v>0</v>
      </c>
      <c r="BM56" s="438">
        <v>0</v>
      </c>
      <c r="BN56" s="438">
        <v>0</v>
      </c>
      <c r="BO56" s="438">
        <v>0</v>
      </c>
      <c r="BP56" s="438">
        <v>0</v>
      </c>
      <c r="BQ56" s="437">
        <v>5392</v>
      </c>
      <c r="BR56" s="438">
        <v>1</v>
      </c>
      <c r="BS56" s="438">
        <v>0</v>
      </c>
      <c r="BT56" s="438">
        <v>0</v>
      </c>
      <c r="BU56" s="438">
        <v>0</v>
      </c>
      <c r="BV56" s="438">
        <v>0</v>
      </c>
      <c r="BW56" s="438">
        <v>0</v>
      </c>
      <c r="BX56" s="438">
        <v>0</v>
      </c>
      <c r="BY56" s="438">
        <v>0</v>
      </c>
      <c r="BZ56" s="438">
        <v>0</v>
      </c>
      <c r="CA56" s="438">
        <v>0</v>
      </c>
      <c r="CB56" s="438">
        <v>0</v>
      </c>
      <c r="CC56" s="438">
        <v>0</v>
      </c>
      <c r="CG56" s="438">
        <v>0</v>
      </c>
      <c r="CH56" s="438">
        <v>3500</v>
      </c>
      <c r="CI56" s="438">
        <v>0</v>
      </c>
      <c r="CJ56" s="438">
        <v>4</v>
      </c>
      <c r="CK56" s="438">
        <v>0</v>
      </c>
      <c r="CL56" s="438">
        <v>0</v>
      </c>
      <c r="CN56" s="438">
        <v>0</v>
      </c>
      <c r="CO56" s="438">
        <v>1</v>
      </c>
      <c r="CP56" s="438">
        <v>0</v>
      </c>
      <c r="CQ56" s="438">
        <v>0</v>
      </c>
      <c r="CR56" s="438">
        <v>107.352</v>
      </c>
      <c r="CS56" s="438">
        <v>0</v>
      </c>
      <c r="CT56" s="438">
        <v>0</v>
      </c>
      <c r="CU56" s="438">
        <v>0</v>
      </c>
      <c r="CV56" s="438">
        <v>0</v>
      </c>
      <c r="CW56" s="438">
        <v>0</v>
      </c>
      <c r="CX56" s="438">
        <v>0</v>
      </c>
      <c r="CY56" s="438">
        <v>0</v>
      </c>
      <c r="CZ56" s="438">
        <v>0</v>
      </c>
      <c r="DA56" s="438">
        <v>1</v>
      </c>
      <c r="DB56" s="438">
        <v>700568</v>
      </c>
      <c r="DC56" s="438">
        <v>0</v>
      </c>
      <c r="DD56" s="438">
        <v>0</v>
      </c>
      <c r="DE56" s="438">
        <v>242207</v>
      </c>
      <c r="DF56" s="438">
        <v>242207</v>
      </c>
      <c r="DG56" s="438">
        <v>185.06</v>
      </c>
      <c r="DH56" s="438">
        <v>0</v>
      </c>
      <c r="DI56" s="438">
        <v>0</v>
      </c>
      <c r="DK56" s="437">
        <v>5392</v>
      </c>
      <c r="DL56" s="438">
        <v>0</v>
      </c>
      <c r="DM56" s="438">
        <v>35265</v>
      </c>
      <c r="DN56" s="438">
        <v>0</v>
      </c>
      <c r="DO56" s="438">
        <v>0</v>
      </c>
      <c r="DP56" s="438">
        <v>0</v>
      </c>
      <c r="DQ56" s="438">
        <v>0</v>
      </c>
      <c r="DR56" s="438">
        <v>0</v>
      </c>
      <c r="DS56" s="438">
        <v>0</v>
      </c>
      <c r="DT56" s="438">
        <v>0</v>
      </c>
      <c r="DU56" s="438">
        <v>0</v>
      </c>
      <c r="DV56" s="438">
        <v>0</v>
      </c>
      <c r="DW56" s="438">
        <v>0</v>
      </c>
      <c r="DX56" s="438">
        <v>0</v>
      </c>
      <c r="DY56" s="438">
        <v>0</v>
      </c>
      <c r="DZ56" s="438">
        <v>0</v>
      </c>
      <c r="EA56" s="438">
        <v>0</v>
      </c>
      <c r="EB56" s="438">
        <v>0</v>
      </c>
      <c r="EC56" s="438">
        <v>3.5489999999999999</v>
      </c>
      <c r="ED56" s="438">
        <v>25547</v>
      </c>
      <c r="EE56" s="438">
        <v>0</v>
      </c>
      <c r="EF56" s="438">
        <v>0</v>
      </c>
      <c r="EG56" s="438">
        <v>0</v>
      </c>
      <c r="EH56" s="438">
        <v>9718</v>
      </c>
      <c r="EI56" s="438">
        <v>0</v>
      </c>
      <c r="EJ56" s="438">
        <v>0</v>
      </c>
      <c r="EK56" s="438">
        <v>0</v>
      </c>
      <c r="EL56" s="438">
        <v>0</v>
      </c>
      <c r="EM56" s="438">
        <v>0</v>
      </c>
      <c r="EN56" s="438">
        <v>0.29699999999999999</v>
      </c>
      <c r="EO56" s="438">
        <v>0</v>
      </c>
      <c r="EP56" s="438">
        <v>0</v>
      </c>
      <c r="EQ56" s="438">
        <v>0.29699999999999999</v>
      </c>
      <c r="ER56" s="438">
        <v>0</v>
      </c>
      <c r="ES56" s="438">
        <v>1.4850000000000001</v>
      </c>
      <c r="ET56" s="438">
        <v>3500</v>
      </c>
      <c r="EU56" s="438">
        <v>26781</v>
      </c>
      <c r="EV56" s="438">
        <v>0</v>
      </c>
      <c r="EW56" s="438">
        <v>0</v>
      </c>
      <c r="EX56" s="438">
        <v>0</v>
      </c>
      <c r="EZ56" s="438">
        <v>965641</v>
      </c>
      <c r="FA56" s="438">
        <v>0</v>
      </c>
      <c r="FB56" s="438">
        <v>992422</v>
      </c>
      <c r="FC56" s="438">
        <v>0.97334900000000002</v>
      </c>
      <c r="FD56" s="438">
        <v>0</v>
      </c>
      <c r="FE56" s="438">
        <v>138911</v>
      </c>
      <c r="FF56" s="438">
        <v>31661</v>
      </c>
      <c r="FG56" s="437">
        <v>5.7854999999999997E-2</v>
      </c>
      <c r="FH56" s="437">
        <v>5.2366000000000003E-2</v>
      </c>
      <c r="FI56" s="438">
        <v>0</v>
      </c>
      <c r="FJ56" s="438">
        <v>0</v>
      </c>
      <c r="FK56" s="438">
        <v>189.23599999999999</v>
      </c>
      <c r="FL56" s="438">
        <v>1166494</v>
      </c>
      <c r="FM56" s="438">
        <v>0</v>
      </c>
      <c r="FN56" s="438">
        <v>0</v>
      </c>
      <c r="FO56" s="438">
        <v>0</v>
      </c>
      <c r="FP56" s="438">
        <v>0</v>
      </c>
      <c r="FQ56" s="438">
        <v>0</v>
      </c>
      <c r="FR56" s="438">
        <v>0</v>
      </c>
      <c r="FS56" s="438">
        <v>0</v>
      </c>
      <c r="FT56" s="438">
        <v>0</v>
      </c>
      <c r="FU56" s="438">
        <v>0</v>
      </c>
      <c r="FV56" s="438">
        <v>0</v>
      </c>
      <c r="FW56" s="438">
        <v>0</v>
      </c>
      <c r="FX56" s="438">
        <v>0</v>
      </c>
      <c r="FY56" s="438">
        <v>0</v>
      </c>
      <c r="FZ56" s="438">
        <v>0</v>
      </c>
      <c r="GA56" s="438">
        <v>0</v>
      </c>
      <c r="GB56" s="438">
        <v>0</v>
      </c>
      <c r="GC56" s="438">
        <v>0</v>
      </c>
      <c r="GD56" s="438">
        <v>0</v>
      </c>
      <c r="GF56" s="438">
        <v>0</v>
      </c>
      <c r="GG56" s="438">
        <v>0</v>
      </c>
      <c r="GH56" s="438">
        <v>0</v>
      </c>
      <c r="GI56" s="438">
        <v>0</v>
      </c>
      <c r="GJ56" s="438">
        <v>0</v>
      </c>
      <c r="GK56" s="438">
        <v>4860.2960000000003</v>
      </c>
      <c r="GL56" s="438">
        <v>5948</v>
      </c>
      <c r="GM56" s="438">
        <v>0</v>
      </c>
      <c r="GN56" s="438">
        <v>0</v>
      </c>
      <c r="GO56" s="438">
        <v>0</v>
      </c>
      <c r="GP56" s="438">
        <v>1162994</v>
      </c>
      <c r="GQ56" s="438">
        <v>1162994</v>
      </c>
      <c r="GR56" s="438">
        <v>0</v>
      </c>
      <c r="GS56" s="438">
        <v>0</v>
      </c>
      <c r="GT56" s="438">
        <v>0</v>
      </c>
      <c r="HB56" s="438">
        <v>0</v>
      </c>
      <c r="HC56" s="437">
        <v>0</v>
      </c>
      <c r="HD56" s="438">
        <v>0</v>
      </c>
    </row>
    <row r="57" spans="1:212" x14ac:dyDescent="0.2">
      <c r="A57" s="438">
        <v>25836</v>
      </c>
      <c r="B57" s="442">
        <v>57810</v>
      </c>
      <c r="C57" s="438">
        <v>9</v>
      </c>
      <c r="D57" s="438">
        <v>2020</v>
      </c>
      <c r="E57" s="438">
        <v>5392</v>
      </c>
      <c r="F57" s="438">
        <v>0</v>
      </c>
      <c r="G57" s="438">
        <v>383.72699999999998</v>
      </c>
      <c r="H57" s="438">
        <v>371.85199999999998</v>
      </c>
      <c r="I57" s="438">
        <v>371.85199999999998</v>
      </c>
      <c r="J57" s="438">
        <v>383.72699999999998</v>
      </c>
      <c r="K57" s="438">
        <v>0</v>
      </c>
      <c r="L57" s="437">
        <v>6544</v>
      </c>
      <c r="M57" s="438">
        <v>0</v>
      </c>
      <c r="N57" s="438">
        <v>0</v>
      </c>
      <c r="P57" s="438">
        <v>383.33300000000003</v>
      </c>
      <c r="Q57" s="438">
        <v>0</v>
      </c>
      <c r="R57" s="438">
        <v>94908</v>
      </c>
      <c r="S57" s="437">
        <v>247.58699999999999</v>
      </c>
      <c r="U57" s="438">
        <v>0</v>
      </c>
      <c r="V57" s="438">
        <v>50.378</v>
      </c>
      <c r="W57" s="438">
        <v>32967</v>
      </c>
      <c r="X57" s="438">
        <v>32967</v>
      </c>
      <c r="Z57" s="438">
        <v>0</v>
      </c>
      <c r="AA57" s="438">
        <v>1</v>
      </c>
      <c r="AB57" s="438">
        <v>1</v>
      </c>
      <c r="AC57" s="438">
        <v>0</v>
      </c>
      <c r="AD57" s="438" t="s">
        <v>332</v>
      </c>
      <c r="AE57" s="438">
        <v>0</v>
      </c>
      <c r="AH57" s="438">
        <v>0</v>
      </c>
      <c r="AI57" s="438">
        <v>0</v>
      </c>
      <c r="AJ57" s="437">
        <v>5105</v>
      </c>
      <c r="AK57" s="438" t="s">
        <v>561</v>
      </c>
      <c r="AL57" s="438" t="s">
        <v>21</v>
      </c>
      <c r="AM57" s="438">
        <v>0</v>
      </c>
      <c r="AN57" s="438">
        <v>0</v>
      </c>
      <c r="AO57" s="438">
        <v>0</v>
      </c>
      <c r="AP57" s="438">
        <v>0</v>
      </c>
      <c r="AQ57" s="438">
        <v>0</v>
      </c>
      <c r="AR57" s="438">
        <v>0</v>
      </c>
      <c r="AS57" s="438">
        <v>0</v>
      </c>
      <c r="AT57" s="438">
        <v>0</v>
      </c>
      <c r="AU57" s="438">
        <v>0</v>
      </c>
      <c r="AV57" s="438">
        <v>0</v>
      </c>
      <c r="AW57" s="438">
        <v>3797510</v>
      </c>
      <c r="AX57" s="438">
        <v>3797510</v>
      </c>
      <c r="AY57" s="438">
        <v>0</v>
      </c>
      <c r="AZ57" s="438">
        <v>94908</v>
      </c>
      <c r="BA57" s="438">
        <v>0</v>
      </c>
      <c r="BB57" s="438">
        <v>0</v>
      </c>
      <c r="BC57" s="438">
        <v>0</v>
      </c>
      <c r="BD57" s="438">
        <v>0</v>
      </c>
      <c r="BE57" s="438">
        <v>0</v>
      </c>
      <c r="BF57" s="438">
        <v>3233010</v>
      </c>
      <c r="BG57" s="438">
        <v>0</v>
      </c>
      <c r="BH57" s="438">
        <v>0</v>
      </c>
      <c r="BI57" s="438">
        <v>0</v>
      </c>
      <c r="BJ57" s="438">
        <v>12</v>
      </c>
      <c r="BK57" s="438">
        <v>0</v>
      </c>
      <c r="BL57" s="438">
        <v>0</v>
      </c>
      <c r="BM57" s="438">
        <v>0</v>
      </c>
      <c r="BN57" s="438">
        <v>0</v>
      </c>
      <c r="BO57" s="438">
        <v>0</v>
      </c>
      <c r="BP57" s="438">
        <v>0</v>
      </c>
      <c r="BQ57" s="437">
        <v>5392</v>
      </c>
      <c r="BR57" s="438">
        <v>1</v>
      </c>
      <c r="BS57" s="438">
        <v>0</v>
      </c>
      <c r="BT57" s="438">
        <v>0</v>
      </c>
      <c r="BU57" s="438">
        <v>0</v>
      </c>
      <c r="BV57" s="438">
        <v>0</v>
      </c>
      <c r="BW57" s="438">
        <v>0</v>
      </c>
      <c r="BX57" s="438">
        <v>0</v>
      </c>
      <c r="BY57" s="438">
        <v>0</v>
      </c>
      <c r="BZ57" s="438">
        <v>0</v>
      </c>
      <c r="CA57" s="438">
        <v>0</v>
      </c>
      <c r="CB57" s="438">
        <v>0</v>
      </c>
      <c r="CC57" s="438">
        <v>0</v>
      </c>
      <c r="CG57" s="438">
        <v>0</v>
      </c>
      <c r="CH57" s="438">
        <v>0</v>
      </c>
      <c r="CI57" s="438">
        <v>0</v>
      </c>
      <c r="CJ57" s="438">
        <v>4</v>
      </c>
      <c r="CK57" s="438">
        <v>0</v>
      </c>
      <c r="CL57" s="438">
        <v>0</v>
      </c>
      <c r="CN57" s="438">
        <v>0</v>
      </c>
      <c r="CO57" s="438">
        <v>1</v>
      </c>
      <c r="CP57" s="438">
        <v>0</v>
      </c>
      <c r="CQ57" s="438">
        <v>0</v>
      </c>
      <c r="CR57" s="438">
        <v>383.72699999999998</v>
      </c>
      <c r="CS57" s="438">
        <v>0</v>
      </c>
      <c r="CT57" s="438">
        <v>0</v>
      </c>
      <c r="CU57" s="438">
        <v>0</v>
      </c>
      <c r="CV57" s="438">
        <v>0</v>
      </c>
      <c r="CW57" s="438">
        <v>0</v>
      </c>
      <c r="CX57" s="438">
        <v>0</v>
      </c>
      <c r="CY57" s="438">
        <v>0</v>
      </c>
      <c r="CZ57" s="438">
        <v>0</v>
      </c>
      <c r="DA57" s="438">
        <v>1</v>
      </c>
      <c r="DB57" s="438">
        <v>2433399</v>
      </c>
      <c r="DC57" s="438">
        <v>0</v>
      </c>
      <c r="DD57" s="438">
        <v>0</v>
      </c>
      <c r="DE57" s="438">
        <v>573032</v>
      </c>
      <c r="DF57" s="438">
        <v>573032</v>
      </c>
      <c r="DG57" s="438">
        <v>437.83</v>
      </c>
      <c r="DH57" s="438">
        <v>0</v>
      </c>
      <c r="DI57" s="438">
        <v>0</v>
      </c>
      <c r="DK57" s="437">
        <v>5392</v>
      </c>
      <c r="DL57" s="438">
        <v>0</v>
      </c>
      <c r="DM57" s="438">
        <v>282133</v>
      </c>
      <c r="DN57" s="438">
        <v>0</v>
      </c>
      <c r="DO57" s="438">
        <v>0</v>
      </c>
      <c r="DP57" s="438">
        <v>0</v>
      </c>
      <c r="DQ57" s="438">
        <v>0</v>
      </c>
      <c r="DR57" s="438">
        <v>0</v>
      </c>
      <c r="DS57" s="438">
        <v>0</v>
      </c>
      <c r="DT57" s="438">
        <v>0</v>
      </c>
      <c r="DU57" s="438">
        <v>0</v>
      </c>
      <c r="DV57" s="438">
        <v>0</v>
      </c>
      <c r="DW57" s="438">
        <v>0</v>
      </c>
      <c r="DX57" s="438">
        <v>0</v>
      </c>
      <c r="DY57" s="438">
        <v>0</v>
      </c>
      <c r="DZ57" s="438">
        <v>0</v>
      </c>
      <c r="EA57" s="438">
        <v>0</v>
      </c>
      <c r="EB57" s="438">
        <v>0</v>
      </c>
      <c r="EC57" s="438">
        <v>5.133</v>
      </c>
      <c r="ED57" s="438">
        <v>36949</v>
      </c>
      <c r="EE57" s="438">
        <v>0</v>
      </c>
      <c r="EF57" s="438">
        <v>0</v>
      </c>
      <c r="EG57" s="438">
        <v>0</v>
      </c>
      <c r="EH57" s="438">
        <v>245184</v>
      </c>
      <c r="EI57" s="438">
        <v>0</v>
      </c>
      <c r="EJ57" s="438">
        <v>0</v>
      </c>
      <c r="EK57" s="438">
        <v>5.9329999999999998</v>
      </c>
      <c r="EL57" s="438">
        <v>0</v>
      </c>
      <c r="EM57" s="438">
        <v>5.0209999999999999</v>
      </c>
      <c r="EN57" s="438">
        <v>0.92100000000000004</v>
      </c>
      <c r="EO57" s="438">
        <v>0</v>
      </c>
      <c r="EP57" s="438">
        <v>0</v>
      </c>
      <c r="EQ57" s="438">
        <v>11.875</v>
      </c>
      <c r="ER57" s="438">
        <v>0</v>
      </c>
      <c r="ES57" s="438">
        <v>37.466999999999999</v>
      </c>
      <c r="ET57" s="438">
        <v>0</v>
      </c>
      <c r="EU57" s="438">
        <v>94908</v>
      </c>
      <c r="EV57" s="438">
        <v>0</v>
      </c>
      <c r="EW57" s="438">
        <v>0</v>
      </c>
      <c r="EX57" s="438">
        <v>0</v>
      </c>
      <c r="EZ57" s="438">
        <v>3226623</v>
      </c>
      <c r="FA57" s="438">
        <v>0</v>
      </c>
      <c r="FB57" s="438">
        <v>3321531</v>
      </c>
      <c r="FC57" s="438">
        <v>0.97334900000000002</v>
      </c>
      <c r="FD57" s="438">
        <v>0</v>
      </c>
      <c r="FE57" s="438">
        <v>464921</v>
      </c>
      <c r="FF57" s="438">
        <v>105966</v>
      </c>
      <c r="FG57" s="437">
        <v>5.7854999999999997E-2</v>
      </c>
      <c r="FH57" s="437">
        <v>5.2366000000000003E-2</v>
      </c>
      <c r="FI57" s="438">
        <v>0</v>
      </c>
      <c r="FJ57" s="438">
        <v>0</v>
      </c>
      <c r="FK57" s="438">
        <v>633.35199999999998</v>
      </c>
      <c r="FL57" s="438">
        <v>3892418</v>
      </c>
      <c r="FM57" s="438">
        <v>0</v>
      </c>
      <c r="FN57" s="438">
        <v>0</v>
      </c>
      <c r="FO57" s="438">
        <v>0</v>
      </c>
      <c r="FP57" s="438">
        <v>0</v>
      </c>
      <c r="FQ57" s="438">
        <v>0</v>
      </c>
      <c r="FR57" s="438">
        <v>0</v>
      </c>
      <c r="FS57" s="438">
        <v>0</v>
      </c>
      <c r="FT57" s="438">
        <v>0</v>
      </c>
      <c r="FU57" s="438">
        <v>0</v>
      </c>
      <c r="FV57" s="438">
        <v>0</v>
      </c>
      <c r="FW57" s="438">
        <v>0</v>
      </c>
      <c r="FX57" s="438">
        <v>0</v>
      </c>
      <c r="FY57" s="438">
        <v>0</v>
      </c>
      <c r="FZ57" s="438">
        <v>0</v>
      </c>
      <c r="GA57" s="438">
        <v>0</v>
      </c>
      <c r="GB57" s="438">
        <v>0</v>
      </c>
      <c r="GC57" s="438">
        <v>0</v>
      </c>
      <c r="GD57" s="438">
        <v>0</v>
      </c>
      <c r="GF57" s="438">
        <v>0</v>
      </c>
      <c r="GG57" s="438">
        <v>0</v>
      </c>
      <c r="GH57" s="438">
        <v>0</v>
      </c>
      <c r="GI57" s="438">
        <v>0</v>
      </c>
      <c r="GJ57" s="438">
        <v>0</v>
      </c>
      <c r="GK57" s="438">
        <v>4820.4650000000001</v>
      </c>
      <c r="GL57" s="438">
        <v>13253</v>
      </c>
      <c r="GM57" s="438">
        <v>0</v>
      </c>
      <c r="GN57" s="438">
        <v>0</v>
      </c>
      <c r="GO57" s="438">
        <v>0</v>
      </c>
      <c r="GP57" s="438">
        <v>3892418</v>
      </c>
      <c r="GQ57" s="438">
        <v>3892418</v>
      </c>
      <c r="GR57" s="438">
        <v>0</v>
      </c>
      <c r="GS57" s="438">
        <v>0</v>
      </c>
      <c r="GT57" s="438">
        <v>0</v>
      </c>
      <c r="HB57" s="438">
        <v>0</v>
      </c>
      <c r="HC57" s="437">
        <v>6.0754000000000002E-2</v>
      </c>
      <c r="HD57" s="438">
        <v>0</v>
      </c>
    </row>
    <row r="58" spans="1:212" x14ac:dyDescent="0.2">
      <c r="A58" s="438">
        <v>25836</v>
      </c>
      <c r="B58" s="442">
        <v>57814</v>
      </c>
      <c r="C58" s="438">
        <v>9</v>
      </c>
      <c r="D58" s="438">
        <v>2020</v>
      </c>
      <c r="E58" s="438">
        <v>5392</v>
      </c>
      <c r="F58" s="438">
        <v>0</v>
      </c>
      <c r="G58" s="438">
        <v>463.875</v>
      </c>
      <c r="H58" s="438">
        <v>370.51</v>
      </c>
      <c r="I58" s="438">
        <v>370.51</v>
      </c>
      <c r="J58" s="438">
        <v>463.875</v>
      </c>
      <c r="K58" s="438">
        <v>0</v>
      </c>
      <c r="L58" s="437">
        <v>6544</v>
      </c>
      <c r="M58" s="438">
        <v>0</v>
      </c>
      <c r="N58" s="438">
        <v>0</v>
      </c>
      <c r="P58" s="438">
        <v>464.41199999999998</v>
      </c>
      <c r="Q58" s="438">
        <v>0</v>
      </c>
      <c r="R58" s="438">
        <v>114982</v>
      </c>
      <c r="S58" s="437">
        <v>247.58699999999999</v>
      </c>
      <c r="U58" s="438">
        <v>0</v>
      </c>
      <c r="V58" s="438">
        <v>81.17</v>
      </c>
      <c r="W58" s="438">
        <v>53118</v>
      </c>
      <c r="X58" s="438">
        <v>53118</v>
      </c>
      <c r="Z58" s="438">
        <v>0</v>
      </c>
      <c r="AA58" s="438">
        <v>1</v>
      </c>
      <c r="AB58" s="438">
        <v>1</v>
      </c>
      <c r="AC58" s="438">
        <v>0</v>
      </c>
      <c r="AD58" s="438" t="s">
        <v>332</v>
      </c>
      <c r="AE58" s="438">
        <v>0</v>
      </c>
      <c r="AH58" s="438">
        <v>0</v>
      </c>
      <c r="AI58" s="438">
        <v>0</v>
      </c>
      <c r="AJ58" s="437">
        <v>5105</v>
      </c>
      <c r="AK58" s="438" t="s">
        <v>561</v>
      </c>
      <c r="AL58" s="438" t="s">
        <v>344</v>
      </c>
      <c r="AM58" s="438">
        <v>0</v>
      </c>
      <c r="AN58" s="438">
        <v>0</v>
      </c>
      <c r="AO58" s="438">
        <v>0</v>
      </c>
      <c r="AP58" s="438">
        <v>0</v>
      </c>
      <c r="AQ58" s="438">
        <v>0</v>
      </c>
      <c r="AR58" s="438">
        <v>0</v>
      </c>
      <c r="AS58" s="438">
        <v>0</v>
      </c>
      <c r="AT58" s="438">
        <v>0</v>
      </c>
      <c r="AU58" s="438">
        <v>0</v>
      </c>
      <c r="AV58" s="438">
        <v>0</v>
      </c>
      <c r="AW58" s="438">
        <v>6575238</v>
      </c>
      <c r="AX58" s="438">
        <v>6476883</v>
      </c>
      <c r="AY58" s="438">
        <v>0</v>
      </c>
      <c r="AZ58" s="438">
        <v>213337</v>
      </c>
      <c r="BA58" s="438">
        <v>0</v>
      </c>
      <c r="BB58" s="438">
        <v>0</v>
      </c>
      <c r="BC58" s="438">
        <v>0</v>
      </c>
      <c r="BD58" s="438">
        <v>0</v>
      </c>
      <c r="BE58" s="438">
        <v>0</v>
      </c>
      <c r="BF58" s="438">
        <v>5379757</v>
      </c>
      <c r="BG58" s="438">
        <v>0</v>
      </c>
      <c r="BH58" s="438">
        <v>357.65600000000001</v>
      </c>
      <c r="BI58" s="438">
        <v>98355</v>
      </c>
      <c r="BJ58" s="438">
        <v>12</v>
      </c>
      <c r="BK58" s="438">
        <v>0</v>
      </c>
      <c r="BL58" s="438">
        <v>0</v>
      </c>
      <c r="BM58" s="438">
        <v>0</v>
      </c>
      <c r="BN58" s="438">
        <v>0</v>
      </c>
      <c r="BO58" s="438">
        <v>0</v>
      </c>
      <c r="BP58" s="438">
        <v>0</v>
      </c>
      <c r="BQ58" s="437">
        <v>5392</v>
      </c>
      <c r="BR58" s="438">
        <v>1</v>
      </c>
      <c r="BS58" s="438">
        <v>0</v>
      </c>
      <c r="BT58" s="438">
        <v>0</v>
      </c>
      <c r="BU58" s="438">
        <v>0</v>
      </c>
      <c r="BV58" s="438">
        <v>0</v>
      </c>
      <c r="BW58" s="438">
        <v>0</v>
      </c>
      <c r="BX58" s="438">
        <v>0</v>
      </c>
      <c r="BY58" s="438">
        <v>0</v>
      </c>
      <c r="BZ58" s="438">
        <v>0</v>
      </c>
      <c r="CA58" s="438">
        <v>0</v>
      </c>
      <c r="CB58" s="438">
        <v>0</v>
      </c>
      <c r="CC58" s="438">
        <v>0</v>
      </c>
      <c r="CG58" s="438">
        <v>0</v>
      </c>
      <c r="CH58" s="438">
        <v>0</v>
      </c>
      <c r="CI58" s="438">
        <v>0</v>
      </c>
      <c r="CJ58" s="438">
        <v>4</v>
      </c>
      <c r="CK58" s="438">
        <v>0</v>
      </c>
      <c r="CL58" s="438">
        <v>0</v>
      </c>
      <c r="CN58" s="438">
        <v>0</v>
      </c>
      <c r="CO58" s="438">
        <v>1</v>
      </c>
      <c r="CP58" s="438">
        <v>0</v>
      </c>
      <c r="CQ58" s="438">
        <v>0</v>
      </c>
      <c r="CR58" s="438">
        <v>463.875</v>
      </c>
      <c r="CS58" s="438">
        <v>0</v>
      </c>
      <c r="CT58" s="438">
        <v>0</v>
      </c>
      <c r="CU58" s="438">
        <v>0</v>
      </c>
      <c r="CV58" s="438">
        <v>0</v>
      </c>
      <c r="CW58" s="438">
        <v>0</v>
      </c>
      <c r="CX58" s="438">
        <v>0</v>
      </c>
      <c r="CY58" s="438">
        <v>0</v>
      </c>
      <c r="CZ58" s="438">
        <v>0</v>
      </c>
      <c r="DA58" s="438">
        <v>1</v>
      </c>
      <c r="DB58" s="438">
        <v>2424617</v>
      </c>
      <c r="DC58" s="438">
        <v>0</v>
      </c>
      <c r="DD58" s="438">
        <v>0</v>
      </c>
      <c r="DE58" s="438">
        <v>719186</v>
      </c>
      <c r="DF58" s="438">
        <v>719186</v>
      </c>
      <c r="DG58" s="438">
        <v>549.5</v>
      </c>
      <c r="DH58" s="438">
        <v>0</v>
      </c>
      <c r="DI58" s="438">
        <v>0</v>
      </c>
      <c r="DK58" s="437">
        <v>5392</v>
      </c>
      <c r="DL58" s="438">
        <v>0</v>
      </c>
      <c r="DM58" s="438">
        <v>2260485</v>
      </c>
      <c r="DN58" s="438">
        <v>0</v>
      </c>
      <c r="DO58" s="438">
        <v>0</v>
      </c>
      <c r="DP58" s="438">
        <v>0</v>
      </c>
      <c r="DQ58" s="438">
        <v>0</v>
      </c>
      <c r="DR58" s="438">
        <v>0</v>
      </c>
      <c r="DS58" s="438">
        <v>0</v>
      </c>
      <c r="DT58" s="438">
        <v>0</v>
      </c>
      <c r="DU58" s="438">
        <v>0</v>
      </c>
      <c r="DV58" s="438">
        <v>0</v>
      </c>
      <c r="DW58" s="438">
        <v>0</v>
      </c>
      <c r="DX58" s="438">
        <v>0</v>
      </c>
      <c r="DY58" s="438">
        <v>0</v>
      </c>
      <c r="DZ58" s="438">
        <v>0</v>
      </c>
      <c r="EA58" s="438">
        <v>0</v>
      </c>
      <c r="EB58" s="438">
        <v>0</v>
      </c>
      <c r="EC58" s="438">
        <v>3.2770000000000001</v>
      </c>
      <c r="ED58" s="438">
        <v>23589</v>
      </c>
      <c r="EE58" s="438">
        <v>0</v>
      </c>
      <c r="EF58" s="438">
        <v>0</v>
      </c>
      <c r="EG58" s="438">
        <v>0</v>
      </c>
      <c r="EH58" s="438">
        <v>22223</v>
      </c>
      <c r="EI58" s="438">
        <v>2214673</v>
      </c>
      <c r="EJ58" s="438">
        <v>84.606999999999999</v>
      </c>
      <c r="EK58" s="438">
        <v>0.34200000000000003</v>
      </c>
      <c r="EL58" s="438">
        <v>0</v>
      </c>
      <c r="EM58" s="438">
        <v>0.14499999999999999</v>
      </c>
      <c r="EN58" s="438">
        <v>0.38700000000000001</v>
      </c>
      <c r="EO58" s="438">
        <v>0</v>
      </c>
      <c r="EP58" s="438">
        <v>0</v>
      </c>
      <c r="EQ58" s="438">
        <v>85.480999999999995</v>
      </c>
      <c r="ER58" s="438">
        <v>0</v>
      </c>
      <c r="ES58" s="438">
        <v>3.3959999999999999</v>
      </c>
      <c r="ET58" s="438">
        <v>0</v>
      </c>
      <c r="EU58" s="438">
        <v>213337</v>
      </c>
      <c r="EV58" s="438">
        <v>0</v>
      </c>
      <c r="EW58" s="438">
        <v>0</v>
      </c>
      <c r="EX58" s="438">
        <v>0</v>
      </c>
      <c r="EZ58" s="438">
        <v>5526922</v>
      </c>
      <c r="FA58" s="438">
        <v>0</v>
      </c>
      <c r="FB58" s="438">
        <v>5740259</v>
      </c>
      <c r="FC58" s="438">
        <v>0.97334900000000002</v>
      </c>
      <c r="FD58" s="438">
        <v>0</v>
      </c>
      <c r="FE58" s="438">
        <v>773633</v>
      </c>
      <c r="FF58" s="438">
        <v>176328</v>
      </c>
      <c r="FG58" s="437">
        <v>5.7854999999999997E-2</v>
      </c>
      <c r="FH58" s="437">
        <v>5.2366000000000003E-2</v>
      </c>
      <c r="FI58" s="438">
        <v>0</v>
      </c>
      <c r="FJ58" s="438">
        <v>0</v>
      </c>
      <c r="FK58" s="438">
        <v>1053.904</v>
      </c>
      <c r="FL58" s="438">
        <v>6690220</v>
      </c>
      <c r="FM58" s="438">
        <v>0</v>
      </c>
      <c r="FN58" s="438">
        <v>0</v>
      </c>
      <c r="FO58" s="438">
        <v>114848</v>
      </c>
      <c r="FP58" s="438">
        <v>0</v>
      </c>
      <c r="FQ58" s="438">
        <v>114848</v>
      </c>
      <c r="FR58" s="438">
        <v>114848</v>
      </c>
      <c r="FS58" s="438">
        <v>0</v>
      </c>
      <c r="FT58" s="438">
        <v>0</v>
      </c>
      <c r="FU58" s="438">
        <v>0</v>
      </c>
      <c r="FV58" s="438">
        <v>0</v>
      </c>
      <c r="FW58" s="438">
        <v>0</v>
      </c>
      <c r="FX58" s="438">
        <v>0</v>
      </c>
      <c r="FY58" s="438">
        <v>0</v>
      </c>
      <c r="FZ58" s="438">
        <v>0</v>
      </c>
      <c r="GA58" s="438">
        <v>0</v>
      </c>
      <c r="GB58" s="438">
        <v>69650</v>
      </c>
      <c r="GC58" s="438">
        <v>69650</v>
      </c>
      <c r="GD58" s="438">
        <v>7.8840000000000003</v>
      </c>
      <c r="GF58" s="438">
        <v>0</v>
      </c>
      <c r="GG58" s="438">
        <v>0</v>
      </c>
      <c r="GH58" s="438">
        <v>0</v>
      </c>
      <c r="GI58" s="438">
        <v>0</v>
      </c>
      <c r="GJ58" s="438">
        <v>0</v>
      </c>
      <c r="GK58" s="438">
        <v>5007.5780000000004</v>
      </c>
      <c r="GL58" s="438">
        <v>21163</v>
      </c>
      <c r="GM58" s="438">
        <v>0</v>
      </c>
      <c r="GN58" s="438">
        <v>147575</v>
      </c>
      <c r="GO58" s="438">
        <v>0</v>
      </c>
      <c r="GP58" s="438">
        <v>6690220</v>
      </c>
      <c r="GQ58" s="438">
        <v>6690220</v>
      </c>
      <c r="GR58" s="438">
        <v>0</v>
      </c>
      <c r="GS58" s="438">
        <v>0</v>
      </c>
      <c r="GT58" s="438">
        <v>0</v>
      </c>
      <c r="HB58" s="438">
        <v>0</v>
      </c>
      <c r="HC58" s="437">
        <v>6.0754000000000002E-2</v>
      </c>
      <c r="HD58" s="438">
        <v>0</v>
      </c>
    </row>
    <row r="59" spans="1:212" x14ac:dyDescent="0.2">
      <c r="A59" s="438">
        <v>25836</v>
      </c>
      <c r="B59" s="442">
        <v>57816</v>
      </c>
      <c r="C59" s="438">
        <v>9</v>
      </c>
      <c r="D59" s="438">
        <v>2020</v>
      </c>
      <c r="E59" s="438">
        <v>5392</v>
      </c>
      <c r="F59" s="438">
        <v>0</v>
      </c>
      <c r="G59" s="438">
        <v>1606.26</v>
      </c>
      <c r="H59" s="438">
        <v>1586.296</v>
      </c>
      <c r="I59" s="438">
        <v>1586.296</v>
      </c>
      <c r="J59" s="438">
        <v>1606.26</v>
      </c>
      <c r="K59" s="438">
        <v>0</v>
      </c>
      <c r="L59" s="437">
        <v>6544</v>
      </c>
      <c r="M59" s="438">
        <v>0</v>
      </c>
      <c r="N59" s="438">
        <v>0</v>
      </c>
      <c r="P59" s="438">
        <v>1699.25</v>
      </c>
      <c r="Q59" s="438">
        <v>0</v>
      </c>
      <c r="R59" s="438">
        <v>420712</v>
      </c>
      <c r="S59" s="437">
        <v>247.58699999999999</v>
      </c>
      <c r="U59" s="438">
        <v>0</v>
      </c>
      <c r="V59" s="438">
        <v>11.82</v>
      </c>
      <c r="W59" s="438">
        <v>7735</v>
      </c>
      <c r="X59" s="438">
        <v>7735</v>
      </c>
      <c r="Z59" s="438">
        <v>0</v>
      </c>
      <c r="AA59" s="438">
        <v>1</v>
      </c>
      <c r="AB59" s="438">
        <v>1</v>
      </c>
      <c r="AC59" s="438">
        <v>0</v>
      </c>
      <c r="AD59" s="438" t="s">
        <v>332</v>
      </c>
      <c r="AE59" s="438">
        <v>0</v>
      </c>
      <c r="AH59" s="438">
        <v>0</v>
      </c>
      <c r="AI59" s="438">
        <v>0</v>
      </c>
      <c r="AJ59" s="437">
        <v>5105</v>
      </c>
      <c r="AK59" s="438" t="s">
        <v>561</v>
      </c>
      <c r="AL59" s="438" t="s">
        <v>482</v>
      </c>
      <c r="AM59" s="438">
        <v>0</v>
      </c>
      <c r="AN59" s="438">
        <v>0</v>
      </c>
      <c r="AO59" s="438">
        <v>0</v>
      </c>
      <c r="AP59" s="438">
        <v>0</v>
      </c>
      <c r="AQ59" s="438">
        <v>0</v>
      </c>
      <c r="AR59" s="438">
        <v>0</v>
      </c>
      <c r="AS59" s="438">
        <v>0</v>
      </c>
      <c r="AT59" s="438">
        <v>0</v>
      </c>
      <c r="AU59" s="438">
        <v>0</v>
      </c>
      <c r="AV59" s="438">
        <v>0</v>
      </c>
      <c r="AW59" s="438">
        <v>15243445</v>
      </c>
      <c r="AX59" s="438">
        <v>15203987</v>
      </c>
      <c r="AY59" s="438">
        <v>0</v>
      </c>
      <c r="AZ59" s="438">
        <v>420712</v>
      </c>
      <c r="BA59" s="438">
        <v>75.082999999999998</v>
      </c>
      <c r="BB59" s="438">
        <v>0</v>
      </c>
      <c r="BC59" s="438">
        <v>0</v>
      </c>
      <c r="BD59" s="438">
        <v>0</v>
      </c>
      <c r="BE59" s="438">
        <v>0</v>
      </c>
      <c r="BF59" s="438">
        <v>12976299</v>
      </c>
      <c r="BG59" s="438">
        <v>0</v>
      </c>
      <c r="BH59" s="438">
        <v>0</v>
      </c>
      <c r="BI59" s="438">
        <v>0</v>
      </c>
      <c r="BJ59" s="438">
        <v>12</v>
      </c>
      <c r="BK59" s="438">
        <v>0</v>
      </c>
      <c r="BL59" s="438">
        <v>0</v>
      </c>
      <c r="BM59" s="438">
        <v>0</v>
      </c>
      <c r="BN59" s="438">
        <v>0</v>
      </c>
      <c r="BO59" s="438">
        <v>0</v>
      </c>
      <c r="BP59" s="438">
        <v>0</v>
      </c>
      <c r="BQ59" s="437">
        <v>5392</v>
      </c>
      <c r="BR59" s="438">
        <v>1</v>
      </c>
      <c r="BS59" s="438">
        <v>0</v>
      </c>
      <c r="BT59" s="438">
        <v>0</v>
      </c>
      <c r="BU59" s="438">
        <v>0</v>
      </c>
      <c r="BV59" s="438">
        <v>0</v>
      </c>
      <c r="BW59" s="438">
        <v>0</v>
      </c>
      <c r="BX59" s="438">
        <v>0</v>
      </c>
      <c r="BY59" s="438">
        <v>0</v>
      </c>
      <c r="BZ59" s="438">
        <v>0</v>
      </c>
      <c r="CA59" s="438">
        <v>0</v>
      </c>
      <c r="CB59" s="438">
        <v>0</v>
      </c>
      <c r="CC59" s="438">
        <v>0</v>
      </c>
      <c r="CG59" s="438">
        <v>0</v>
      </c>
      <c r="CH59" s="438">
        <v>39458</v>
      </c>
      <c r="CI59" s="438">
        <v>0</v>
      </c>
      <c r="CJ59" s="438">
        <v>4</v>
      </c>
      <c r="CK59" s="438">
        <v>0</v>
      </c>
      <c r="CL59" s="438">
        <v>0</v>
      </c>
      <c r="CN59" s="438">
        <v>0</v>
      </c>
      <c r="CO59" s="438">
        <v>1</v>
      </c>
      <c r="CP59" s="438">
        <v>0</v>
      </c>
      <c r="CQ59" s="438">
        <v>7.6669999999999998</v>
      </c>
      <c r="CR59" s="438">
        <v>1606.26</v>
      </c>
      <c r="CS59" s="438">
        <v>0</v>
      </c>
      <c r="CT59" s="438">
        <v>0</v>
      </c>
      <c r="CU59" s="438">
        <v>0</v>
      </c>
      <c r="CV59" s="438">
        <v>0</v>
      </c>
      <c r="CW59" s="438">
        <v>0</v>
      </c>
      <c r="CX59" s="438">
        <v>0</v>
      </c>
      <c r="CY59" s="438">
        <v>0</v>
      </c>
      <c r="CZ59" s="438">
        <v>0</v>
      </c>
      <c r="DA59" s="438">
        <v>1</v>
      </c>
      <c r="DB59" s="438">
        <v>10380721</v>
      </c>
      <c r="DC59" s="438">
        <v>0</v>
      </c>
      <c r="DD59" s="438">
        <v>82.75</v>
      </c>
      <c r="DE59" s="438">
        <v>2369582</v>
      </c>
      <c r="DF59" s="438">
        <v>2369582</v>
      </c>
      <c r="DG59" s="438">
        <v>1810.5</v>
      </c>
      <c r="DH59" s="438">
        <v>0</v>
      </c>
      <c r="DI59" s="438">
        <v>0</v>
      </c>
      <c r="DK59" s="437">
        <v>5392</v>
      </c>
      <c r="DL59" s="438">
        <v>0</v>
      </c>
      <c r="DM59" s="438">
        <v>573556</v>
      </c>
      <c r="DN59" s="438">
        <v>0</v>
      </c>
      <c r="DO59" s="438">
        <v>0</v>
      </c>
      <c r="DP59" s="438">
        <v>0</v>
      </c>
      <c r="DQ59" s="438">
        <v>0</v>
      </c>
      <c r="DR59" s="438">
        <v>0</v>
      </c>
      <c r="DS59" s="438">
        <v>0</v>
      </c>
      <c r="DT59" s="438">
        <v>0</v>
      </c>
      <c r="DU59" s="438">
        <v>0</v>
      </c>
      <c r="DV59" s="438">
        <v>0</v>
      </c>
      <c r="DW59" s="438">
        <v>0</v>
      </c>
      <c r="DX59" s="438">
        <v>0</v>
      </c>
      <c r="DY59" s="438">
        <v>0</v>
      </c>
      <c r="DZ59" s="438">
        <v>0</v>
      </c>
      <c r="EA59" s="438">
        <v>0</v>
      </c>
      <c r="EB59" s="438">
        <v>0</v>
      </c>
      <c r="EC59" s="438">
        <v>22</v>
      </c>
      <c r="ED59" s="438">
        <v>158365</v>
      </c>
      <c r="EE59" s="438">
        <v>0</v>
      </c>
      <c r="EF59" s="438">
        <v>0</v>
      </c>
      <c r="EG59" s="438">
        <v>0</v>
      </c>
      <c r="EH59" s="438">
        <v>415191</v>
      </c>
      <c r="EI59" s="438">
        <v>0</v>
      </c>
      <c r="EJ59" s="438">
        <v>0</v>
      </c>
      <c r="EK59" s="438">
        <v>14.891999999999999</v>
      </c>
      <c r="EL59" s="438">
        <v>0</v>
      </c>
      <c r="EM59" s="438">
        <v>3.2949999999999999</v>
      </c>
      <c r="EN59" s="438">
        <v>1.7769999999999999</v>
      </c>
      <c r="EO59" s="438">
        <v>0</v>
      </c>
      <c r="EP59" s="438">
        <v>0</v>
      </c>
      <c r="EQ59" s="438">
        <v>19.963999999999999</v>
      </c>
      <c r="ER59" s="438">
        <v>0</v>
      </c>
      <c r="ES59" s="438">
        <v>63.445999999999998</v>
      </c>
      <c r="ET59" s="438">
        <v>39458</v>
      </c>
      <c r="EU59" s="438">
        <v>420712</v>
      </c>
      <c r="EV59" s="438">
        <v>0</v>
      </c>
      <c r="EW59" s="438">
        <v>0</v>
      </c>
      <c r="EX59" s="438">
        <v>0</v>
      </c>
      <c r="EZ59" s="438">
        <v>12912623</v>
      </c>
      <c r="FA59" s="438">
        <v>0</v>
      </c>
      <c r="FB59" s="438">
        <v>13333335</v>
      </c>
      <c r="FC59" s="438">
        <v>0.97334900000000002</v>
      </c>
      <c r="FD59" s="438">
        <v>0</v>
      </c>
      <c r="FE59" s="438">
        <v>1866050</v>
      </c>
      <c r="FF59" s="438">
        <v>425314</v>
      </c>
      <c r="FG59" s="437">
        <v>5.7854999999999997E-2</v>
      </c>
      <c r="FH59" s="437">
        <v>5.2366000000000003E-2</v>
      </c>
      <c r="FI59" s="438">
        <v>0</v>
      </c>
      <c r="FJ59" s="438">
        <v>0</v>
      </c>
      <c r="FK59" s="438">
        <v>2542.08</v>
      </c>
      <c r="FL59" s="438">
        <v>15664157</v>
      </c>
      <c r="FM59" s="438">
        <v>0</v>
      </c>
      <c r="FN59" s="438">
        <v>0</v>
      </c>
      <c r="FO59" s="438">
        <v>1741</v>
      </c>
      <c r="FP59" s="438">
        <v>0</v>
      </c>
      <c r="FQ59" s="438">
        <v>1741</v>
      </c>
      <c r="FR59" s="438">
        <v>1741</v>
      </c>
      <c r="FS59" s="438">
        <v>0</v>
      </c>
      <c r="FT59" s="438">
        <v>0</v>
      </c>
      <c r="FU59" s="438">
        <v>0</v>
      </c>
      <c r="FV59" s="438">
        <v>0</v>
      </c>
      <c r="FW59" s="438">
        <v>0</v>
      </c>
      <c r="FX59" s="438">
        <v>0</v>
      </c>
      <c r="FY59" s="438">
        <v>0</v>
      </c>
      <c r="FZ59" s="438">
        <v>0</v>
      </c>
      <c r="GA59" s="438">
        <v>0</v>
      </c>
      <c r="GB59" s="438">
        <v>0</v>
      </c>
      <c r="GC59" s="438">
        <v>0</v>
      </c>
      <c r="GD59" s="438">
        <v>0</v>
      </c>
      <c r="GF59" s="438">
        <v>0</v>
      </c>
      <c r="GG59" s="438">
        <v>0</v>
      </c>
      <c r="GH59" s="438">
        <v>0</v>
      </c>
      <c r="GI59" s="438">
        <v>0</v>
      </c>
      <c r="GJ59" s="438">
        <v>0</v>
      </c>
      <c r="GK59" s="438">
        <v>4722.277</v>
      </c>
      <c r="GL59" s="438">
        <v>34448</v>
      </c>
      <c r="GM59" s="438">
        <v>0</v>
      </c>
      <c r="GN59" s="438">
        <v>0</v>
      </c>
      <c r="GO59" s="438">
        <v>0</v>
      </c>
      <c r="GP59" s="438">
        <v>15624699</v>
      </c>
      <c r="GQ59" s="438">
        <v>15624699</v>
      </c>
      <c r="GR59" s="438">
        <v>0</v>
      </c>
      <c r="GS59" s="438">
        <v>0</v>
      </c>
      <c r="GT59" s="438">
        <v>0</v>
      </c>
      <c r="HB59" s="438">
        <v>0</v>
      </c>
      <c r="HC59" s="437">
        <v>6.0754000000000002E-2</v>
      </c>
      <c r="HD59" s="438">
        <v>0</v>
      </c>
    </row>
    <row r="60" spans="1:212" x14ac:dyDescent="0.2">
      <c r="A60" s="438">
        <v>25836</v>
      </c>
      <c r="B60" s="442">
        <v>57819</v>
      </c>
      <c r="C60" s="438">
        <v>9</v>
      </c>
      <c r="D60" s="438">
        <v>2020</v>
      </c>
      <c r="E60" s="438">
        <v>5392</v>
      </c>
      <c r="F60" s="438">
        <v>0</v>
      </c>
      <c r="G60" s="438">
        <v>176.30199999999999</v>
      </c>
      <c r="H60" s="438">
        <v>172.524</v>
      </c>
      <c r="I60" s="438">
        <v>172.524</v>
      </c>
      <c r="J60" s="438">
        <v>176.30199999999999</v>
      </c>
      <c r="K60" s="438">
        <v>0</v>
      </c>
      <c r="L60" s="437">
        <v>6544</v>
      </c>
      <c r="M60" s="438">
        <v>0</v>
      </c>
      <c r="N60" s="438">
        <v>0</v>
      </c>
      <c r="P60" s="438">
        <v>176.54300000000001</v>
      </c>
      <c r="Q60" s="438">
        <v>0</v>
      </c>
      <c r="R60" s="438">
        <v>43710</v>
      </c>
      <c r="S60" s="437">
        <v>247.58699999999999</v>
      </c>
      <c r="U60" s="438">
        <v>0</v>
      </c>
      <c r="V60" s="438">
        <v>111.512</v>
      </c>
      <c r="W60" s="438">
        <v>72973</v>
      </c>
      <c r="X60" s="438">
        <v>72973</v>
      </c>
      <c r="Z60" s="438">
        <v>0</v>
      </c>
      <c r="AA60" s="438">
        <v>1</v>
      </c>
      <c r="AB60" s="438">
        <v>1</v>
      </c>
      <c r="AC60" s="438">
        <v>0</v>
      </c>
      <c r="AD60" s="438" t="s">
        <v>332</v>
      </c>
      <c r="AE60" s="438">
        <v>0</v>
      </c>
      <c r="AH60" s="438">
        <v>0</v>
      </c>
      <c r="AI60" s="438">
        <v>0</v>
      </c>
      <c r="AJ60" s="437">
        <v>5105</v>
      </c>
      <c r="AK60" s="438" t="s">
        <v>561</v>
      </c>
      <c r="AL60" s="438" t="s">
        <v>45</v>
      </c>
      <c r="AM60" s="438">
        <v>0</v>
      </c>
      <c r="AN60" s="438">
        <v>0</v>
      </c>
      <c r="AO60" s="438">
        <v>0</v>
      </c>
      <c r="AP60" s="438">
        <v>0</v>
      </c>
      <c r="AQ60" s="438">
        <v>0</v>
      </c>
      <c r="AR60" s="438">
        <v>0</v>
      </c>
      <c r="AS60" s="438">
        <v>0</v>
      </c>
      <c r="AT60" s="438">
        <v>0</v>
      </c>
      <c r="AU60" s="438">
        <v>0</v>
      </c>
      <c r="AV60" s="438">
        <v>0</v>
      </c>
      <c r="AW60" s="438">
        <v>1850087</v>
      </c>
      <c r="AX60" s="438">
        <v>1838310</v>
      </c>
      <c r="AY60" s="438">
        <v>0</v>
      </c>
      <c r="AZ60" s="438">
        <v>49237</v>
      </c>
      <c r="BA60" s="438">
        <v>12</v>
      </c>
      <c r="BB60" s="438">
        <v>0</v>
      </c>
      <c r="BC60" s="438">
        <v>0</v>
      </c>
      <c r="BD60" s="438">
        <v>0</v>
      </c>
      <c r="BE60" s="438">
        <v>0</v>
      </c>
      <c r="BF60" s="438">
        <v>1528725</v>
      </c>
      <c r="BG60" s="438">
        <v>0</v>
      </c>
      <c r="BH60" s="438">
        <v>20.097999999999999</v>
      </c>
      <c r="BI60" s="438">
        <v>5527</v>
      </c>
      <c r="BJ60" s="438">
        <v>12</v>
      </c>
      <c r="BK60" s="438">
        <v>0</v>
      </c>
      <c r="BL60" s="438">
        <v>0</v>
      </c>
      <c r="BM60" s="438">
        <v>0</v>
      </c>
      <c r="BN60" s="438">
        <v>0</v>
      </c>
      <c r="BO60" s="438">
        <v>0</v>
      </c>
      <c r="BP60" s="438">
        <v>0</v>
      </c>
      <c r="BQ60" s="437">
        <v>5392</v>
      </c>
      <c r="BR60" s="438">
        <v>1</v>
      </c>
      <c r="BS60" s="438">
        <v>0</v>
      </c>
      <c r="BT60" s="438">
        <v>0</v>
      </c>
      <c r="BU60" s="438">
        <v>0</v>
      </c>
      <c r="BV60" s="438">
        <v>0</v>
      </c>
      <c r="BW60" s="438">
        <v>0</v>
      </c>
      <c r="BX60" s="438">
        <v>0</v>
      </c>
      <c r="BY60" s="438">
        <v>0</v>
      </c>
      <c r="BZ60" s="438">
        <v>0</v>
      </c>
      <c r="CA60" s="438">
        <v>0</v>
      </c>
      <c r="CB60" s="438">
        <v>0</v>
      </c>
      <c r="CC60" s="438">
        <v>0</v>
      </c>
      <c r="CG60" s="438">
        <v>0</v>
      </c>
      <c r="CH60" s="438">
        <v>6250</v>
      </c>
      <c r="CI60" s="438">
        <v>0</v>
      </c>
      <c r="CJ60" s="438">
        <v>4</v>
      </c>
      <c r="CK60" s="438">
        <v>0</v>
      </c>
      <c r="CL60" s="438">
        <v>0</v>
      </c>
      <c r="CN60" s="438">
        <v>0</v>
      </c>
      <c r="CO60" s="438">
        <v>1</v>
      </c>
      <c r="CP60" s="438">
        <v>0</v>
      </c>
      <c r="CQ60" s="438">
        <v>1</v>
      </c>
      <c r="CR60" s="438">
        <v>176.30199999999999</v>
      </c>
      <c r="CS60" s="438">
        <v>0</v>
      </c>
      <c r="CT60" s="438">
        <v>0</v>
      </c>
      <c r="CU60" s="438">
        <v>0</v>
      </c>
      <c r="CV60" s="438">
        <v>0</v>
      </c>
      <c r="CW60" s="438">
        <v>0</v>
      </c>
      <c r="CX60" s="438">
        <v>0</v>
      </c>
      <c r="CY60" s="438">
        <v>0</v>
      </c>
      <c r="CZ60" s="438">
        <v>0</v>
      </c>
      <c r="DA60" s="438">
        <v>1</v>
      </c>
      <c r="DB60" s="438">
        <v>1128997</v>
      </c>
      <c r="DC60" s="438">
        <v>0</v>
      </c>
      <c r="DD60" s="438">
        <v>13</v>
      </c>
      <c r="DE60" s="438">
        <v>258266</v>
      </c>
      <c r="DF60" s="438">
        <v>258266</v>
      </c>
      <c r="DG60" s="438">
        <v>197.33</v>
      </c>
      <c r="DH60" s="438">
        <v>0</v>
      </c>
      <c r="DI60" s="438">
        <v>0</v>
      </c>
      <c r="DK60" s="437">
        <v>5392</v>
      </c>
      <c r="DL60" s="438">
        <v>0</v>
      </c>
      <c r="DM60" s="438">
        <v>89788</v>
      </c>
      <c r="DN60" s="438">
        <v>0</v>
      </c>
      <c r="DO60" s="438">
        <v>0</v>
      </c>
      <c r="DP60" s="438">
        <v>0</v>
      </c>
      <c r="DQ60" s="438">
        <v>0</v>
      </c>
      <c r="DR60" s="438">
        <v>0</v>
      </c>
      <c r="DS60" s="438">
        <v>0</v>
      </c>
      <c r="DT60" s="438">
        <v>0</v>
      </c>
      <c r="DU60" s="438">
        <v>0</v>
      </c>
      <c r="DV60" s="438">
        <v>0</v>
      </c>
      <c r="DW60" s="438">
        <v>0</v>
      </c>
      <c r="DX60" s="438">
        <v>0</v>
      </c>
      <c r="DY60" s="438">
        <v>0</v>
      </c>
      <c r="DZ60" s="438">
        <v>0</v>
      </c>
      <c r="EA60" s="438">
        <v>0</v>
      </c>
      <c r="EB60" s="438">
        <v>0</v>
      </c>
      <c r="EC60" s="438">
        <v>7.8470000000000004</v>
      </c>
      <c r="ED60" s="438">
        <v>56486</v>
      </c>
      <c r="EE60" s="438">
        <v>0</v>
      </c>
      <c r="EF60" s="438">
        <v>0</v>
      </c>
      <c r="EG60" s="438">
        <v>0</v>
      </c>
      <c r="EH60" s="438">
        <v>33302</v>
      </c>
      <c r="EI60" s="438">
        <v>0</v>
      </c>
      <c r="EJ60" s="438">
        <v>0</v>
      </c>
      <c r="EK60" s="438">
        <v>1.012</v>
      </c>
      <c r="EL60" s="438">
        <v>0</v>
      </c>
      <c r="EM60" s="438">
        <v>7.0999999999999994E-2</v>
      </c>
      <c r="EN60" s="438">
        <v>0.36799999999999999</v>
      </c>
      <c r="EO60" s="438">
        <v>0</v>
      </c>
      <c r="EP60" s="438">
        <v>0</v>
      </c>
      <c r="EQ60" s="438">
        <v>1.4510000000000001</v>
      </c>
      <c r="ER60" s="438">
        <v>0</v>
      </c>
      <c r="ES60" s="438">
        <v>5.0890000000000004</v>
      </c>
      <c r="ET60" s="438">
        <v>6250</v>
      </c>
      <c r="EU60" s="438">
        <v>49237</v>
      </c>
      <c r="EV60" s="438">
        <v>0</v>
      </c>
      <c r="EW60" s="438">
        <v>0</v>
      </c>
      <c r="EX60" s="438">
        <v>0</v>
      </c>
      <c r="EZ60" s="438">
        <v>1568366</v>
      </c>
      <c r="FA60" s="438">
        <v>0</v>
      </c>
      <c r="FB60" s="438">
        <v>1617603</v>
      </c>
      <c r="FC60" s="438">
        <v>0.97334900000000002</v>
      </c>
      <c r="FD60" s="438">
        <v>0</v>
      </c>
      <c r="FE60" s="438">
        <v>219838</v>
      </c>
      <c r="FF60" s="438">
        <v>50106</v>
      </c>
      <c r="FG60" s="437">
        <v>5.7854999999999997E-2</v>
      </c>
      <c r="FH60" s="437">
        <v>5.2366000000000003E-2</v>
      </c>
      <c r="FI60" s="438">
        <v>0</v>
      </c>
      <c r="FJ60" s="438">
        <v>0</v>
      </c>
      <c r="FK60" s="438">
        <v>299.48</v>
      </c>
      <c r="FL60" s="438">
        <v>1893797</v>
      </c>
      <c r="FM60" s="438">
        <v>0</v>
      </c>
      <c r="FN60" s="438">
        <v>0</v>
      </c>
      <c r="FO60" s="438">
        <v>41494</v>
      </c>
      <c r="FP60" s="438">
        <v>0</v>
      </c>
      <c r="FQ60" s="438">
        <v>41494</v>
      </c>
      <c r="FR60" s="438">
        <v>41494</v>
      </c>
      <c r="FS60" s="438">
        <v>0</v>
      </c>
      <c r="FT60" s="438">
        <v>0</v>
      </c>
      <c r="FU60" s="438">
        <v>0</v>
      </c>
      <c r="FV60" s="438">
        <v>0</v>
      </c>
      <c r="FW60" s="438">
        <v>0</v>
      </c>
      <c r="FX60" s="438">
        <v>0</v>
      </c>
      <c r="FY60" s="438">
        <v>0</v>
      </c>
      <c r="FZ60" s="438">
        <v>0</v>
      </c>
      <c r="GA60" s="438">
        <v>0</v>
      </c>
      <c r="GB60" s="438">
        <v>20558</v>
      </c>
      <c r="GC60" s="438">
        <v>20558</v>
      </c>
      <c r="GD60" s="438">
        <v>2.327</v>
      </c>
      <c r="GF60" s="438">
        <v>0</v>
      </c>
      <c r="GG60" s="438">
        <v>0</v>
      </c>
      <c r="GH60" s="438">
        <v>0</v>
      </c>
      <c r="GI60" s="438">
        <v>0</v>
      </c>
      <c r="GJ60" s="438">
        <v>0</v>
      </c>
      <c r="GK60" s="438">
        <v>5248.4160000000002</v>
      </c>
      <c r="GL60" s="438">
        <v>2831</v>
      </c>
      <c r="GM60" s="438">
        <v>0</v>
      </c>
      <c r="GN60" s="438">
        <v>96198</v>
      </c>
      <c r="GO60" s="438">
        <v>0</v>
      </c>
      <c r="GP60" s="438">
        <v>1887547</v>
      </c>
      <c r="GQ60" s="438">
        <v>1887547</v>
      </c>
      <c r="GR60" s="438">
        <v>0</v>
      </c>
      <c r="GS60" s="438">
        <v>0</v>
      </c>
      <c r="GT60" s="438">
        <v>0</v>
      </c>
      <c r="HB60" s="438">
        <v>0</v>
      </c>
      <c r="HC60" s="437">
        <v>6.0754000000000002E-2</v>
      </c>
      <c r="HD60" s="438">
        <v>0</v>
      </c>
    </row>
    <row r="61" spans="1:212" x14ac:dyDescent="0.2">
      <c r="A61" s="438">
        <v>25836</v>
      </c>
      <c r="B61" s="442">
        <v>57827</v>
      </c>
      <c r="C61" s="438">
        <v>9</v>
      </c>
      <c r="D61" s="438">
        <v>2020</v>
      </c>
      <c r="E61" s="438">
        <v>5392</v>
      </c>
      <c r="F61" s="438">
        <v>0</v>
      </c>
      <c r="G61" s="438">
        <v>555.94200000000001</v>
      </c>
      <c r="H61" s="438">
        <v>555.024</v>
      </c>
      <c r="I61" s="438">
        <v>555.024</v>
      </c>
      <c r="J61" s="438">
        <v>555.94200000000001</v>
      </c>
      <c r="K61" s="438">
        <v>0</v>
      </c>
      <c r="L61" s="437">
        <v>6544</v>
      </c>
      <c r="M61" s="438">
        <v>0</v>
      </c>
      <c r="N61" s="438">
        <v>0</v>
      </c>
      <c r="P61" s="438">
        <v>556.20799999999997</v>
      </c>
      <c r="Q61" s="438">
        <v>0</v>
      </c>
      <c r="R61" s="438">
        <v>137710</v>
      </c>
      <c r="S61" s="437">
        <v>247.58699999999999</v>
      </c>
      <c r="U61" s="438">
        <v>0</v>
      </c>
      <c r="V61" s="438">
        <v>171.179</v>
      </c>
      <c r="W61" s="438">
        <v>112020</v>
      </c>
      <c r="X61" s="438">
        <v>112020</v>
      </c>
      <c r="Z61" s="438">
        <v>0</v>
      </c>
      <c r="AA61" s="438">
        <v>1</v>
      </c>
      <c r="AB61" s="438">
        <v>1</v>
      </c>
      <c r="AC61" s="438">
        <v>0</v>
      </c>
      <c r="AD61" s="438" t="s">
        <v>332</v>
      </c>
      <c r="AE61" s="438">
        <v>0</v>
      </c>
      <c r="AH61" s="438">
        <v>0</v>
      </c>
      <c r="AI61" s="438">
        <v>0</v>
      </c>
      <c r="AJ61" s="437">
        <v>5105</v>
      </c>
      <c r="AK61" s="438" t="s">
        <v>561</v>
      </c>
      <c r="AL61" s="438" t="s">
        <v>645</v>
      </c>
      <c r="AM61" s="438">
        <v>0</v>
      </c>
      <c r="AN61" s="438">
        <v>0</v>
      </c>
      <c r="AO61" s="438">
        <v>0</v>
      </c>
      <c r="AP61" s="438">
        <v>0</v>
      </c>
      <c r="AQ61" s="438">
        <v>0</v>
      </c>
      <c r="AR61" s="438">
        <v>0</v>
      </c>
      <c r="AS61" s="438">
        <v>0</v>
      </c>
      <c r="AT61" s="438">
        <v>0</v>
      </c>
      <c r="AU61" s="438">
        <v>0</v>
      </c>
      <c r="AV61" s="438">
        <v>0</v>
      </c>
      <c r="AW61" s="438">
        <v>5328286</v>
      </c>
      <c r="AX61" s="438">
        <v>5315994</v>
      </c>
      <c r="AY61" s="438">
        <v>0</v>
      </c>
      <c r="AZ61" s="438">
        <v>137710</v>
      </c>
      <c r="BA61" s="438">
        <v>24.582999999999998</v>
      </c>
      <c r="BB61" s="438">
        <v>0</v>
      </c>
      <c r="BC61" s="438">
        <v>0</v>
      </c>
      <c r="BD61" s="438">
        <v>0</v>
      </c>
      <c r="BE61" s="438">
        <v>0</v>
      </c>
      <c r="BF61" s="438">
        <v>4529801</v>
      </c>
      <c r="BG61" s="438">
        <v>0</v>
      </c>
      <c r="BH61" s="438">
        <v>0</v>
      </c>
      <c r="BI61" s="438">
        <v>0</v>
      </c>
      <c r="BJ61" s="438">
        <v>12</v>
      </c>
      <c r="BK61" s="438">
        <v>0</v>
      </c>
      <c r="BL61" s="438">
        <v>0</v>
      </c>
      <c r="BM61" s="438">
        <v>0</v>
      </c>
      <c r="BN61" s="438">
        <v>0</v>
      </c>
      <c r="BO61" s="438">
        <v>0</v>
      </c>
      <c r="BP61" s="438">
        <v>0</v>
      </c>
      <c r="BQ61" s="437">
        <v>5392</v>
      </c>
      <c r="BR61" s="438">
        <v>1</v>
      </c>
      <c r="BS61" s="438">
        <v>0</v>
      </c>
      <c r="BT61" s="438">
        <v>0</v>
      </c>
      <c r="BU61" s="438">
        <v>0</v>
      </c>
      <c r="BV61" s="438">
        <v>0</v>
      </c>
      <c r="BW61" s="438">
        <v>0</v>
      </c>
      <c r="BX61" s="438">
        <v>0</v>
      </c>
      <c r="BY61" s="438">
        <v>0</v>
      </c>
      <c r="BZ61" s="438">
        <v>0</v>
      </c>
      <c r="CA61" s="438">
        <v>0</v>
      </c>
      <c r="CB61" s="438">
        <v>0</v>
      </c>
      <c r="CC61" s="438">
        <v>0</v>
      </c>
      <c r="CG61" s="438">
        <v>0</v>
      </c>
      <c r="CH61" s="438">
        <v>12292</v>
      </c>
      <c r="CI61" s="438">
        <v>0</v>
      </c>
      <c r="CJ61" s="438">
        <v>4</v>
      </c>
      <c r="CK61" s="438">
        <v>0</v>
      </c>
      <c r="CL61" s="438">
        <v>0</v>
      </c>
      <c r="CN61" s="438">
        <v>0</v>
      </c>
      <c r="CO61" s="438">
        <v>1</v>
      </c>
      <c r="CP61" s="438">
        <v>0</v>
      </c>
      <c r="CQ61" s="438">
        <v>0</v>
      </c>
      <c r="CR61" s="438">
        <v>555.94200000000001</v>
      </c>
      <c r="CS61" s="438">
        <v>0</v>
      </c>
      <c r="CT61" s="438">
        <v>0</v>
      </c>
      <c r="CU61" s="438">
        <v>0</v>
      </c>
      <c r="CV61" s="438">
        <v>0</v>
      </c>
      <c r="CW61" s="438">
        <v>0</v>
      </c>
      <c r="CX61" s="438">
        <v>0</v>
      </c>
      <c r="CY61" s="438">
        <v>0</v>
      </c>
      <c r="CZ61" s="438">
        <v>0</v>
      </c>
      <c r="DA61" s="438">
        <v>1</v>
      </c>
      <c r="DB61" s="438">
        <v>3632077</v>
      </c>
      <c r="DC61" s="438">
        <v>0</v>
      </c>
      <c r="DD61" s="438">
        <v>0</v>
      </c>
      <c r="DE61" s="438">
        <v>744930</v>
      </c>
      <c r="DF61" s="438">
        <v>744930</v>
      </c>
      <c r="DG61" s="438">
        <v>569.16999999999996</v>
      </c>
      <c r="DH61" s="438">
        <v>0</v>
      </c>
      <c r="DI61" s="438">
        <v>0</v>
      </c>
      <c r="DK61" s="437">
        <v>5392</v>
      </c>
      <c r="DL61" s="438">
        <v>0</v>
      </c>
      <c r="DM61" s="438">
        <v>164801</v>
      </c>
      <c r="DN61" s="438">
        <v>0</v>
      </c>
      <c r="DO61" s="438">
        <v>0</v>
      </c>
      <c r="DP61" s="438">
        <v>0</v>
      </c>
      <c r="DQ61" s="438">
        <v>0</v>
      </c>
      <c r="DR61" s="438">
        <v>0</v>
      </c>
      <c r="DS61" s="438">
        <v>0</v>
      </c>
      <c r="DT61" s="438">
        <v>0</v>
      </c>
      <c r="DU61" s="438">
        <v>0</v>
      </c>
      <c r="DV61" s="438">
        <v>0</v>
      </c>
      <c r="DW61" s="438">
        <v>0</v>
      </c>
      <c r="DX61" s="438">
        <v>0</v>
      </c>
      <c r="DY61" s="438">
        <v>0</v>
      </c>
      <c r="DZ61" s="438">
        <v>0</v>
      </c>
      <c r="EA61" s="438">
        <v>0</v>
      </c>
      <c r="EB61" s="438">
        <v>0</v>
      </c>
      <c r="EC61" s="438">
        <v>19.585000000000001</v>
      </c>
      <c r="ED61" s="438">
        <v>140981</v>
      </c>
      <c r="EE61" s="438">
        <v>0</v>
      </c>
      <c r="EF61" s="438">
        <v>0</v>
      </c>
      <c r="EG61" s="438">
        <v>0</v>
      </c>
      <c r="EH61" s="438">
        <v>23820</v>
      </c>
      <c r="EI61" s="438">
        <v>0</v>
      </c>
      <c r="EJ61" s="438">
        <v>0</v>
      </c>
      <c r="EK61" s="438">
        <v>0.47499999999999998</v>
      </c>
      <c r="EL61" s="438">
        <v>0</v>
      </c>
      <c r="EM61" s="438">
        <v>0</v>
      </c>
      <c r="EN61" s="438">
        <v>0.443</v>
      </c>
      <c r="EO61" s="438">
        <v>0</v>
      </c>
      <c r="EP61" s="438">
        <v>0</v>
      </c>
      <c r="EQ61" s="438">
        <v>0.91800000000000004</v>
      </c>
      <c r="ER61" s="438">
        <v>0</v>
      </c>
      <c r="ES61" s="438">
        <v>3.64</v>
      </c>
      <c r="ET61" s="438">
        <v>12292</v>
      </c>
      <c r="EU61" s="438">
        <v>137710</v>
      </c>
      <c r="EV61" s="438">
        <v>0</v>
      </c>
      <c r="EW61" s="438">
        <v>0</v>
      </c>
      <c r="EX61" s="438">
        <v>0</v>
      </c>
      <c r="EZ61" s="438">
        <v>4516118</v>
      </c>
      <c r="FA61" s="438">
        <v>0</v>
      </c>
      <c r="FB61" s="438">
        <v>4653828</v>
      </c>
      <c r="FC61" s="438">
        <v>0.97334900000000002</v>
      </c>
      <c r="FD61" s="438">
        <v>0</v>
      </c>
      <c r="FE61" s="438">
        <v>651406</v>
      </c>
      <c r="FF61" s="438">
        <v>148470</v>
      </c>
      <c r="FG61" s="437">
        <v>5.7854999999999997E-2</v>
      </c>
      <c r="FH61" s="437">
        <v>5.2366000000000003E-2</v>
      </c>
      <c r="FI61" s="438">
        <v>0</v>
      </c>
      <c r="FJ61" s="438">
        <v>0</v>
      </c>
      <c r="FK61" s="438">
        <v>887.39599999999996</v>
      </c>
      <c r="FL61" s="438">
        <v>5465996</v>
      </c>
      <c r="FM61" s="438">
        <v>0</v>
      </c>
      <c r="FN61" s="438">
        <v>0</v>
      </c>
      <c r="FO61" s="438">
        <v>0</v>
      </c>
      <c r="FP61" s="438">
        <v>0</v>
      </c>
      <c r="FQ61" s="438">
        <v>0</v>
      </c>
      <c r="FR61" s="438">
        <v>0</v>
      </c>
      <c r="FS61" s="438">
        <v>0</v>
      </c>
      <c r="FT61" s="438">
        <v>0</v>
      </c>
      <c r="FU61" s="438">
        <v>0</v>
      </c>
      <c r="FV61" s="438">
        <v>0</v>
      </c>
      <c r="FW61" s="438">
        <v>0</v>
      </c>
      <c r="FX61" s="438">
        <v>0</v>
      </c>
      <c r="FY61" s="438">
        <v>0</v>
      </c>
      <c r="FZ61" s="438">
        <v>0</v>
      </c>
      <c r="GA61" s="438">
        <v>0</v>
      </c>
      <c r="GB61" s="438">
        <v>0</v>
      </c>
      <c r="GC61" s="438">
        <v>0</v>
      </c>
      <c r="GD61" s="438">
        <v>0</v>
      </c>
      <c r="GF61" s="438">
        <v>0</v>
      </c>
      <c r="GG61" s="438">
        <v>0</v>
      </c>
      <c r="GH61" s="438">
        <v>0</v>
      </c>
      <c r="GI61" s="438">
        <v>0</v>
      </c>
      <c r="GJ61" s="438">
        <v>0</v>
      </c>
      <c r="GK61" s="438">
        <v>4845.4750000000004</v>
      </c>
      <c r="GL61" s="438">
        <v>8375</v>
      </c>
      <c r="GM61" s="438">
        <v>0</v>
      </c>
      <c r="GN61" s="438">
        <v>0</v>
      </c>
      <c r="GO61" s="438">
        <v>0</v>
      </c>
      <c r="GP61" s="438">
        <v>5453704</v>
      </c>
      <c r="GQ61" s="438">
        <v>5453704</v>
      </c>
      <c r="GR61" s="438">
        <v>0</v>
      </c>
      <c r="GS61" s="438">
        <v>0</v>
      </c>
      <c r="GT61" s="438">
        <v>0</v>
      </c>
      <c r="HB61" s="438">
        <v>0</v>
      </c>
      <c r="HC61" s="437">
        <v>6.0754000000000002E-2</v>
      </c>
      <c r="HD61" s="438">
        <v>0</v>
      </c>
    </row>
    <row r="62" spans="1:212" x14ac:dyDescent="0.2">
      <c r="A62" s="438">
        <v>25836</v>
      </c>
      <c r="B62" s="442">
        <v>57828</v>
      </c>
      <c r="C62" s="438">
        <v>9</v>
      </c>
      <c r="D62" s="438">
        <v>2020</v>
      </c>
      <c r="E62" s="438">
        <v>5392</v>
      </c>
      <c r="F62" s="438">
        <v>0</v>
      </c>
      <c r="G62" s="438">
        <v>951.56700000000001</v>
      </c>
      <c r="H62" s="438">
        <v>863.58299999999997</v>
      </c>
      <c r="I62" s="438">
        <v>863.58299999999997</v>
      </c>
      <c r="J62" s="438">
        <v>951.56700000000001</v>
      </c>
      <c r="K62" s="438">
        <v>0</v>
      </c>
      <c r="L62" s="437">
        <v>6544</v>
      </c>
      <c r="M62" s="438">
        <v>0</v>
      </c>
      <c r="N62" s="438">
        <v>0</v>
      </c>
      <c r="P62" s="438">
        <v>968.55</v>
      </c>
      <c r="Q62" s="438">
        <v>0</v>
      </c>
      <c r="R62" s="438">
        <v>239800</v>
      </c>
      <c r="S62" s="437">
        <v>247.58699999999999</v>
      </c>
      <c r="U62" s="438">
        <v>0</v>
      </c>
      <c r="V62" s="438">
        <v>115.35</v>
      </c>
      <c r="W62" s="438">
        <v>75485</v>
      </c>
      <c r="X62" s="438">
        <v>75485</v>
      </c>
      <c r="Z62" s="438">
        <v>0</v>
      </c>
      <c r="AA62" s="438">
        <v>1</v>
      </c>
      <c r="AB62" s="438">
        <v>1</v>
      </c>
      <c r="AC62" s="438">
        <v>0</v>
      </c>
      <c r="AD62" s="438" t="s">
        <v>332</v>
      </c>
      <c r="AE62" s="438">
        <v>0</v>
      </c>
      <c r="AH62" s="438">
        <v>0</v>
      </c>
      <c r="AI62" s="438">
        <v>0</v>
      </c>
      <c r="AJ62" s="437">
        <v>5105</v>
      </c>
      <c r="AK62" s="438" t="s">
        <v>561</v>
      </c>
      <c r="AL62" s="438" t="s">
        <v>88</v>
      </c>
      <c r="AM62" s="438">
        <v>0</v>
      </c>
      <c r="AN62" s="438">
        <v>0</v>
      </c>
      <c r="AO62" s="438">
        <v>0</v>
      </c>
      <c r="AP62" s="438">
        <v>0</v>
      </c>
      <c r="AQ62" s="438">
        <v>0</v>
      </c>
      <c r="AR62" s="438">
        <v>0</v>
      </c>
      <c r="AS62" s="438">
        <v>0</v>
      </c>
      <c r="AT62" s="438">
        <v>0</v>
      </c>
      <c r="AU62" s="438">
        <v>0</v>
      </c>
      <c r="AV62" s="438">
        <v>0</v>
      </c>
      <c r="AW62" s="438">
        <v>9674826</v>
      </c>
      <c r="AX62" s="438">
        <v>9413145</v>
      </c>
      <c r="AY62" s="438">
        <v>0</v>
      </c>
      <c r="AZ62" s="438">
        <v>501481</v>
      </c>
      <c r="BA62" s="438">
        <v>0</v>
      </c>
      <c r="BB62" s="438">
        <v>0</v>
      </c>
      <c r="BC62" s="438">
        <v>0</v>
      </c>
      <c r="BD62" s="438">
        <v>0</v>
      </c>
      <c r="BE62" s="438">
        <v>0</v>
      </c>
      <c r="BF62" s="438">
        <v>7980256</v>
      </c>
      <c r="BG62" s="438">
        <v>0</v>
      </c>
      <c r="BH62" s="438">
        <v>1099.4559999999999</v>
      </c>
      <c r="BI62" s="438">
        <v>261681</v>
      </c>
      <c r="BJ62" s="438">
        <v>12</v>
      </c>
      <c r="BK62" s="438">
        <v>0</v>
      </c>
      <c r="BL62" s="438">
        <v>0</v>
      </c>
      <c r="BM62" s="438">
        <v>0</v>
      </c>
      <c r="BN62" s="438">
        <v>0</v>
      </c>
      <c r="BO62" s="438">
        <v>0</v>
      </c>
      <c r="BP62" s="438">
        <v>0</v>
      </c>
      <c r="BQ62" s="437">
        <v>5392</v>
      </c>
      <c r="BR62" s="438">
        <v>1</v>
      </c>
      <c r="BS62" s="438">
        <v>0</v>
      </c>
      <c r="BT62" s="438">
        <v>0</v>
      </c>
      <c r="BU62" s="438">
        <v>0</v>
      </c>
      <c r="BV62" s="438">
        <v>0</v>
      </c>
      <c r="BW62" s="438">
        <v>0</v>
      </c>
      <c r="BX62" s="438">
        <v>0</v>
      </c>
      <c r="BY62" s="438">
        <v>0</v>
      </c>
      <c r="BZ62" s="438">
        <v>0</v>
      </c>
      <c r="CA62" s="438">
        <v>0</v>
      </c>
      <c r="CB62" s="438">
        <v>0</v>
      </c>
      <c r="CC62" s="438">
        <v>0</v>
      </c>
      <c r="CG62" s="438">
        <v>0</v>
      </c>
      <c r="CH62" s="438">
        <v>0</v>
      </c>
      <c r="CI62" s="438">
        <v>0</v>
      </c>
      <c r="CJ62" s="438">
        <v>4</v>
      </c>
      <c r="CK62" s="438">
        <v>0</v>
      </c>
      <c r="CL62" s="438">
        <v>0</v>
      </c>
      <c r="CN62" s="438">
        <v>0</v>
      </c>
      <c r="CO62" s="438">
        <v>1</v>
      </c>
      <c r="CP62" s="438">
        <v>2.782</v>
      </c>
      <c r="CQ62" s="438">
        <v>0</v>
      </c>
      <c r="CR62" s="438">
        <v>951.56700000000001</v>
      </c>
      <c r="CS62" s="438">
        <v>0</v>
      </c>
      <c r="CT62" s="438">
        <v>0</v>
      </c>
      <c r="CU62" s="438">
        <v>0</v>
      </c>
      <c r="CV62" s="438">
        <v>0</v>
      </c>
      <c r="CW62" s="438">
        <v>0</v>
      </c>
      <c r="CX62" s="438">
        <v>0</v>
      </c>
      <c r="CY62" s="438">
        <v>0</v>
      </c>
      <c r="CZ62" s="438">
        <v>0</v>
      </c>
      <c r="DA62" s="438">
        <v>1</v>
      </c>
      <c r="DB62" s="438">
        <v>5651287</v>
      </c>
      <c r="DC62" s="438">
        <v>0</v>
      </c>
      <c r="DD62" s="438">
        <v>0</v>
      </c>
      <c r="DE62" s="438">
        <v>980514</v>
      </c>
      <c r="DF62" s="438">
        <v>1024389</v>
      </c>
      <c r="DG62" s="438">
        <v>749.17</v>
      </c>
      <c r="DH62" s="438">
        <v>0</v>
      </c>
      <c r="DI62" s="438">
        <v>43875</v>
      </c>
      <c r="DK62" s="437">
        <v>5392</v>
      </c>
      <c r="DL62" s="438">
        <v>0</v>
      </c>
      <c r="DM62" s="438">
        <v>884112</v>
      </c>
      <c r="DN62" s="438">
        <v>0</v>
      </c>
      <c r="DO62" s="438">
        <v>0</v>
      </c>
      <c r="DP62" s="438">
        <v>0</v>
      </c>
      <c r="DQ62" s="438">
        <v>0</v>
      </c>
      <c r="DR62" s="438">
        <v>0</v>
      </c>
      <c r="DS62" s="438">
        <v>0</v>
      </c>
      <c r="DT62" s="438">
        <v>0</v>
      </c>
      <c r="DU62" s="438">
        <v>0</v>
      </c>
      <c r="DV62" s="438">
        <v>0</v>
      </c>
      <c r="DW62" s="438">
        <v>0</v>
      </c>
      <c r="DX62" s="438">
        <v>0</v>
      </c>
      <c r="DY62" s="438">
        <v>0</v>
      </c>
      <c r="DZ62" s="438">
        <v>0</v>
      </c>
      <c r="EA62" s="438">
        <v>0.02</v>
      </c>
      <c r="EB62" s="438">
        <v>0</v>
      </c>
      <c r="EC62" s="438">
        <v>56.267000000000003</v>
      </c>
      <c r="ED62" s="438">
        <v>405032</v>
      </c>
      <c r="EE62" s="438">
        <v>0</v>
      </c>
      <c r="EF62" s="438">
        <v>0</v>
      </c>
      <c r="EG62" s="438">
        <v>0</v>
      </c>
      <c r="EH62" s="438">
        <v>479080</v>
      </c>
      <c r="EI62" s="438">
        <v>0</v>
      </c>
      <c r="EJ62" s="438">
        <v>0</v>
      </c>
      <c r="EK62" s="438">
        <v>23.898</v>
      </c>
      <c r="EL62" s="438">
        <v>0</v>
      </c>
      <c r="EM62" s="438">
        <v>0</v>
      </c>
      <c r="EN62" s="438">
        <v>0.28299999999999997</v>
      </c>
      <c r="EO62" s="438">
        <v>0</v>
      </c>
      <c r="EP62" s="438">
        <v>0</v>
      </c>
      <c r="EQ62" s="438">
        <v>24.201000000000001</v>
      </c>
      <c r="ER62" s="438">
        <v>0</v>
      </c>
      <c r="ES62" s="438">
        <v>73.209000000000003</v>
      </c>
      <c r="ET62" s="438">
        <v>0</v>
      </c>
      <c r="EU62" s="438">
        <v>501481</v>
      </c>
      <c r="EV62" s="438">
        <v>0</v>
      </c>
      <c r="EW62" s="438">
        <v>0</v>
      </c>
      <c r="EX62" s="438">
        <v>0</v>
      </c>
      <c r="EZ62" s="438">
        <v>8003987</v>
      </c>
      <c r="FA62" s="438">
        <v>0</v>
      </c>
      <c r="FB62" s="438">
        <v>8505468</v>
      </c>
      <c r="FC62" s="438">
        <v>0.97334900000000002</v>
      </c>
      <c r="FD62" s="438">
        <v>0</v>
      </c>
      <c r="FE62" s="438">
        <v>1147596</v>
      </c>
      <c r="FF62" s="438">
        <v>261562</v>
      </c>
      <c r="FG62" s="437">
        <v>5.7854999999999997E-2</v>
      </c>
      <c r="FH62" s="437">
        <v>5.2366000000000003E-2</v>
      </c>
      <c r="FI62" s="438">
        <v>0</v>
      </c>
      <c r="FJ62" s="438">
        <v>0</v>
      </c>
      <c r="FK62" s="438">
        <v>1563.346</v>
      </c>
      <c r="FL62" s="438">
        <v>9914626</v>
      </c>
      <c r="FM62" s="438">
        <v>0</v>
      </c>
      <c r="FN62" s="438">
        <v>0</v>
      </c>
      <c r="FO62" s="438">
        <v>45029</v>
      </c>
      <c r="FP62" s="438">
        <v>0</v>
      </c>
      <c r="FQ62" s="438">
        <v>45029</v>
      </c>
      <c r="FR62" s="438">
        <v>45029</v>
      </c>
      <c r="FS62" s="438">
        <v>0</v>
      </c>
      <c r="FT62" s="438">
        <v>0</v>
      </c>
      <c r="FU62" s="438">
        <v>0</v>
      </c>
      <c r="FV62" s="438">
        <v>0</v>
      </c>
      <c r="FW62" s="438">
        <v>0</v>
      </c>
      <c r="FX62" s="438">
        <v>0</v>
      </c>
      <c r="FY62" s="438">
        <v>0</v>
      </c>
      <c r="FZ62" s="438">
        <v>0</v>
      </c>
      <c r="GA62" s="438">
        <v>0</v>
      </c>
      <c r="GB62" s="438">
        <v>563485</v>
      </c>
      <c r="GC62" s="438">
        <v>563485</v>
      </c>
      <c r="GD62" s="438">
        <v>63.783000000000001</v>
      </c>
      <c r="GF62" s="438">
        <v>0</v>
      </c>
      <c r="GG62" s="438">
        <v>0</v>
      </c>
      <c r="GH62" s="438">
        <v>0</v>
      </c>
      <c r="GI62" s="438">
        <v>0</v>
      </c>
      <c r="GJ62" s="438">
        <v>0</v>
      </c>
      <c r="GK62" s="438">
        <v>4864.9279999999999</v>
      </c>
      <c r="GL62" s="438">
        <v>48947</v>
      </c>
      <c r="GM62" s="438">
        <v>0</v>
      </c>
      <c r="GN62" s="438">
        <v>0</v>
      </c>
      <c r="GO62" s="438">
        <v>0</v>
      </c>
      <c r="GP62" s="438">
        <v>9914626</v>
      </c>
      <c r="GQ62" s="438">
        <v>9914626</v>
      </c>
      <c r="GR62" s="438">
        <v>0</v>
      </c>
      <c r="GS62" s="438">
        <v>0</v>
      </c>
      <c r="GT62" s="438">
        <v>0</v>
      </c>
      <c r="HB62" s="438">
        <v>0</v>
      </c>
      <c r="HC62" s="437">
        <v>6.0754000000000002E-2</v>
      </c>
      <c r="HD62" s="438">
        <v>0</v>
      </c>
    </row>
    <row r="63" spans="1:212" x14ac:dyDescent="0.2">
      <c r="A63" s="438">
        <v>25836</v>
      </c>
      <c r="B63" s="442">
        <v>57831</v>
      </c>
      <c r="C63" s="438">
        <v>9</v>
      </c>
      <c r="D63" s="438">
        <v>2020</v>
      </c>
      <c r="E63" s="438">
        <v>5392</v>
      </c>
      <c r="F63" s="438">
        <v>0</v>
      </c>
      <c r="G63" s="438">
        <v>606.87199999999996</v>
      </c>
      <c r="H63" s="438">
        <v>570.41800000000001</v>
      </c>
      <c r="I63" s="438">
        <v>570.41800000000001</v>
      </c>
      <c r="J63" s="438">
        <v>606.87199999999996</v>
      </c>
      <c r="K63" s="438">
        <v>0</v>
      </c>
      <c r="L63" s="437">
        <v>6544</v>
      </c>
      <c r="M63" s="438">
        <v>0</v>
      </c>
      <c r="N63" s="438">
        <v>0</v>
      </c>
      <c r="P63" s="438">
        <v>607.75199999999995</v>
      </c>
      <c r="Q63" s="438">
        <v>0</v>
      </c>
      <c r="R63" s="438">
        <v>150471</v>
      </c>
      <c r="S63" s="437">
        <v>247.58699999999999</v>
      </c>
      <c r="U63" s="438">
        <v>0</v>
      </c>
      <c r="V63" s="438">
        <v>0.3</v>
      </c>
      <c r="W63" s="438">
        <v>196</v>
      </c>
      <c r="X63" s="438">
        <v>196</v>
      </c>
      <c r="Z63" s="438">
        <v>0</v>
      </c>
      <c r="AA63" s="438">
        <v>1</v>
      </c>
      <c r="AB63" s="438">
        <v>1</v>
      </c>
      <c r="AC63" s="438">
        <v>0</v>
      </c>
      <c r="AD63" s="438" t="s">
        <v>332</v>
      </c>
      <c r="AE63" s="438">
        <v>0</v>
      </c>
      <c r="AH63" s="438">
        <v>0</v>
      </c>
      <c r="AI63" s="438">
        <v>0</v>
      </c>
      <c r="AJ63" s="437">
        <v>5105</v>
      </c>
      <c r="AK63" s="438" t="s">
        <v>561</v>
      </c>
      <c r="AL63" s="438" t="s">
        <v>48</v>
      </c>
      <c r="AM63" s="438">
        <v>0</v>
      </c>
      <c r="AN63" s="438">
        <v>0</v>
      </c>
      <c r="AO63" s="438">
        <v>0</v>
      </c>
      <c r="AP63" s="438">
        <v>0</v>
      </c>
      <c r="AQ63" s="438">
        <v>0</v>
      </c>
      <c r="AR63" s="438">
        <v>0</v>
      </c>
      <c r="AS63" s="438">
        <v>0</v>
      </c>
      <c r="AT63" s="438">
        <v>0</v>
      </c>
      <c r="AU63" s="438">
        <v>0</v>
      </c>
      <c r="AV63" s="438">
        <v>0</v>
      </c>
      <c r="AW63" s="438">
        <v>6053318</v>
      </c>
      <c r="AX63" s="438">
        <v>5997434</v>
      </c>
      <c r="AY63" s="438">
        <v>0</v>
      </c>
      <c r="AZ63" s="438">
        <v>194521</v>
      </c>
      <c r="BA63" s="438">
        <v>22.917000000000002</v>
      </c>
      <c r="BB63" s="438">
        <v>5497</v>
      </c>
      <c r="BC63" s="438">
        <v>5497</v>
      </c>
      <c r="BD63" s="438">
        <v>7</v>
      </c>
      <c r="BE63" s="438">
        <v>0</v>
      </c>
      <c r="BF63" s="438">
        <v>5054154</v>
      </c>
      <c r="BG63" s="438">
        <v>0</v>
      </c>
      <c r="BH63" s="438">
        <v>160.18199999999999</v>
      </c>
      <c r="BI63" s="438">
        <v>44050</v>
      </c>
      <c r="BJ63" s="438">
        <v>12</v>
      </c>
      <c r="BK63" s="438">
        <v>0</v>
      </c>
      <c r="BL63" s="438">
        <v>0</v>
      </c>
      <c r="BM63" s="438">
        <v>0</v>
      </c>
      <c r="BN63" s="438">
        <v>0</v>
      </c>
      <c r="BO63" s="438">
        <v>0</v>
      </c>
      <c r="BP63" s="438">
        <v>0</v>
      </c>
      <c r="BQ63" s="437">
        <v>5392</v>
      </c>
      <c r="BR63" s="438">
        <v>1</v>
      </c>
      <c r="BS63" s="438">
        <v>0</v>
      </c>
      <c r="BT63" s="438">
        <v>0</v>
      </c>
      <c r="BU63" s="438">
        <v>0</v>
      </c>
      <c r="BV63" s="438">
        <v>0</v>
      </c>
      <c r="BW63" s="438">
        <v>0</v>
      </c>
      <c r="BX63" s="438">
        <v>0</v>
      </c>
      <c r="BY63" s="438">
        <v>0</v>
      </c>
      <c r="BZ63" s="438">
        <v>0</v>
      </c>
      <c r="CA63" s="438">
        <v>0</v>
      </c>
      <c r="CB63" s="438">
        <v>0</v>
      </c>
      <c r="CC63" s="438">
        <v>0</v>
      </c>
      <c r="CG63" s="438">
        <v>0</v>
      </c>
      <c r="CH63" s="438">
        <v>11834</v>
      </c>
      <c r="CI63" s="438">
        <v>0</v>
      </c>
      <c r="CJ63" s="438">
        <v>4</v>
      </c>
      <c r="CK63" s="438">
        <v>0</v>
      </c>
      <c r="CL63" s="438">
        <v>0</v>
      </c>
      <c r="CN63" s="438">
        <v>0</v>
      </c>
      <c r="CO63" s="438">
        <v>1</v>
      </c>
      <c r="CP63" s="438">
        <v>0</v>
      </c>
      <c r="CQ63" s="438">
        <v>1.5</v>
      </c>
      <c r="CR63" s="438">
        <v>606.87199999999996</v>
      </c>
      <c r="CS63" s="438">
        <v>0</v>
      </c>
      <c r="CT63" s="438">
        <v>0</v>
      </c>
      <c r="CU63" s="438">
        <v>0</v>
      </c>
      <c r="CV63" s="438">
        <v>0</v>
      </c>
      <c r="CW63" s="438">
        <v>0</v>
      </c>
      <c r="CX63" s="438">
        <v>0</v>
      </c>
      <c r="CY63" s="438">
        <v>0</v>
      </c>
      <c r="CZ63" s="438">
        <v>0</v>
      </c>
      <c r="DA63" s="438">
        <v>1</v>
      </c>
      <c r="DB63" s="438">
        <v>3732815</v>
      </c>
      <c r="DC63" s="438">
        <v>0</v>
      </c>
      <c r="DD63" s="438">
        <v>24.417000000000002</v>
      </c>
      <c r="DE63" s="438">
        <v>933397</v>
      </c>
      <c r="DF63" s="438">
        <v>933397</v>
      </c>
      <c r="DG63" s="438">
        <v>713.17</v>
      </c>
      <c r="DH63" s="438">
        <v>0</v>
      </c>
      <c r="DI63" s="438">
        <v>0</v>
      </c>
      <c r="DK63" s="437">
        <v>5392</v>
      </c>
      <c r="DL63" s="438">
        <v>0</v>
      </c>
      <c r="DM63" s="438">
        <v>209600</v>
      </c>
      <c r="DN63" s="438">
        <v>0</v>
      </c>
      <c r="DO63" s="438">
        <v>0</v>
      </c>
      <c r="DP63" s="438">
        <v>0</v>
      </c>
      <c r="DQ63" s="438">
        <v>0</v>
      </c>
      <c r="DR63" s="438">
        <v>0</v>
      </c>
      <c r="DS63" s="438">
        <v>0</v>
      </c>
      <c r="DT63" s="438">
        <v>0</v>
      </c>
      <c r="DU63" s="438">
        <v>0</v>
      </c>
      <c r="DV63" s="438">
        <v>0</v>
      </c>
      <c r="DW63" s="438">
        <v>0</v>
      </c>
      <c r="DX63" s="438">
        <v>0</v>
      </c>
      <c r="DY63" s="438">
        <v>0</v>
      </c>
      <c r="DZ63" s="438">
        <v>0</v>
      </c>
      <c r="EA63" s="438">
        <v>0</v>
      </c>
      <c r="EB63" s="438">
        <v>0</v>
      </c>
      <c r="EC63" s="438">
        <v>24.753</v>
      </c>
      <c r="ED63" s="438">
        <v>178182</v>
      </c>
      <c r="EE63" s="438">
        <v>0</v>
      </c>
      <c r="EF63" s="438">
        <v>0</v>
      </c>
      <c r="EG63" s="438">
        <v>0</v>
      </c>
      <c r="EH63" s="438">
        <v>31418</v>
      </c>
      <c r="EI63" s="438">
        <v>0</v>
      </c>
      <c r="EJ63" s="438">
        <v>0</v>
      </c>
      <c r="EK63" s="438">
        <v>0.71699999999999997</v>
      </c>
      <c r="EL63" s="438">
        <v>0</v>
      </c>
      <c r="EM63" s="438">
        <v>0</v>
      </c>
      <c r="EN63" s="438">
        <v>0.53</v>
      </c>
      <c r="EO63" s="438">
        <v>0</v>
      </c>
      <c r="EP63" s="438">
        <v>0</v>
      </c>
      <c r="EQ63" s="438">
        <v>1.2470000000000001</v>
      </c>
      <c r="ER63" s="438">
        <v>0</v>
      </c>
      <c r="ES63" s="438">
        <v>4.8010000000000002</v>
      </c>
      <c r="ET63" s="438">
        <v>11834</v>
      </c>
      <c r="EU63" s="438">
        <v>194521</v>
      </c>
      <c r="EV63" s="438">
        <v>0</v>
      </c>
      <c r="EW63" s="438">
        <v>0</v>
      </c>
      <c r="EX63" s="438">
        <v>0</v>
      </c>
      <c r="EZ63" s="438">
        <v>5104968</v>
      </c>
      <c r="FA63" s="438">
        <v>0</v>
      </c>
      <c r="FB63" s="438">
        <v>5299489</v>
      </c>
      <c r="FC63" s="438">
        <v>0.97334900000000002</v>
      </c>
      <c r="FD63" s="438">
        <v>0</v>
      </c>
      <c r="FE63" s="438">
        <v>726810</v>
      </c>
      <c r="FF63" s="438">
        <v>165656</v>
      </c>
      <c r="FG63" s="437">
        <v>5.7854999999999997E-2</v>
      </c>
      <c r="FH63" s="437">
        <v>5.2366000000000003E-2</v>
      </c>
      <c r="FI63" s="438">
        <v>0</v>
      </c>
      <c r="FJ63" s="438">
        <v>0</v>
      </c>
      <c r="FK63" s="438">
        <v>990.11800000000005</v>
      </c>
      <c r="FL63" s="438">
        <v>6203789</v>
      </c>
      <c r="FM63" s="438">
        <v>0</v>
      </c>
      <c r="FN63" s="438">
        <v>0</v>
      </c>
      <c r="FO63" s="438">
        <v>62901</v>
      </c>
      <c r="FP63" s="438">
        <v>0</v>
      </c>
      <c r="FQ63" s="438">
        <v>62901</v>
      </c>
      <c r="FR63" s="438">
        <v>62901</v>
      </c>
      <c r="FS63" s="438">
        <v>0</v>
      </c>
      <c r="FT63" s="438">
        <v>0</v>
      </c>
      <c r="FU63" s="438">
        <v>0</v>
      </c>
      <c r="FV63" s="438">
        <v>0</v>
      </c>
      <c r="FW63" s="438">
        <v>0</v>
      </c>
      <c r="FX63" s="438">
        <v>0</v>
      </c>
      <c r="FY63" s="438">
        <v>0</v>
      </c>
      <c r="FZ63" s="438">
        <v>0</v>
      </c>
      <c r="GA63" s="438">
        <v>0</v>
      </c>
      <c r="GB63" s="438">
        <v>311033</v>
      </c>
      <c r="GC63" s="438">
        <v>311033</v>
      </c>
      <c r="GD63" s="438">
        <v>35.207000000000001</v>
      </c>
      <c r="GF63" s="438">
        <v>0</v>
      </c>
      <c r="GG63" s="438">
        <v>0</v>
      </c>
      <c r="GH63" s="438">
        <v>0</v>
      </c>
      <c r="GI63" s="438">
        <v>0</v>
      </c>
      <c r="GJ63" s="438">
        <v>0</v>
      </c>
      <c r="GK63" s="438">
        <v>4917.7269999999999</v>
      </c>
      <c r="GL63" s="438">
        <v>20522</v>
      </c>
      <c r="GM63" s="438">
        <v>0</v>
      </c>
      <c r="GN63" s="438">
        <v>52168</v>
      </c>
      <c r="GO63" s="438">
        <v>0</v>
      </c>
      <c r="GP63" s="438">
        <v>6191955</v>
      </c>
      <c r="GQ63" s="438">
        <v>6191955</v>
      </c>
      <c r="GR63" s="438">
        <v>0</v>
      </c>
      <c r="GS63" s="438">
        <v>0</v>
      </c>
      <c r="GT63" s="438">
        <v>0</v>
      </c>
      <c r="HB63" s="438">
        <v>0</v>
      </c>
      <c r="HC63" s="437">
        <v>6.0754000000000002E-2</v>
      </c>
      <c r="HD63" s="438">
        <v>0</v>
      </c>
    </row>
    <row r="64" spans="1:212" x14ac:dyDescent="0.2">
      <c r="A64" s="438">
        <v>25836</v>
      </c>
      <c r="B64" s="442">
        <v>57833</v>
      </c>
      <c r="C64" s="438">
        <v>9</v>
      </c>
      <c r="D64" s="438">
        <v>2020</v>
      </c>
      <c r="E64" s="438">
        <v>5392</v>
      </c>
      <c r="F64" s="438">
        <v>0</v>
      </c>
      <c r="G64" s="438">
        <v>555.22299999999996</v>
      </c>
      <c r="H64" s="438">
        <v>534.34100000000001</v>
      </c>
      <c r="I64" s="438">
        <v>534.34100000000001</v>
      </c>
      <c r="J64" s="438">
        <v>555.22299999999996</v>
      </c>
      <c r="K64" s="438">
        <v>0</v>
      </c>
      <c r="L64" s="437">
        <v>6544</v>
      </c>
      <c r="M64" s="438">
        <v>0</v>
      </c>
      <c r="N64" s="438">
        <v>0</v>
      </c>
      <c r="P64" s="438">
        <v>559.74300000000005</v>
      </c>
      <c r="Q64" s="438">
        <v>0</v>
      </c>
      <c r="R64" s="438">
        <v>138585</v>
      </c>
      <c r="S64" s="437">
        <v>247.58699999999999</v>
      </c>
      <c r="U64" s="438">
        <v>0</v>
      </c>
      <c r="V64" s="438">
        <v>38.338000000000001</v>
      </c>
      <c r="W64" s="438">
        <v>25088</v>
      </c>
      <c r="X64" s="438">
        <v>25088</v>
      </c>
      <c r="Z64" s="438">
        <v>0</v>
      </c>
      <c r="AA64" s="438">
        <v>1</v>
      </c>
      <c r="AB64" s="438">
        <v>1</v>
      </c>
      <c r="AC64" s="438">
        <v>0</v>
      </c>
      <c r="AD64" s="438" t="s">
        <v>332</v>
      </c>
      <c r="AE64" s="438">
        <v>0</v>
      </c>
      <c r="AH64" s="438">
        <v>0</v>
      </c>
      <c r="AI64" s="438">
        <v>0</v>
      </c>
      <c r="AJ64" s="437">
        <v>5105</v>
      </c>
      <c r="AK64" s="438" t="s">
        <v>561</v>
      </c>
      <c r="AL64" s="438" t="s">
        <v>49</v>
      </c>
      <c r="AM64" s="438">
        <v>0</v>
      </c>
      <c r="AN64" s="438">
        <v>0</v>
      </c>
      <c r="AO64" s="438">
        <v>0</v>
      </c>
      <c r="AP64" s="438">
        <v>0</v>
      </c>
      <c r="AQ64" s="438">
        <v>0</v>
      </c>
      <c r="AR64" s="438">
        <v>0</v>
      </c>
      <c r="AS64" s="438">
        <v>0</v>
      </c>
      <c r="AT64" s="438">
        <v>0</v>
      </c>
      <c r="AU64" s="438">
        <v>0</v>
      </c>
      <c r="AV64" s="438">
        <v>0</v>
      </c>
      <c r="AW64" s="438">
        <v>5046062</v>
      </c>
      <c r="AX64" s="438">
        <v>5038562</v>
      </c>
      <c r="AY64" s="438">
        <v>0</v>
      </c>
      <c r="AZ64" s="438">
        <v>138585</v>
      </c>
      <c r="BA64" s="438">
        <v>15</v>
      </c>
      <c r="BB64" s="438">
        <v>20817</v>
      </c>
      <c r="BC64" s="438">
        <v>20817</v>
      </c>
      <c r="BD64" s="438">
        <v>26.509</v>
      </c>
      <c r="BE64" s="438">
        <v>0</v>
      </c>
      <c r="BF64" s="438">
        <v>4300095</v>
      </c>
      <c r="BG64" s="438">
        <v>0</v>
      </c>
      <c r="BH64" s="438">
        <v>0</v>
      </c>
      <c r="BI64" s="438">
        <v>0</v>
      </c>
      <c r="BJ64" s="438">
        <v>12</v>
      </c>
      <c r="BK64" s="438">
        <v>0</v>
      </c>
      <c r="BL64" s="438">
        <v>0</v>
      </c>
      <c r="BM64" s="438">
        <v>0</v>
      </c>
      <c r="BN64" s="438">
        <v>0</v>
      </c>
      <c r="BO64" s="438">
        <v>0</v>
      </c>
      <c r="BP64" s="438">
        <v>0</v>
      </c>
      <c r="BQ64" s="437">
        <v>5392</v>
      </c>
      <c r="BR64" s="438">
        <v>1</v>
      </c>
      <c r="BS64" s="438">
        <v>0</v>
      </c>
      <c r="BT64" s="438">
        <v>0</v>
      </c>
      <c r="BU64" s="438">
        <v>0</v>
      </c>
      <c r="BV64" s="438">
        <v>0</v>
      </c>
      <c r="BW64" s="438">
        <v>0</v>
      </c>
      <c r="BX64" s="438">
        <v>0</v>
      </c>
      <c r="BY64" s="438">
        <v>0</v>
      </c>
      <c r="BZ64" s="438">
        <v>0</v>
      </c>
      <c r="CA64" s="438">
        <v>0</v>
      </c>
      <c r="CB64" s="438">
        <v>0</v>
      </c>
      <c r="CC64" s="438">
        <v>0</v>
      </c>
      <c r="CG64" s="438">
        <v>0</v>
      </c>
      <c r="CH64" s="438">
        <v>7500</v>
      </c>
      <c r="CI64" s="438">
        <v>0</v>
      </c>
      <c r="CJ64" s="438">
        <v>4</v>
      </c>
      <c r="CK64" s="438">
        <v>0</v>
      </c>
      <c r="CL64" s="438">
        <v>0</v>
      </c>
      <c r="CN64" s="438">
        <v>0</v>
      </c>
      <c r="CO64" s="438">
        <v>1</v>
      </c>
      <c r="CP64" s="438">
        <v>0</v>
      </c>
      <c r="CQ64" s="438">
        <v>0</v>
      </c>
      <c r="CR64" s="438">
        <v>555.22299999999996</v>
      </c>
      <c r="CS64" s="438">
        <v>0</v>
      </c>
      <c r="CT64" s="438">
        <v>0</v>
      </c>
      <c r="CU64" s="438">
        <v>0</v>
      </c>
      <c r="CV64" s="438">
        <v>0</v>
      </c>
      <c r="CW64" s="438">
        <v>0</v>
      </c>
      <c r="CX64" s="438">
        <v>0</v>
      </c>
      <c r="CY64" s="438">
        <v>0</v>
      </c>
      <c r="CZ64" s="438">
        <v>0</v>
      </c>
      <c r="DA64" s="438">
        <v>1</v>
      </c>
      <c r="DB64" s="438">
        <v>3496728</v>
      </c>
      <c r="DC64" s="438">
        <v>0</v>
      </c>
      <c r="DD64" s="438">
        <v>15</v>
      </c>
      <c r="DE64" s="438">
        <v>422742</v>
      </c>
      <c r="DF64" s="438">
        <v>422742</v>
      </c>
      <c r="DG64" s="438">
        <v>323</v>
      </c>
      <c r="DH64" s="438">
        <v>0</v>
      </c>
      <c r="DI64" s="438">
        <v>0</v>
      </c>
      <c r="DK64" s="437">
        <v>5392</v>
      </c>
      <c r="DL64" s="438">
        <v>0</v>
      </c>
      <c r="DM64" s="438">
        <v>452458</v>
      </c>
      <c r="DN64" s="438">
        <v>0</v>
      </c>
      <c r="DO64" s="438">
        <v>0</v>
      </c>
      <c r="DP64" s="438">
        <v>0</v>
      </c>
      <c r="DQ64" s="438">
        <v>0</v>
      </c>
      <c r="DR64" s="438">
        <v>0</v>
      </c>
      <c r="DS64" s="438">
        <v>0</v>
      </c>
      <c r="DT64" s="438">
        <v>0</v>
      </c>
      <c r="DU64" s="438">
        <v>0</v>
      </c>
      <c r="DV64" s="438">
        <v>0</v>
      </c>
      <c r="DW64" s="438">
        <v>0</v>
      </c>
      <c r="DX64" s="438">
        <v>0</v>
      </c>
      <c r="DY64" s="438">
        <v>0</v>
      </c>
      <c r="DZ64" s="438">
        <v>0</v>
      </c>
      <c r="EA64" s="438">
        <v>0</v>
      </c>
      <c r="EB64" s="438">
        <v>0</v>
      </c>
      <c r="EC64" s="438">
        <v>3.55</v>
      </c>
      <c r="ED64" s="438">
        <v>25554</v>
      </c>
      <c r="EE64" s="438">
        <v>0</v>
      </c>
      <c r="EF64" s="438">
        <v>0</v>
      </c>
      <c r="EG64" s="438">
        <v>0</v>
      </c>
      <c r="EH64" s="438">
        <v>426904</v>
      </c>
      <c r="EI64" s="438">
        <v>0</v>
      </c>
      <c r="EJ64" s="438">
        <v>0</v>
      </c>
      <c r="EK64" s="438">
        <v>19.529</v>
      </c>
      <c r="EL64" s="438">
        <v>0</v>
      </c>
      <c r="EM64" s="438">
        <v>5.8000000000000003E-2</v>
      </c>
      <c r="EN64" s="438">
        <v>1.2949999999999999</v>
      </c>
      <c r="EO64" s="438">
        <v>0</v>
      </c>
      <c r="EP64" s="438">
        <v>0</v>
      </c>
      <c r="EQ64" s="438">
        <v>20.882000000000001</v>
      </c>
      <c r="ER64" s="438">
        <v>0</v>
      </c>
      <c r="ES64" s="438">
        <v>65.236000000000004</v>
      </c>
      <c r="ET64" s="438">
        <v>7500</v>
      </c>
      <c r="EU64" s="438">
        <v>138585</v>
      </c>
      <c r="EV64" s="438">
        <v>0</v>
      </c>
      <c r="EW64" s="438">
        <v>0</v>
      </c>
      <c r="EX64" s="438">
        <v>0</v>
      </c>
      <c r="EZ64" s="438">
        <v>4279248</v>
      </c>
      <c r="FA64" s="438">
        <v>0</v>
      </c>
      <c r="FB64" s="438">
        <v>4417833</v>
      </c>
      <c r="FC64" s="438">
        <v>0.97334900000000002</v>
      </c>
      <c r="FD64" s="438">
        <v>0</v>
      </c>
      <c r="FE64" s="438">
        <v>618373</v>
      </c>
      <c r="FF64" s="438">
        <v>140941</v>
      </c>
      <c r="FG64" s="437">
        <v>5.7854999999999997E-2</v>
      </c>
      <c r="FH64" s="437">
        <v>5.2366000000000003E-2</v>
      </c>
      <c r="FI64" s="438">
        <v>0</v>
      </c>
      <c r="FJ64" s="438">
        <v>0</v>
      </c>
      <c r="FK64" s="438">
        <v>842.39599999999996</v>
      </c>
      <c r="FL64" s="438">
        <v>5184647</v>
      </c>
      <c r="FM64" s="438">
        <v>0</v>
      </c>
      <c r="FN64" s="438">
        <v>0</v>
      </c>
      <c r="FO64" s="438">
        <v>0</v>
      </c>
      <c r="FP64" s="438">
        <v>0</v>
      </c>
      <c r="FQ64" s="438">
        <v>0</v>
      </c>
      <c r="FR64" s="438">
        <v>0</v>
      </c>
      <c r="FS64" s="438">
        <v>0</v>
      </c>
      <c r="FT64" s="438">
        <v>0</v>
      </c>
      <c r="FU64" s="438">
        <v>0</v>
      </c>
      <c r="FV64" s="438">
        <v>0</v>
      </c>
      <c r="FW64" s="438">
        <v>0</v>
      </c>
      <c r="FX64" s="438">
        <v>0</v>
      </c>
      <c r="FY64" s="438">
        <v>0</v>
      </c>
      <c r="FZ64" s="438">
        <v>0</v>
      </c>
      <c r="GA64" s="438">
        <v>0</v>
      </c>
      <c r="GB64" s="438">
        <v>0</v>
      </c>
      <c r="GC64" s="438">
        <v>0</v>
      </c>
      <c r="GD64" s="438">
        <v>0</v>
      </c>
      <c r="GF64" s="438">
        <v>0</v>
      </c>
      <c r="GG64" s="438">
        <v>0</v>
      </c>
      <c r="GH64" s="438">
        <v>0</v>
      </c>
      <c r="GI64" s="438">
        <v>0</v>
      </c>
      <c r="GJ64" s="438">
        <v>0</v>
      </c>
      <c r="GK64" s="438">
        <v>4692.6360000000004</v>
      </c>
      <c r="GL64" s="438">
        <v>4104</v>
      </c>
      <c r="GM64" s="438">
        <v>0</v>
      </c>
      <c r="GN64" s="438">
        <v>0</v>
      </c>
      <c r="GO64" s="438">
        <v>0</v>
      </c>
      <c r="GP64" s="438">
        <v>5177147</v>
      </c>
      <c r="GQ64" s="438">
        <v>5177147</v>
      </c>
      <c r="GR64" s="438">
        <v>0</v>
      </c>
      <c r="GS64" s="438">
        <v>0</v>
      </c>
      <c r="GT64" s="438">
        <v>0</v>
      </c>
      <c r="HB64" s="438">
        <v>0</v>
      </c>
      <c r="HC64" s="437">
        <v>6.0754000000000002E-2</v>
      </c>
      <c r="HD64" s="438">
        <v>0</v>
      </c>
    </row>
    <row r="65" spans="1:212" x14ac:dyDescent="0.2">
      <c r="A65" s="438">
        <v>25836</v>
      </c>
      <c r="B65" s="442">
        <v>57834</v>
      </c>
      <c r="C65" s="438">
        <v>9</v>
      </c>
      <c r="D65" s="438">
        <v>2020</v>
      </c>
      <c r="E65" s="438">
        <v>5392</v>
      </c>
      <c r="F65" s="438">
        <v>0</v>
      </c>
      <c r="G65" s="438">
        <v>502.27499999999998</v>
      </c>
      <c r="H65" s="438">
        <v>428.44499999999999</v>
      </c>
      <c r="I65" s="438">
        <v>428.44499999999999</v>
      </c>
      <c r="J65" s="438">
        <v>502.27499999999998</v>
      </c>
      <c r="K65" s="438">
        <v>0</v>
      </c>
      <c r="L65" s="437">
        <v>6544</v>
      </c>
      <c r="M65" s="438">
        <v>0</v>
      </c>
      <c r="N65" s="438">
        <v>0</v>
      </c>
      <c r="P65" s="438">
        <v>506.738</v>
      </c>
      <c r="Q65" s="438">
        <v>0</v>
      </c>
      <c r="R65" s="438">
        <v>125462</v>
      </c>
      <c r="S65" s="437">
        <v>247.58699999999999</v>
      </c>
      <c r="U65" s="438">
        <v>0</v>
      </c>
      <c r="V65" s="438">
        <v>41.094999999999999</v>
      </c>
      <c r="W65" s="438">
        <v>26893</v>
      </c>
      <c r="X65" s="438">
        <v>26893</v>
      </c>
      <c r="Z65" s="438">
        <v>0</v>
      </c>
      <c r="AA65" s="438">
        <v>1</v>
      </c>
      <c r="AB65" s="438">
        <v>1</v>
      </c>
      <c r="AC65" s="438">
        <v>0</v>
      </c>
      <c r="AD65" s="438" t="s">
        <v>332</v>
      </c>
      <c r="AE65" s="438">
        <v>0</v>
      </c>
      <c r="AH65" s="438">
        <v>0</v>
      </c>
      <c r="AI65" s="438">
        <v>0</v>
      </c>
      <c r="AJ65" s="437">
        <v>5105</v>
      </c>
      <c r="AK65" s="438" t="s">
        <v>561</v>
      </c>
      <c r="AL65" s="438" t="s">
        <v>345</v>
      </c>
      <c r="AM65" s="438">
        <v>0</v>
      </c>
      <c r="AN65" s="438">
        <v>0</v>
      </c>
      <c r="AO65" s="438">
        <v>0</v>
      </c>
      <c r="AP65" s="438">
        <v>0</v>
      </c>
      <c r="AQ65" s="438">
        <v>0</v>
      </c>
      <c r="AR65" s="438">
        <v>0</v>
      </c>
      <c r="AS65" s="438">
        <v>0</v>
      </c>
      <c r="AT65" s="438">
        <v>0</v>
      </c>
      <c r="AU65" s="438">
        <v>0</v>
      </c>
      <c r="AV65" s="438">
        <v>0</v>
      </c>
      <c r="AW65" s="438">
        <v>5531041</v>
      </c>
      <c r="AX65" s="438">
        <v>5381581</v>
      </c>
      <c r="AY65" s="438">
        <v>0</v>
      </c>
      <c r="AZ65" s="438">
        <v>263588</v>
      </c>
      <c r="BA65" s="438">
        <v>20.667000000000002</v>
      </c>
      <c r="BB65" s="438">
        <v>0</v>
      </c>
      <c r="BC65" s="438">
        <v>0</v>
      </c>
      <c r="BD65" s="438">
        <v>0</v>
      </c>
      <c r="BE65" s="438">
        <v>0</v>
      </c>
      <c r="BF65" s="438">
        <v>4501137</v>
      </c>
      <c r="BG65" s="438">
        <v>0</v>
      </c>
      <c r="BH65" s="438">
        <v>581</v>
      </c>
      <c r="BI65" s="438">
        <v>138126</v>
      </c>
      <c r="BJ65" s="438">
        <v>12</v>
      </c>
      <c r="BK65" s="438">
        <v>0</v>
      </c>
      <c r="BL65" s="438">
        <v>0</v>
      </c>
      <c r="BM65" s="438">
        <v>0</v>
      </c>
      <c r="BN65" s="438">
        <v>0</v>
      </c>
      <c r="BO65" s="438">
        <v>0</v>
      </c>
      <c r="BP65" s="438">
        <v>0</v>
      </c>
      <c r="BQ65" s="437">
        <v>5392</v>
      </c>
      <c r="BR65" s="438">
        <v>1</v>
      </c>
      <c r="BS65" s="438">
        <v>0</v>
      </c>
      <c r="BT65" s="438">
        <v>0</v>
      </c>
      <c r="BU65" s="438">
        <v>0</v>
      </c>
      <c r="BV65" s="438">
        <v>0</v>
      </c>
      <c r="BW65" s="438">
        <v>0</v>
      </c>
      <c r="BX65" s="438">
        <v>0</v>
      </c>
      <c r="BY65" s="438">
        <v>0</v>
      </c>
      <c r="BZ65" s="438">
        <v>0</v>
      </c>
      <c r="CA65" s="438">
        <v>0</v>
      </c>
      <c r="CB65" s="438">
        <v>0</v>
      </c>
      <c r="CC65" s="438">
        <v>0</v>
      </c>
      <c r="CG65" s="438">
        <v>0</v>
      </c>
      <c r="CH65" s="438">
        <v>11334</v>
      </c>
      <c r="CI65" s="438">
        <v>0</v>
      </c>
      <c r="CJ65" s="438">
        <v>4</v>
      </c>
      <c r="CK65" s="438">
        <v>0</v>
      </c>
      <c r="CL65" s="438">
        <v>0</v>
      </c>
      <c r="CN65" s="438">
        <v>0</v>
      </c>
      <c r="CO65" s="438">
        <v>1</v>
      </c>
      <c r="CP65" s="438">
        <v>0.749</v>
      </c>
      <c r="CQ65" s="438">
        <v>4</v>
      </c>
      <c r="CR65" s="438">
        <v>502.27499999999998</v>
      </c>
      <c r="CS65" s="438">
        <v>0</v>
      </c>
      <c r="CT65" s="438">
        <v>0</v>
      </c>
      <c r="CU65" s="438">
        <v>0</v>
      </c>
      <c r="CV65" s="438">
        <v>0</v>
      </c>
      <c r="CW65" s="438">
        <v>0</v>
      </c>
      <c r="CX65" s="438">
        <v>0</v>
      </c>
      <c r="CY65" s="438">
        <v>0</v>
      </c>
      <c r="CZ65" s="438">
        <v>0</v>
      </c>
      <c r="DA65" s="438">
        <v>1</v>
      </c>
      <c r="DB65" s="438">
        <v>2803744</v>
      </c>
      <c r="DC65" s="438">
        <v>0</v>
      </c>
      <c r="DD65" s="438">
        <v>24.667000000000002</v>
      </c>
      <c r="DE65" s="438">
        <v>772192</v>
      </c>
      <c r="DF65" s="438">
        <v>784005</v>
      </c>
      <c r="DG65" s="438">
        <v>590</v>
      </c>
      <c r="DH65" s="438">
        <v>0</v>
      </c>
      <c r="DI65" s="438">
        <v>11813</v>
      </c>
      <c r="DK65" s="437">
        <v>5392</v>
      </c>
      <c r="DL65" s="438">
        <v>0</v>
      </c>
      <c r="DM65" s="438">
        <v>376082</v>
      </c>
      <c r="DN65" s="438">
        <v>0</v>
      </c>
      <c r="DO65" s="438">
        <v>0</v>
      </c>
      <c r="DP65" s="438">
        <v>0</v>
      </c>
      <c r="DQ65" s="438">
        <v>0</v>
      </c>
      <c r="DR65" s="438">
        <v>0</v>
      </c>
      <c r="DS65" s="438">
        <v>0</v>
      </c>
      <c r="DT65" s="438">
        <v>0</v>
      </c>
      <c r="DU65" s="438">
        <v>0</v>
      </c>
      <c r="DV65" s="438">
        <v>0</v>
      </c>
      <c r="DW65" s="438">
        <v>0</v>
      </c>
      <c r="DX65" s="438">
        <v>0</v>
      </c>
      <c r="DY65" s="438">
        <v>0</v>
      </c>
      <c r="DZ65" s="438">
        <v>0</v>
      </c>
      <c r="EA65" s="438">
        <v>0</v>
      </c>
      <c r="EB65" s="438">
        <v>0</v>
      </c>
      <c r="EC65" s="438">
        <v>46.457999999999998</v>
      </c>
      <c r="ED65" s="438">
        <v>334423</v>
      </c>
      <c r="EE65" s="438">
        <v>0</v>
      </c>
      <c r="EF65" s="438">
        <v>0</v>
      </c>
      <c r="EG65" s="438">
        <v>0</v>
      </c>
      <c r="EH65" s="438">
        <v>41659</v>
      </c>
      <c r="EI65" s="438">
        <v>0</v>
      </c>
      <c r="EJ65" s="438">
        <v>0</v>
      </c>
      <c r="EK65" s="438">
        <v>1.885</v>
      </c>
      <c r="EL65" s="438">
        <v>0</v>
      </c>
      <c r="EM65" s="438">
        <v>0.192</v>
      </c>
      <c r="EN65" s="438">
        <v>2.7E-2</v>
      </c>
      <c r="EO65" s="438">
        <v>0</v>
      </c>
      <c r="EP65" s="438">
        <v>0</v>
      </c>
      <c r="EQ65" s="438">
        <v>2.1040000000000001</v>
      </c>
      <c r="ER65" s="438">
        <v>0</v>
      </c>
      <c r="ES65" s="438">
        <v>6.3659999999999997</v>
      </c>
      <c r="ET65" s="438">
        <v>11334</v>
      </c>
      <c r="EU65" s="438">
        <v>263588</v>
      </c>
      <c r="EV65" s="438">
        <v>0</v>
      </c>
      <c r="EW65" s="438">
        <v>0</v>
      </c>
      <c r="EX65" s="438">
        <v>0</v>
      </c>
      <c r="EZ65" s="438">
        <v>4586767</v>
      </c>
      <c r="FA65" s="438">
        <v>0</v>
      </c>
      <c r="FB65" s="438">
        <v>4850355</v>
      </c>
      <c r="FC65" s="438">
        <v>0.97334900000000002</v>
      </c>
      <c r="FD65" s="438">
        <v>0</v>
      </c>
      <c r="FE65" s="438">
        <v>647284</v>
      </c>
      <c r="FF65" s="438">
        <v>147530</v>
      </c>
      <c r="FG65" s="437">
        <v>5.7854999999999997E-2</v>
      </c>
      <c r="FH65" s="437">
        <v>5.2366000000000003E-2</v>
      </c>
      <c r="FI65" s="438">
        <v>0</v>
      </c>
      <c r="FJ65" s="438">
        <v>0</v>
      </c>
      <c r="FK65" s="438">
        <v>881.78099999999995</v>
      </c>
      <c r="FL65" s="438">
        <v>5656503</v>
      </c>
      <c r="FM65" s="438">
        <v>0</v>
      </c>
      <c r="FN65" s="438">
        <v>0</v>
      </c>
      <c r="FO65" s="438">
        <v>87849</v>
      </c>
      <c r="FP65" s="438">
        <v>0</v>
      </c>
      <c r="FQ65" s="438">
        <v>87849</v>
      </c>
      <c r="FR65" s="438">
        <v>87849</v>
      </c>
      <c r="FS65" s="438">
        <v>0</v>
      </c>
      <c r="FT65" s="438">
        <v>0</v>
      </c>
      <c r="FU65" s="438">
        <v>0</v>
      </c>
      <c r="FV65" s="438">
        <v>0</v>
      </c>
      <c r="FW65" s="438">
        <v>0</v>
      </c>
      <c r="FX65" s="438">
        <v>0</v>
      </c>
      <c r="FY65" s="438">
        <v>0</v>
      </c>
      <c r="FZ65" s="438">
        <v>0</v>
      </c>
      <c r="GA65" s="438">
        <v>0</v>
      </c>
      <c r="GB65" s="438">
        <v>633656</v>
      </c>
      <c r="GC65" s="438">
        <v>633656</v>
      </c>
      <c r="GD65" s="438">
        <v>71.725999999999999</v>
      </c>
      <c r="GF65" s="438">
        <v>0</v>
      </c>
      <c r="GG65" s="438">
        <v>0</v>
      </c>
      <c r="GH65" s="438">
        <v>0</v>
      </c>
      <c r="GI65" s="438">
        <v>0</v>
      </c>
      <c r="GJ65" s="438">
        <v>0</v>
      </c>
      <c r="GK65" s="438">
        <v>5026.1040000000003</v>
      </c>
      <c r="GL65" s="438">
        <v>10383</v>
      </c>
      <c r="GM65" s="438">
        <v>0</v>
      </c>
      <c r="GN65" s="438">
        <v>83263</v>
      </c>
      <c r="GO65" s="438">
        <v>0</v>
      </c>
      <c r="GP65" s="438">
        <v>5645169</v>
      </c>
      <c r="GQ65" s="438">
        <v>5645169</v>
      </c>
      <c r="GR65" s="438">
        <v>0</v>
      </c>
      <c r="GS65" s="438">
        <v>0</v>
      </c>
      <c r="GT65" s="438">
        <v>0</v>
      </c>
      <c r="HB65" s="438">
        <v>0</v>
      </c>
      <c r="HC65" s="437">
        <v>6.0754000000000002E-2</v>
      </c>
      <c r="HD65" s="438">
        <v>0</v>
      </c>
    </row>
    <row r="66" spans="1:212" x14ac:dyDescent="0.2">
      <c r="A66" s="438">
        <v>25836</v>
      </c>
      <c r="B66" s="442">
        <v>57835</v>
      </c>
      <c r="C66" s="438">
        <v>9</v>
      </c>
      <c r="D66" s="438">
        <v>2020</v>
      </c>
      <c r="E66" s="438">
        <v>5392</v>
      </c>
      <c r="F66" s="438">
        <v>0</v>
      </c>
      <c r="G66" s="438">
        <v>1299.473</v>
      </c>
      <c r="H66" s="438">
        <v>1264.1079999999999</v>
      </c>
      <c r="I66" s="438">
        <v>1264.1079999999999</v>
      </c>
      <c r="J66" s="438">
        <v>1299.473</v>
      </c>
      <c r="K66" s="438">
        <v>0</v>
      </c>
      <c r="L66" s="437">
        <v>6544</v>
      </c>
      <c r="M66" s="438">
        <v>0</v>
      </c>
      <c r="N66" s="438">
        <v>0</v>
      </c>
      <c r="P66" s="438">
        <v>1290.847</v>
      </c>
      <c r="Q66" s="438">
        <v>0</v>
      </c>
      <c r="R66" s="438">
        <v>319597</v>
      </c>
      <c r="S66" s="437">
        <v>247.58699999999999</v>
      </c>
      <c r="U66" s="438">
        <v>0</v>
      </c>
      <c r="V66" s="438">
        <v>745.61199999999997</v>
      </c>
      <c r="W66" s="438">
        <v>487928</v>
      </c>
      <c r="X66" s="438">
        <v>487928</v>
      </c>
      <c r="Z66" s="438">
        <v>0</v>
      </c>
      <c r="AA66" s="438">
        <v>1</v>
      </c>
      <c r="AB66" s="438">
        <v>1</v>
      </c>
      <c r="AC66" s="438">
        <v>0</v>
      </c>
      <c r="AD66" s="438" t="s">
        <v>332</v>
      </c>
      <c r="AE66" s="438">
        <v>0</v>
      </c>
      <c r="AH66" s="438">
        <v>0</v>
      </c>
      <c r="AI66" s="438">
        <v>0</v>
      </c>
      <c r="AJ66" s="437">
        <v>5105</v>
      </c>
      <c r="AK66" s="438" t="s">
        <v>561</v>
      </c>
      <c r="AL66" s="438" t="s">
        <v>50</v>
      </c>
      <c r="AM66" s="438">
        <v>0</v>
      </c>
      <c r="AN66" s="438">
        <v>0</v>
      </c>
      <c r="AO66" s="438">
        <v>0</v>
      </c>
      <c r="AP66" s="438">
        <v>0</v>
      </c>
      <c r="AQ66" s="438">
        <v>0</v>
      </c>
      <c r="AR66" s="438">
        <v>0</v>
      </c>
      <c r="AS66" s="438">
        <v>0</v>
      </c>
      <c r="AT66" s="438">
        <v>0</v>
      </c>
      <c r="AU66" s="438">
        <v>0</v>
      </c>
      <c r="AV66" s="438">
        <v>0</v>
      </c>
      <c r="AW66" s="438">
        <v>12986393</v>
      </c>
      <c r="AX66" s="438">
        <v>12986393</v>
      </c>
      <c r="AY66" s="438">
        <v>0</v>
      </c>
      <c r="AZ66" s="438">
        <v>319597</v>
      </c>
      <c r="BA66" s="438">
        <v>0</v>
      </c>
      <c r="BB66" s="438">
        <v>31935</v>
      </c>
      <c r="BC66" s="438">
        <v>31935</v>
      </c>
      <c r="BD66" s="438">
        <v>40.667000000000002</v>
      </c>
      <c r="BE66" s="438">
        <v>0</v>
      </c>
      <c r="BF66" s="438">
        <v>11051844</v>
      </c>
      <c r="BG66" s="438">
        <v>0</v>
      </c>
      <c r="BH66" s="438">
        <v>0</v>
      </c>
      <c r="BI66" s="438">
        <v>0</v>
      </c>
      <c r="BJ66" s="438">
        <v>12</v>
      </c>
      <c r="BK66" s="438">
        <v>0</v>
      </c>
      <c r="BL66" s="438">
        <v>0</v>
      </c>
      <c r="BM66" s="438">
        <v>0</v>
      </c>
      <c r="BN66" s="438">
        <v>0</v>
      </c>
      <c r="BO66" s="438">
        <v>0</v>
      </c>
      <c r="BP66" s="438">
        <v>0</v>
      </c>
      <c r="BQ66" s="437">
        <v>5392</v>
      </c>
      <c r="BR66" s="438">
        <v>1</v>
      </c>
      <c r="BS66" s="438">
        <v>0</v>
      </c>
      <c r="BT66" s="438">
        <v>0</v>
      </c>
      <c r="BU66" s="438">
        <v>0</v>
      </c>
      <c r="BV66" s="438">
        <v>0</v>
      </c>
      <c r="BW66" s="438">
        <v>0</v>
      </c>
      <c r="BX66" s="438">
        <v>0</v>
      </c>
      <c r="BY66" s="438">
        <v>0</v>
      </c>
      <c r="BZ66" s="438">
        <v>0</v>
      </c>
      <c r="CA66" s="438">
        <v>0</v>
      </c>
      <c r="CB66" s="438">
        <v>0</v>
      </c>
      <c r="CC66" s="438">
        <v>0</v>
      </c>
      <c r="CG66" s="438">
        <v>0</v>
      </c>
      <c r="CH66" s="438">
        <v>0</v>
      </c>
      <c r="CI66" s="438">
        <v>0</v>
      </c>
      <c r="CJ66" s="438">
        <v>4</v>
      </c>
      <c r="CK66" s="438">
        <v>0</v>
      </c>
      <c r="CL66" s="438">
        <v>0</v>
      </c>
      <c r="CN66" s="438">
        <v>0</v>
      </c>
      <c r="CO66" s="438">
        <v>1</v>
      </c>
      <c r="CP66" s="438">
        <v>0</v>
      </c>
      <c r="CQ66" s="438">
        <v>0</v>
      </c>
      <c r="CR66" s="438">
        <v>1299.473</v>
      </c>
      <c r="CS66" s="438">
        <v>0</v>
      </c>
      <c r="CT66" s="438">
        <v>0</v>
      </c>
      <c r="CU66" s="438">
        <v>0</v>
      </c>
      <c r="CV66" s="438">
        <v>0</v>
      </c>
      <c r="CW66" s="438">
        <v>0</v>
      </c>
      <c r="CX66" s="438">
        <v>0</v>
      </c>
      <c r="CY66" s="438">
        <v>0</v>
      </c>
      <c r="CZ66" s="438">
        <v>0</v>
      </c>
      <c r="DA66" s="438">
        <v>1</v>
      </c>
      <c r="DB66" s="438">
        <v>8272323</v>
      </c>
      <c r="DC66" s="438">
        <v>0</v>
      </c>
      <c r="DD66" s="438">
        <v>0</v>
      </c>
      <c r="DE66" s="438">
        <v>1903780</v>
      </c>
      <c r="DF66" s="438">
        <v>1903780</v>
      </c>
      <c r="DG66" s="438">
        <v>1454.6</v>
      </c>
      <c r="DH66" s="438">
        <v>0</v>
      </c>
      <c r="DI66" s="438">
        <v>0</v>
      </c>
      <c r="DK66" s="437">
        <v>5392</v>
      </c>
      <c r="DL66" s="438">
        <v>0</v>
      </c>
      <c r="DM66" s="438">
        <v>603293</v>
      </c>
      <c r="DN66" s="438">
        <v>0</v>
      </c>
      <c r="DO66" s="438">
        <v>0</v>
      </c>
      <c r="DP66" s="438">
        <v>0</v>
      </c>
      <c r="DQ66" s="438">
        <v>0</v>
      </c>
      <c r="DR66" s="438">
        <v>0</v>
      </c>
      <c r="DS66" s="438">
        <v>0</v>
      </c>
      <c r="DT66" s="438">
        <v>0</v>
      </c>
      <c r="DU66" s="438">
        <v>0</v>
      </c>
      <c r="DV66" s="438">
        <v>0</v>
      </c>
      <c r="DW66" s="438">
        <v>0</v>
      </c>
      <c r="DX66" s="438">
        <v>0</v>
      </c>
      <c r="DY66" s="438">
        <v>0</v>
      </c>
      <c r="DZ66" s="438">
        <v>0</v>
      </c>
      <c r="EA66" s="438">
        <v>0</v>
      </c>
      <c r="EB66" s="438">
        <v>0</v>
      </c>
      <c r="EC66" s="438">
        <v>1.633</v>
      </c>
      <c r="ED66" s="438">
        <v>11755</v>
      </c>
      <c r="EE66" s="438">
        <v>0</v>
      </c>
      <c r="EF66" s="438">
        <v>0</v>
      </c>
      <c r="EG66" s="438">
        <v>0</v>
      </c>
      <c r="EH66" s="438">
        <v>591538</v>
      </c>
      <c r="EI66" s="438">
        <v>0</v>
      </c>
      <c r="EJ66" s="438">
        <v>0</v>
      </c>
      <c r="EK66" s="438">
        <v>24.87</v>
      </c>
      <c r="EL66" s="438">
        <v>0</v>
      </c>
      <c r="EM66" s="438">
        <v>2.7280000000000002</v>
      </c>
      <c r="EN66" s="438">
        <v>1.52</v>
      </c>
      <c r="EO66" s="438">
        <v>0</v>
      </c>
      <c r="EP66" s="438">
        <v>0</v>
      </c>
      <c r="EQ66" s="438">
        <v>29.117999999999999</v>
      </c>
      <c r="ER66" s="438">
        <v>0</v>
      </c>
      <c r="ES66" s="438">
        <v>90.394000000000005</v>
      </c>
      <c r="ET66" s="438">
        <v>0</v>
      </c>
      <c r="EU66" s="438">
        <v>319597</v>
      </c>
      <c r="EV66" s="438">
        <v>0</v>
      </c>
      <c r="EW66" s="438">
        <v>0</v>
      </c>
      <c r="EX66" s="438">
        <v>0</v>
      </c>
      <c r="EZ66" s="438">
        <v>11034850</v>
      </c>
      <c r="FA66" s="438">
        <v>0</v>
      </c>
      <c r="FB66" s="438">
        <v>11354447</v>
      </c>
      <c r="FC66" s="438">
        <v>0.97334900000000002</v>
      </c>
      <c r="FD66" s="438">
        <v>0</v>
      </c>
      <c r="FE66" s="438">
        <v>1589305</v>
      </c>
      <c r="FF66" s="438">
        <v>362238</v>
      </c>
      <c r="FG66" s="437">
        <v>5.7854999999999997E-2</v>
      </c>
      <c r="FH66" s="437">
        <v>5.2366000000000003E-2</v>
      </c>
      <c r="FI66" s="438">
        <v>0</v>
      </c>
      <c r="FJ66" s="438">
        <v>0</v>
      </c>
      <c r="FK66" s="438">
        <v>2165.076</v>
      </c>
      <c r="FL66" s="438">
        <v>13305990</v>
      </c>
      <c r="FM66" s="438">
        <v>0</v>
      </c>
      <c r="FN66" s="438">
        <v>0</v>
      </c>
      <c r="FO66" s="438">
        <v>0</v>
      </c>
      <c r="FP66" s="438">
        <v>0</v>
      </c>
      <c r="FQ66" s="438">
        <v>0</v>
      </c>
      <c r="FR66" s="438">
        <v>0</v>
      </c>
      <c r="FS66" s="438">
        <v>0</v>
      </c>
      <c r="FT66" s="438">
        <v>0</v>
      </c>
      <c r="FU66" s="438">
        <v>0</v>
      </c>
      <c r="FV66" s="438">
        <v>0</v>
      </c>
      <c r="FW66" s="438">
        <v>0</v>
      </c>
      <c r="FX66" s="438">
        <v>0</v>
      </c>
      <c r="FY66" s="438">
        <v>0</v>
      </c>
      <c r="FZ66" s="438">
        <v>0</v>
      </c>
      <c r="GA66" s="438">
        <v>0</v>
      </c>
      <c r="GB66" s="438">
        <v>55188</v>
      </c>
      <c r="GC66" s="438">
        <v>55188</v>
      </c>
      <c r="GD66" s="438">
        <v>6.2469999999999999</v>
      </c>
      <c r="GF66" s="438">
        <v>0</v>
      </c>
      <c r="GG66" s="438">
        <v>0</v>
      </c>
      <c r="GH66" s="438">
        <v>0</v>
      </c>
      <c r="GI66" s="438">
        <v>0</v>
      </c>
      <c r="GJ66" s="438">
        <v>0</v>
      </c>
      <c r="GK66" s="438">
        <v>4690.7830000000004</v>
      </c>
      <c r="GL66" s="438">
        <v>18071</v>
      </c>
      <c r="GM66" s="438">
        <v>0</v>
      </c>
      <c r="GN66" s="438">
        <v>0</v>
      </c>
      <c r="GO66" s="438">
        <v>0</v>
      </c>
      <c r="GP66" s="438">
        <v>13305990</v>
      </c>
      <c r="GQ66" s="438">
        <v>13305990</v>
      </c>
      <c r="GR66" s="438">
        <v>0</v>
      </c>
      <c r="GS66" s="438">
        <v>0</v>
      </c>
      <c r="GT66" s="438">
        <v>0</v>
      </c>
      <c r="HB66" s="438">
        <v>0</v>
      </c>
      <c r="HC66" s="437">
        <v>6.0754000000000002E-2</v>
      </c>
      <c r="HD66" s="438">
        <v>0</v>
      </c>
    </row>
    <row r="67" spans="1:212" x14ac:dyDescent="0.2">
      <c r="A67" s="438">
        <v>25836</v>
      </c>
      <c r="B67" s="442">
        <v>57836</v>
      </c>
      <c r="C67" s="438">
        <v>9</v>
      </c>
      <c r="D67" s="438">
        <v>2020</v>
      </c>
      <c r="E67" s="438">
        <v>5392</v>
      </c>
      <c r="F67" s="438">
        <v>0</v>
      </c>
      <c r="G67" s="438">
        <v>297.73500000000001</v>
      </c>
      <c r="H67" s="438">
        <v>290.22500000000002</v>
      </c>
      <c r="I67" s="438">
        <v>290.22500000000002</v>
      </c>
      <c r="J67" s="438">
        <v>297.73500000000001</v>
      </c>
      <c r="K67" s="438">
        <v>0</v>
      </c>
      <c r="L67" s="437">
        <v>6544</v>
      </c>
      <c r="M67" s="438">
        <v>0</v>
      </c>
      <c r="N67" s="438">
        <v>0</v>
      </c>
      <c r="P67" s="438">
        <v>298.70800000000003</v>
      </c>
      <c r="Q67" s="438">
        <v>0</v>
      </c>
      <c r="R67" s="438">
        <v>73956</v>
      </c>
      <c r="S67" s="437">
        <v>247.58699999999999</v>
      </c>
      <c r="U67" s="438">
        <v>0</v>
      </c>
      <c r="V67" s="438">
        <v>0</v>
      </c>
      <c r="W67" s="438">
        <v>0</v>
      </c>
      <c r="X67" s="438">
        <v>0</v>
      </c>
      <c r="Z67" s="438">
        <v>0</v>
      </c>
      <c r="AA67" s="438">
        <v>1</v>
      </c>
      <c r="AB67" s="438">
        <v>1</v>
      </c>
      <c r="AC67" s="438">
        <v>0</v>
      </c>
      <c r="AD67" s="438" t="s">
        <v>332</v>
      </c>
      <c r="AE67" s="438">
        <v>0</v>
      </c>
      <c r="AH67" s="438">
        <v>0</v>
      </c>
      <c r="AI67" s="438">
        <v>0</v>
      </c>
      <c r="AJ67" s="437">
        <v>5105</v>
      </c>
      <c r="AK67" s="438" t="s">
        <v>561</v>
      </c>
      <c r="AL67" s="438" t="s">
        <v>25</v>
      </c>
      <c r="AM67" s="438">
        <v>0</v>
      </c>
      <c r="AN67" s="438">
        <v>0</v>
      </c>
      <c r="AO67" s="438">
        <v>0</v>
      </c>
      <c r="AP67" s="438">
        <v>0</v>
      </c>
      <c r="AQ67" s="438">
        <v>0</v>
      </c>
      <c r="AR67" s="438">
        <v>0</v>
      </c>
      <c r="AS67" s="438">
        <v>0</v>
      </c>
      <c r="AT67" s="438">
        <v>0</v>
      </c>
      <c r="AU67" s="438">
        <v>0</v>
      </c>
      <c r="AV67" s="438">
        <v>0</v>
      </c>
      <c r="AW67" s="438">
        <v>2780959</v>
      </c>
      <c r="AX67" s="438">
        <v>2773188</v>
      </c>
      <c r="AY67" s="438">
        <v>0</v>
      </c>
      <c r="AZ67" s="438">
        <v>73956</v>
      </c>
      <c r="BA67" s="438">
        <v>13.333</v>
      </c>
      <c r="BB67" s="438">
        <v>11690</v>
      </c>
      <c r="BC67" s="438">
        <v>11690</v>
      </c>
      <c r="BD67" s="438">
        <v>14.887</v>
      </c>
      <c r="BE67" s="438">
        <v>0</v>
      </c>
      <c r="BF67" s="438">
        <v>2364814</v>
      </c>
      <c r="BG67" s="438">
        <v>0</v>
      </c>
      <c r="BH67" s="438">
        <v>0</v>
      </c>
      <c r="BI67" s="438">
        <v>0</v>
      </c>
      <c r="BJ67" s="438">
        <v>12</v>
      </c>
      <c r="BK67" s="438">
        <v>0</v>
      </c>
      <c r="BL67" s="438">
        <v>0</v>
      </c>
      <c r="BM67" s="438">
        <v>0</v>
      </c>
      <c r="BN67" s="438">
        <v>0</v>
      </c>
      <c r="BO67" s="438">
        <v>0</v>
      </c>
      <c r="BP67" s="438">
        <v>0</v>
      </c>
      <c r="BQ67" s="437">
        <v>5392</v>
      </c>
      <c r="BR67" s="438">
        <v>1</v>
      </c>
      <c r="BS67" s="438">
        <v>0</v>
      </c>
      <c r="BT67" s="438">
        <v>0</v>
      </c>
      <c r="BU67" s="438">
        <v>0</v>
      </c>
      <c r="BV67" s="438">
        <v>0</v>
      </c>
      <c r="BW67" s="438">
        <v>0</v>
      </c>
      <c r="BX67" s="438">
        <v>0</v>
      </c>
      <c r="BY67" s="438">
        <v>0</v>
      </c>
      <c r="BZ67" s="438">
        <v>0</v>
      </c>
      <c r="CA67" s="438">
        <v>0</v>
      </c>
      <c r="CB67" s="438">
        <v>0</v>
      </c>
      <c r="CC67" s="438">
        <v>0</v>
      </c>
      <c r="CG67" s="438">
        <v>0</v>
      </c>
      <c r="CH67" s="438">
        <v>7771</v>
      </c>
      <c r="CI67" s="438">
        <v>0</v>
      </c>
      <c r="CJ67" s="438">
        <v>4</v>
      </c>
      <c r="CK67" s="438">
        <v>0</v>
      </c>
      <c r="CL67" s="438">
        <v>0</v>
      </c>
      <c r="CN67" s="438">
        <v>0</v>
      </c>
      <c r="CO67" s="438">
        <v>1</v>
      </c>
      <c r="CP67" s="438">
        <v>0</v>
      </c>
      <c r="CQ67" s="438">
        <v>4.4169999999999998</v>
      </c>
      <c r="CR67" s="438">
        <v>297.73500000000001</v>
      </c>
      <c r="CS67" s="438">
        <v>0</v>
      </c>
      <c r="CT67" s="438">
        <v>0</v>
      </c>
      <c r="CU67" s="438">
        <v>0</v>
      </c>
      <c r="CV67" s="438">
        <v>0</v>
      </c>
      <c r="CW67" s="438">
        <v>0</v>
      </c>
      <c r="CX67" s="438">
        <v>0</v>
      </c>
      <c r="CY67" s="438">
        <v>0</v>
      </c>
      <c r="CZ67" s="438">
        <v>0</v>
      </c>
      <c r="DA67" s="438">
        <v>1</v>
      </c>
      <c r="DB67" s="438">
        <v>1899232</v>
      </c>
      <c r="DC67" s="438">
        <v>0</v>
      </c>
      <c r="DD67" s="438">
        <v>17.75</v>
      </c>
      <c r="DE67" s="438">
        <v>320656</v>
      </c>
      <c r="DF67" s="438">
        <v>320656</v>
      </c>
      <c r="DG67" s="438">
        <v>245</v>
      </c>
      <c r="DH67" s="438">
        <v>0</v>
      </c>
      <c r="DI67" s="438">
        <v>0</v>
      </c>
      <c r="DK67" s="437">
        <v>5392</v>
      </c>
      <c r="DL67" s="438">
        <v>0</v>
      </c>
      <c r="DM67" s="438">
        <v>197985</v>
      </c>
      <c r="DN67" s="438">
        <v>0</v>
      </c>
      <c r="DO67" s="438">
        <v>0</v>
      </c>
      <c r="DP67" s="438">
        <v>0</v>
      </c>
      <c r="DQ67" s="438">
        <v>0</v>
      </c>
      <c r="DR67" s="438">
        <v>0</v>
      </c>
      <c r="DS67" s="438">
        <v>0</v>
      </c>
      <c r="DT67" s="438">
        <v>0</v>
      </c>
      <c r="DU67" s="438">
        <v>0</v>
      </c>
      <c r="DV67" s="438">
        <v>0</v>
      </c>
      <c r="DW67" s="438">
        <v>0</v>
      </c>
      <c r="DX67" s="438">
        <v>0</v>
      </c>
      <c r="DY67" s="438">
        <v>0</v>
      </c>
      <c r="DZ67" s="438">
        <v>0</v>
      </c>
      <c r="EA67" s="438">
        <v>0</v>
      </c>
      <c r="EB67" s="438">
        <v>0</v>
      </c>
      <c r="EC67" s="438">
        <v>6.6349999999999998</v>
      </c>
      <c r="ED67" s="438">
        <v>47761</v>
      </c>
      <c r="EE67" s="438">
        <v>0</v>
      </c>
      <c r="EF67" s="438">
        <v>0</v>
      </c>
      <c r="EG67" s="438">
        <v>0</v>
      </c>
      <c r="EH67" s="438">
        <v>150224</v>
      </c>
      <c r="EI67" s="438">
        <v>0</v>
      </c>
      <c r="EJ67" s="438">
        <v>0</v>
      </c>
      <c r="EK67" s="438">
        <v>7.2969999999999997</v>
      </c>
      <c r="EL67" s="438">
        <v>0</v>
      </c>
      <c r="EM67" s="438">
        <v>0</v>
      </c>
      <c r="EN67" s="438">
        <v>0.21299999999999999</v>
      </c>
      <c r="EO67" s="438">
        <v>0</v>
      </c>
      <c r="EP67" s="438">
        <v>0</v>
      </c>
      <c r="EQ67" s="438">
        <v>7.51</v>
      </c>
      <c r="ER67" s="438">
        <v>0</v>
      </c>
      <c r="ES67" s="438">
        <v>22.956</v>
      </c>
      <c r="ET67" s="438">
        <v>7771</v>
      </c>
      <c r="EU67" s="438">
        <v>73956</v>
      </c>
      <c r="EV67" s="438">
        <v>0</v>
      </c>
      <c r="EW67" s="438">
        <v>0</v>
      </c>
      <c r="EX67" s="438">
        <v>0</v>
      </c>
      <c r="EZ67" s="438">
        <v>2355607</v>
      </c>
      <c r="FA67" s="438">
        <v>0</v>
      </c>
      <c r="FB67" s="438">
        <v>2429563</v>
      </c>
      <c r="FC67" s="438">
        <v>0.97334900000000002</v>
      </c>
      <c r="FD67" s="438">
        <v>0</v>
      </c>
      <c r="FE67" s="438">
        <v>340071</v>
      </c>
      <c r="FF67" s="438">
        <v>77510</v>
      </c>
      <c r="FG67" s="437">
        <v>5.7854999999999997E-2</v>
      </c>
      <c r="FH67" s="437">
        <v>5.2366000000000003E-2</v>
      </c>
      <c r="FI67" s="438">
        <v>0</v>
      </c>
      <c r="FJ67" s="438">
        <v>0</v>
      </c>
      <c r="FK67" s="438">
        <v>463.27100000000002</v>
      </c>
      <c r="FL67" s="438">
        <v>2854915</v>
      </c>
      <c r="FM67" s="438">
        <v>0</v>
      </c>
      <c r="FN67" s="438">
        <v>0</v>
      </c>
      <c r="FO67" s="438">
        <v>0</v>
      </c>
      <c r="FP67" s="438">
        <v>0</v>
      </c>
      <c r="FQ67" s="438">
        <v>0</v>
      </c>
      <c r="FR67" s="438">
        <v>0</v>
      </c>
      <c r="FS67" s="438">
        <v>0</v>
      </c>
      <c r="FT67" s="438">
        <v>0</v>
      </c>
      <c r="FU67" s="438">
        <v>0</v>
      </c>
      <c r="FV67" s="438">
        <v>0</v>
      </c>
      <c r="FW67" s="438">
        <v>0</v>
      </c>
      <c r="FX67" s="438">
        <v>0</v>
      </c>
      <c r="FY67" s="438">
        <v>0</v>
      </c>
      <c r="FZ67" s="438">
        <v>0</v>
      </c>
      <c r="GA67" s="438">
        <v>0</v>
      </c>
      <c r="GB67" s="438">
        <v>0</v>
      </c>
      <c r="GC67" s="438">
        <v>0</v>
      </c>
      <c r="GD67" s="438">
        <v>0</v>
      </c>
      <c r="GF67" s="438">
        <v>0</v>
      </c>
      <c r="GG67" s="438">
        <v>0</v>
      </c>
      <c r="GH67" s="438">
        <v>0</v>
      </c>
      <c r="GI67" s="438">
        <v>0</v>
      </c>
      <c r="GJ67" s="438">
        <v>0</v>
      </c>
      <c r="GK67" s="438">
        <v>4715.7929999999997</v>
      </c>
      <c r="GL67" s="438">
        <v>7312</v>
      </c>
      <c r="GM67" s="438">
        <v>0</v>
      </c>
      <c r="GN67" s="438">
        <v>0</v>
      </c>
      <c r="GO67" s="438">
        <v>0</v>
      </c>
      <c r="GP67" s="438">
        <v>2847144</v>
      </c>
      <c r="GQ67" s="438">
        <v>2847144</v>
      </c>
      <c r="GR67" s="438">
        <v>0</v>
      </c>
      <c r="GS67" s="438">
        <v>0</v>
      </c>
      <c r="GT67" s="438">
        <v>0</v>
      </c>
      <c r="HB67" s="438">
        <v>0</v>
      </c>
      <c r="HC67" s="437">
        <v>6.0754000000000002E-2</v>
      </c>
      <c r="HD67" s="438">
        <v>0</v>
      </c>
    </row>
    <row r="68" spans="1:212" x14ac:dyDescent="0.2">
      <c r="A68" s="438">
        <v>25836</v>
      </c>
      <c r="B68" s="442">
        <v>57839</v>
      </c>
      <c r="C68" s="438">
        <v>9</v>
      </c>
      <c r="D68" s="438">
        <v>2020</v>
      </c>
      <c r="E68" s="438">
        <v>5392</v>
      </c>
      <c r="F68" s="438">
        <v>0</v>
      </c>
      <c r="G68" s="438">
        <v>926.02300000000002</v>
      </c>
      <c r="H68" s="438">
        <v>920.19500000000005</v>
      </c>
      <c r="I68" s="438">
        <v>920.19500000000005</v>
      </c>
      <c r="J68" s="438">
        <v>926.02300000000002</v>
      </c>
      <c r="K68" s="438">
        <v>0</v>
      </c>
      <c r="L68" s="437">
        <v>6544</v>
      </c>
      <c r="M68" s="438">
        <v>0</v>
      </c>
      <c r="N68" s="438">
        <v>0</v>
      </c>
      <c r="P68" s="438">
        <v>919.79700000000003</v>
      </c>
      <c r="Q68" s="438">
        <v>0</v>
      </c>
      <c r="R68" s="438">
        <v>227730</v>
      </c>
      <c r="S68" s="437">
        <v>247.58699999999999</v>
      </c>
      <c r="U68" s="438">
        <v>0</v>
      </c>
      <c r="V68" s="438">
        <v>557.553</v>
      </c>
      <c r="W68" s="438">
        <v>364863</v>
      </c>
      <c r="X68" s="438">
        <v>364863</v>
      </c>
      <c r="Z68" s="438">
        <v>0</v>
      </c>
      <c r="AA68" s="438">
        <v>1</v>
      </c>
      <c r="AB68" s="438">
        <v>1</v>
      </c>
      <c r="AC68" s="438">
        <v>0</v>
      </c>
      <c r="AD68" s="438" t="s">
        <v>332</v>
      </c>
      <c r="AE68" s="438">
        <v>0</v>
      </c>
      <c r="AH68" s="438">
        <v>0</v>
      </c>
      <c r="AI68" s="438">
        <v>0</v>
      </c>
      <c r="AJ68" s="437">
        <v>5105</v>
      </c>
      <c r="AK68" s="438" t="s">
        <v>561</v>
      </c>
      <c r="AL68" s="438" t="s">
        <v>63</v>
      </c>
      <c r="AM68" s="438">
        <v>0</v>
      </c>
      <c r="AN68" s="438">
        <v>0</v>
      </c>
      <c r="AO68" s="438">
        <v>0</v>
      </c>
      <c r="AP68" s="438">
        <v>0</v>
      </c>
      <c r="AQ68" s="438">
        <v>0</v>
      </c>
      <c r="AR68" s="438">
        <v>0</v>
      </c>
      <c r="AS68" s="438">
        <v>0</v>
      </c>
      <c r="AT68" s="438">
        <v>0</v>
      </c>
      <c r="AU68" s="438">
        <v>0</v>
      </c>
      <c r="AV68" s="438">
        <v>0</v>
      </c>
      <c r="AW68" s="438">
        <v>9524550</v>
      </c>
      <c r="AX68" s="438">
        <v>9524550</v>
      </c>
      <c r="AY68" s="438">
        <v>0</v>
      </c>
      <c r="AZ68" s="438">
        <v>227730</v>
      </c>
      <c r="BA68" s="438">
        <v>0</v>
      </c>
      <c r="BB68" s="438">
        <v>785</v>
      </c>
      <c r="BC68" s="438">
        <v>785</v>
      </c>
      <c r="BD68" s="438">
        <v>1</v>
      </c>
      <c r="BE68" s="438">
        <v>0</v>
      </c>
      <c r="BF68" s="438">
        <v>8100162</v>
      </c>
      <c r="BG68" s="438">
        <v>0</v>
      </c>
      <c r="BH68" s="438">
        <v>0</v>
      </c>
      <c r="BI68" s="438">
        <v>0</v>
      </c>
      <c r="BJ68" s="438">
        <v>12</v>
      </c>
      <c r="BK68" s="438">
        <v>0</v>
      </c>
      <c r="BL68" s="438">
        <v>0</v>
      </c>
      <c r="BM68" s="438">
        <v>0</v>
      </c>
      <c r="BN68" s="438">
        <v>0</v>
      </c>
      <c r="BO68" s="438">
        <v>0</v>
      </c>
      <c r="BP68" s="438">
        <v>0</v>
      </c>
      <c r="BQ68" s="437">
        <v>5392</v>
      </c>
      <c r="BR68" s="438">
        <v>1</v>
      </c>
      <c r="BS68" s="438">
        <v>0</v>
      </c>
      <c r="BT68" s="438">
        <v>0</v>
      </c>
      <c r="BU68" s="438">
        <v>0</v>
      </c>
      <c r="BV68" s="438">
        <v>0</v>
      </c>
      <c r="BW68" s="438">
        <v>0</v>
      </c>
      <c r="BX68" s="438">
        <v>0</v>
      </c>
      <c r="BY68" s="438">
        <v>0</v>
      </c>
      <c r="BZ68" s="438">
        <v>0</v>
      </c>
      <c r="CA68" s="438">
        <v>0</v>
      </c>
      <c r="CB68" s="438">
        <v>0</v>
      </c>
      <c r="CC68" s="438">
        <v>0</v>
      </c>
      <c r="CG68" s="438">
        <v>0</v>
      </c>
      <c r="CH68" s="438">
        <v>0</v>
      </c>
      <c r="CI68" s="438">
        <v>0</v>
      </c>
      <c r="CJ68" s="438">
        <v>4</v>
      </c>
      <c r="CK68" s="438">
        <v>0</v>
      </c>
      <c r="CL68" s="438">
        <v>0</v>
      </c>
      <c r="CN68" s="438">
        <v>0</v>
      </c>
      <c r="CO68" s="438">
        <v>1</v>
      </c>
      <c r="CP68" s="438">
        <v>0</v>
      </c>
      <c r="CQ68" s="438">
        <v>0</v>
      </c>
      <c r="CR68" s="438">
        <v>926.02300000000002</v>
      </c>
      <c r="CS68" s="438">
        <v>0</v>
      </c>
      <c r="CT68" s="438">
        <v>0</v>
      </c>
      <c r="CU68" s="438">
        <v>0</v>
      </c>
      <c r="CV68" s="438">
        <v>0</v>
      </c>
      <c r="CW68" s="438">
        <v>0</v>
      </c>
      <c r="CX68" s="438">
        <v>0</v>
      </c>
      <c r="CY68" s="438">
        <v>0</v>
      </c>
      <c r="CZ68" s="438">
        <v>0</v>
      </c>
      <c r="DA68" s="438">
        <v>1</v>
      </c>
      <c r="DB68" s="438">
        <v>6021756</v>
      </c>
      <c r="DC68" s="438">
        <v>0</v>
      </c>
      <c r="DD68" s="438">
        <v>0</v>
      </c>
      <c r="DE68" s="438">
        <v>1304874</v>
      </c>
      <c r="DF68" s="438">
        <v>1304874</v>
      </c>
      <c r="DG68" s="438">
        <v>997</v>
      </c>
      <c r="DH68" s="438">
        <v>0</v>
      </c>
      <c r="DI68" s="438">
        <v>0</v>
      </c>
      <c r="DK68" s="437">
        <v>5392</v>
      </c>
      <c r="DL68" s="438">
        <v>0</v>
      </c>
      <c r="DM68" s="438">
        <v>629669</v>
      </c>
      <c r="DN68" s="438">
        <v>0</v>
      </c>
      <c r="DO68" s="438">
        <v>0</v>
      </c>
      <c r="DP68" s="438">
        <v>0</v>
      </c>
      <c r="DQ68" s="438">
        <v>0</v>
      </c>
      <c r="DR68" s="438">
        <v>0</v>
      </c>
      <c r="DS68" s="438">
        <v>0</v>
      </c>
      <c r="DT68" s="438">
        <v>0</v>
      </c>
      <c r="DU68" s="438">
        <v>0</v>
      </c>
      <c r="DV68" s="438">
        <v>0</v>
      </c>
      <c r="DW68" s="438">
        <v>0</v>
      </c>
      <c r="DX68" s="438">
        <v>0</v>
      </c>
      <c r="DY68" s="438">
        <v>0</v>
      </c>
      <c r="DZ68" s="438">
        <v>0</v>
      </c>
      <c r="EA68" s="438">
        <v>0</v>
      </c>
      <c r="EB68" s="438">
        <v>0</v>
      </c>
      <c r="EC68" s="438">
        <v>66.468000000000004</v>
      </c>
      <c r="ED68" s="438">
        <v>478463</v>
      </c>
      <c r="EE68" s="438">
        <v>0</v>
      </c>
      <c r="EF68" s="438">
        <v>0</v>
      </c>
      <c r="EG68" s="438">
        <v>0</v>
      </c>
      <c r="EH68" s="438">
        <v>151206</v>
      </c>
      <c r="EI68" s="438">
        <v>0</v>
      </c>
      <c r="EJ68" s="438">
        <v>0</v>
      </c>
      <c r="EK68" s="438">
        <v>3.0169999999999999</v>
      </c>
      <c r="EL68" s="438">
        <v>0</v>
      </c>
      <c r="EM68" s="438">
        <v>0</v>
      </c>
      <c r="EN68" s="438">
        <v>2.8109999999999999</v>
      </c>
      <c r="EO68" s="438">
        <v>0</v>
      </c>
      <c r="EP68" s="438">
        <v>0</v>
      </c>
      <c r="EQ68" s="438">
        <v>5.8280000000000003</v>
      </c>
      <c r="ER68" s="438">
        <v>0</v>
      </c>
      <c r="ES68" s="438">
        <v>23.106000000000002</v>
      </c>
      <c r="ET68" s="438">
        <v>0</v>
      </c>
      <c r="EU68" s="438">
        <v>227730</v>
      </c>
      <c r="EV68" s="438">
        <v>0</v>
      </c>
      <c r="EW68" s="438">
        <v>0</v>
      </c>
      <c r="EX68" s="438">
        <v>0</v>
      </c>
      <c r="EZ68" s="438">
        <v>8094217</v>
      </c>
      <c r="FA68" s="438">
        <v>0</v>
      </c>
      <c r="FB68" s="438">
        <v>8321947</v>
      </c>
      <c r="FC68" s="438">
        <v>0.97334900000000002</v>
      </c>
      <c r="FD68" s="438">
        <v>0</v>
      </c>
      <c r="FE68" s="438">
        <v>1164840</v>
      </c>
      <c r="FF68" s="438">
        <v>265493</v>
      </c>
      <c r="FG68" s="437">
        <v>5.7854999999999997E-2</v>
      </c>
      <c r="FH68" s="437">
        <v>5.2366000000000003E-2</v>
      </c>
      <c r="FI68" s="438">
        <v>0</v>
      </c>
      <c r="FJ68" s="438">
        <v>0</v>
      </c>
      <c r="FK68" s="438">
        <v>1586.836</v>
      </c>
      <c r="FL68" s="438">
        <v>9752280</v>
      </c>
      <c r="FM68" s="438">
        <v>0</v>
      </c>
      <c r="FN68" s="438">
        <v>0</v>
      </c>
      <c r="FO68" s="438">
        <v>0</v>
      </c>
      <c r="FP68" s="438">
        <v>0</v>
      </c>
      <c r="FQ68" s="438">
        <v>0</v>
      </c>
      <c r="FR68" s="438">
        <v>0</v>
      </c>
      <c r="FS68" s="438">
        <v>0</v>
      </c>
      <c r="FT68" s="438">
        <v>0</v>
      </c>
      <c r="FU68" s="438">
        <v>0</v>
      </c>
      <c r="FV68" s="438">
        <v>0</v>
      </c>
      <c r="FW68" s="438">
        <v>0</v>
      </c>
      <c r="FX68" s="438">
        <v>0</v>
      </c>
      <c r="FY68" s="438">
        <v>0</v>
      </c>
      <c r="FZ68" s="438">
        <v>0</v>
      </c>
      <c r="GA68" s="438">
        <v>0</v>
      </c>
      <c r="GB68" s="438">
        <v>0</v>
      </c>
      <c r="GC68" s="438">
        <v>0</v>
      </c>
      <c r="GD68" s="438">
        <v>0</v>
      </c>
      <c r="GF68" s="438">
        <v>0</v>
      </c>
      <c r="GG68" s="438">
        <v>0</v>
      </c>
      <c r="GH68" s="438">
        <v>0</v>
      </c>
      <c r="GI68" s="438">
        <v>0</v>
      </c>
      <c r="GJ68" s="438">
        <v>0</v>
      </c>
      <c r="GK68" s="438">
        <v>4604.6369999999997</v>
      </c>
      <c r="GL68" s="438">
        <v>11508</v>
      </c>
      <c r="GM68" s="438">
        <v>0</v>
      </c>
      <c r="GN68" s="438">
        <v>0</v>
      </c>
      <c r="GO68" s="438">
        <v>0</v>
      </c>
      <c r="GP68" s="438">
        <v>9752280</v>
      </c>
      <c r="GQ68" s="438">
        <v>9752280</v>
      </c>
      <c r="GR68" s="438">
        <v>0</v>
      </c>
      <c r="GS68" s="438">
        <v>0</v>
      </c>
      <c r="GT68" s="438">
        <v>0</v>
      </c>
      <c r="HB68" s="438">
        <v>0</v>
      </c>
      <c r="HC68" s="437">
        <v>6.0754000000000002E-2</v>
      </c>
      <c r="HD68" s="438">
        <v>0</v>
      </c>
    </row>
    <row r="69" spans="1:212" x14ac:dyDescent="0.2">
      <c r="A69" s="438">
        <v>25836</v>
      </c>
      <c r="B69" s="442">
        <v>57840</v>
      </c>
      <c r="C69" s="438">
        <v>9</v>
      </c>
      <c r="D69" s="438">
        <v>2020</v>
      </c>
      <c r="E69" s="438">
        <v>5392</v>
      </c>
      <c r="F69" s="438">
        <v>0</v>
      </c>
      <c r="G69" s="438">
        <v>584.26499999999999</v>
      </c>
      <c r="H69" s="438">
        <v>422.125</v>
      </c>
      <c r="I69" s="438">
        <v>422.125</v>
      </c>
      <c r="J69" s="438">
        <v>584.26499999999999</v>
      </c>
      <c r="K69" s="438">
        <v>0</v>
      </c>
      <c r="L69" s="437">
        <v>6544</v>
      </c>
      <c r="M69" s="438">
        <v>0</v>
      </c>
      <c r="N69" s="438">
        <v>0</v>
      </c>
      <c r="P69" s="438">
        <v>587.16300000000001</v>
      </c>
      <c r="Q69" s="438">
        <v>0</v>
      </c>
      <c r="R69" s="438">
        <v>145374</v>
      </c>
      <c r="S69" s="437">
        <v>247.58699999999999</v>
      </c>
      <c r="U69" s="438">
        <v>0</v>
      </c>
      <c r="V69" s="438">
        <v>15.363</v>
      </c>
      <c r="W69" s="438">
        <v>10054</v>
      </c>
      <c r="X69" s="438">
        <v>10054</v>
      </c>
      <c r="Z69" s="438">
        <v>0</v>
      </c>
      <c r="AA69" s="438">
        <v>1</v>
      </c>
      <c r="AB69" s="438">
        <v>1</v>
      </c>
      <c r="AC69" s="438">
        <v>0</v>
      </c>
      <c r="AD69" s="438" t="s">
        <v>332</v>
      </c>
      <c r="AE69" s="438">
        <v>0</v>
      </c>
      <c r="AH69" s="438">
        <v>0</v>
      </c>
      <c r="AI69" s="438">
        <v>0</v>
      </c>
      <c r="AJ69" s="437">
        <v>5105</v>
      </c>
      <c r="AK69" s="438" t="s">
        <v>561</v>
      </c>
      <c r="AL69" s="438" t="s">
        <v>347</v>
      </c>
      <c r="AM69" s="438">
        <v>0</v>
      </c>
      <c r="AN69" s="438">
        <v>0</v>
      </c>
      <c r="AO69" s="438">
        <v>0</v>
      </c>
      <c r="AP69" s="438">
        <v>0</v>
      </c>
      <c r="AQ69" s="438">
        <v>0</v>
      </c>
      <c r="AR69" s="438">
        <v>0</v>
      </c>
      <c r="AS69" s="438">
        <v>0</v>
      </c>
      <c r="AT69" s="438">
        <v>0</v>
      </c>
      <c r="AU69" s="438">
        <v>0</v>
      </c>
      <c r="AV69" s="438">
        <v>0</v>
      </c>
      <c r="AW69" s="438">
        <v>4964198</v>
      </c>
      <c r="AX69" s="438">
        <v>4803525</v>
      </c>
      <c r="AY69" s="438">
        <v>0</v>
      </c>
      <c r="AZ69" s="438">
        <v>306047</v>
      </c>
      <c r="BA69" s="438">
        <v>0</v>
      </c>
      <c r="BB69" s="438">
        <v>0</v>
      </c>
      <c r="BC69" s="438">
        <v>0</v>
      </c>
      <c r="BD69" s="438">
        <v>0</v>
      </c>
      <c r="BE69" s="438">
        <v>0</v>
      </c>
      <c r="BF69" s="438">
        <v>4110515</v>
      </c>
      <c r="BG69" s="438">
        <v>0</v>
      </c>
      <c r="BH69" s="438">
        <v>585.53399999999999</v>
      </c>
      <c r="BI69" s="438">
        <v>160673</v>
      </c>
      <c r="BJ69" s="438">
        <v>12</v>
      </c>
      <c r="BK69" s="438">
        <v>0</v>
      </c>
      <c r="BL69" s="438">
        <v>0</v>
      </c>
      <c r="BM69" s="438">
        <v>0</v>
      </c>
      <c r="BN69" s="438">
        <v>0</v>
      </c>
      <c r="BO69" s="438">
        <v>0</v>
      </c>
      <c r="BP69" s="438">
        <v>0</v>
      </c>
      <c r="BQ69" s="437">
        <v>5392</v>
      </c>
      <c r="BR69" s="438">
        <v>1</v>
      </c>
      <c r="BS69" s="438">
        <v>0</v>
      </c>
      <c r="BT69" s="438">
        <v>0</v>
      </c>
      <c r="BU69" s="438">
        <v>0</v>
      </c>
      <c r="BV69" s="438">
        <v>0</v>
      </c>
      <c r="BW69" s="438">
        <v>0</v>
      </c>
      <c r="BX69" s="438">
        <v>0</v>
      </c>
      <c r="BY69" s="438">
        <v>0</v>
      </c>
      <c r="BZ69" s="438">
        <v>0</v>
      </c>
      <c r="CA69" s="438">
        <v>0</v>
      </c>
      <c r="CB69" s="438">
        <v>0</v>
      </c>
      <c r="CC69" s="438">
        <v>0</v>
      </c>
      <c r="CG69" s="438">
        <v>0</v>
      </c>
      <c r="CH69" s="438">
        <v>0</v>
      </c>
      <c r="CI69" s="438">
        <v>0</v>
      </c>
      <c r="CJ69" s="438">
        <v>4</v>
      </c>
      <c r="CK69" s="438">
        <v>0</v>
      </c>
      <c r="CL69" s="438">
        <v>0</v>
      </c>
      <c r="CN69" s="438">
        <v>0</v>
      </c>
      <c r="CO69" s="438">
        <v>1</v>
      </c>
      <c r="CP69" s="438">
        <v>0</v>
      </c>
      <c r="CQ69" s="438">
        <v>0</v>
      </c>
      <c r="CR69" s="438">
        <v>584.26499999999999</v>
      </c>
      <c r="CS69" s="438">
        <v>0</v>
      </c>
      <c r="CT69" s="438">
        <v>0</v>
      </c>
      <c r="CU69" s="438">
        <v>0</v>
      </c>
      <c r="CV69" s="438">
        <v>0</v>
      </c>
      <c r="CW69" s="438">
        <v>0</v>
      </c>
      <c r="CX69" s="438">
        <v>0</v>
      </c>
      <c r="CY69" s="438">
        <v>0</v>
      </c>
      <c r="CZ69" s="438">
        <v>0</v>
      </c>
      <c r="DA69" s="438">
        <v>1</v>
      </c>
      <c r="DB69" s="438">
        <v>2762386</v>
      </c>
      <c r="DC69" s="438">
        <v>0</v>
      </c>
      <c r="DD69" s="438">
        <v>0</v>
      </c>
      <c r="DE69" s="438">
        <v>0</v>
      </c>
      <c r="DF69" s="438">
        <v>0</v>
      </c>
      <c r="DG69" s="438">
        <v>0</v>
      </c>
      <c r="DH69" s="438">
        <v>0</v>
      </c>
      <c r="DI69" s="438">
        <v>0</v>
      </c>
      <c r="DK69" s="437">
        <v>5392</v>
      </c>
      <c r="DL69" s="438">
        <v>0</v>
      </c>
      <c r="DM69" s="438">
        <v>18212</v>
      </c>
      <c r="DN69" s="438">
        <v>0</v>
      </c>
      <c r="DO69" s="438">
        <v>0</v>
      </c>
      <c r="DP69" s="438">
        <v>0</v>
      </c>
      <c r="DQ69" s="438">
        <v>0</v>
      </c>
      <c r="DR69" s="438">
        <v>0</v>
      </c>
      <c r="DS69" s="438">
        <v>0</v>
      </c>
      <c r="DT69" s="438">
        <v>0</v>
      </c>
      <c r="DU69" s="438">
        <v>0</v>
      </c>
      <c r="DV69" s="438">
        <v>0</v>
      </c>
      <c r="DW69" s="438">
        <v>0</v>
      </c>
      <c r="DX69" s="438">
        <v>0</v>
      </c>
      <c r="DY69" s="438">
        <v>0</v>
      </c>
      <c r="DZ69" s="438">
        <v>0</v>
      </c>
      <c r="EA69" s="438">
        <v>0</v>
      </c>
      <c r="EB69" s="438">
        <v>0</v>
      </c>
      <c r="EC69" s="438">
        <v>2.5299999999999998</v>
      </c>
      <c r="ED69" s="438">
        <v>18212</v>
      </c>
      <c r="EE69" s="438">
        <v>0</v>
      </c>
      <c r="EF69" s="438">
        <v>0</v>
      </c>
      <c r="EG69" s="438">
        <v>0</v>
      </c>
      <c r="EH69" s="438">
        <v>0</v>
      </c>
      <c r="EI69" s="438">
        <v>0</v>
      </c>
      <c r="EJ69" s="438">
        <v>0</v>
      </c>
      <c r="EK69" s="438">
        <v>0</v>
      </c>
      <c r="EL69" s="438">
        <v>0</v>
      </c>
      <c r="EM69" s="438">
        <v>0</v>
      </c>
      <c r="EN69" s="438">
        <v>0</v>
      </c>
      <c r="EO69" s="438">
        <v>0</v>
      </c>
      <c r="EP69" s="438">
        <v>0</v>
      </c>
      <c r="EQ69" s="438">
        <v>0</v>
      </c>
      <c r="ER69" s="438">
        <v>0</v>
      </c>
      <c r="ES69" s="438">
        <v>0</v>
      </c>
      <c r="ET69" s="438">
        <v>0</v>
      </c>
      <c r="EU69" s="438">
        <v>306047</v>
      </c>
      <c r="EV69" s="438">
        <v>0</v>
      </c>
      <c r="EW69" s="438">
        <v>0</v>
      </c>
      <c r="EX69" s="438">
        <v>0</v>
      </c>
      <c r="EZ69" s="438">
        <v>4077688</v>
      </c>
      <c r="FA69" s="438">
        <v>0</v>
      </c>
      <c r="FB69" s="438">
        <v>4383735</v>
      </c>
      <c r="FC69" s="438">
        <v>0.97334900000000002</v>
      </c>
      <c r="FD69" s="438">
        <v>0</v>
      </c>
      <c r="FE69" s="438">
        <v>591110</v>
      </c>
      <c r="FF69" s="438">
        <v>134727</v>
      </c>
      <c r="FG69" s="437">
        <v>5.7854999999999997E-2</v>
      </c>
      <c r="FH69" s="437">
        <v>5.2366000000000003E-2</v>
      </c>
      <c r="FI69" s="438">
        <v>0</v>
      </c>
      <c r="FJ69" s="438">
        <v>0</v>
      </c>
      <c r="FK69" s="438">
        <v>805.25699999999995</v>
      </c>
      <c r="FL69" s="438">
        <v>5109572</v>
      </c>
      <c r="FM69" s="438">
        <v>0</v>
      </c>
      <c r="FN69" s="438">
        <v>0</v>
      </c>
      <c r="FO69" s="438">
        <v>0</v>
      </c>
      <c r="FP69" s="438">
        <v>0</v>
      </c>
      <c r="FQ69" s="438">
        <v>0</v>
      </c>
      <c r="FR69" s="438">
        <v>0</v>
      </c>
      <c r="FS69" s="438">
        <v>0</v>
      </c>
      <c r="FT69" s="438">
        <v>0</v>
      </c>
      <c r="FU69" s="438">
        <v>0</v>
      </c>
      <c r="FV69" s="438">
        <v>0</v>
      </c>
      <c r="FW69" s="438">
        <v>0</v>
      </c>
      <c r="FX69" s="438">
        <v>0</v>
      </c>
      <c r="FY69" s="438">
        <v>0</v>
      </c>
      <c r="FZ69" s="438">
        <v>0</v>
      </c>
      <c r="GA69" s="438">
        <v>0</v>
      </c>
      <c r="GB69" s="438">
        <v>1432410</v>
      </c>
      <c r="GC69" s="438">
        <v>1432410</v>
      </c>
      <c r="GD69" s="438">
        <v>162.13999999999999</v>
      </c>
      <c r="GF69" s="438">
        <v>0</v>
      </c>
      <c r="GG69" s="438">
        <v>0</v>
      </c>
      <c r="GH69" s="438">
        <v>0</v>
      </c>
      <c r="GI69" s="438">
        <v>0</v>
      </c>
      <c r="GJ69" s="438">
        <v>0</v>
      </c>
      <c r="GK69" s="438">
        <v>4818.6130000000003</v>
      </c>
      <c r="GL69" s="438">
        <v>8919</v>
      </c>
      <c r="GM69" s="438">
        <v>0</v>
      </c>
      <c r="GN69" s="438">
        <v>11762</v>
      </c>
      <c r="GO69" s="438">
        <v>0</v>
      </c>
      <c r="GP69" s="438">
        <v>5109572</v>
      </c>
      <c r="GQ69" s="438">
        <v>5109572</v>
      </c>
      <c r="GR69" s="438">
        <v>0</v>
      </c>
      <c r="GS69" s="438">
        <v>0</v>
      </c>
      <c r="GT69" s="438">
        <v>0</v>
      </c>
      <c r="HB69" s="438">
        <v>0</v>
      </c>
      <c r="HC69" s="437">
        <v>6.0754000000000002E-2</v>
      </c>
      <c r="HD69" s="438">
        <v>0</v>
      </c>
    </row>
    <row r="70" spans="1:212" x14ac:dyDescent="0.2">
      <c r="A70" s="438">
        <v>25836</v>
      </c>
      <c r="B70" s="442">
        <v>57841</v>
      </c>
      <c r="C70" s="438">
        <v>9</v>
      </c>
      <c r="D70" s="438">
        <v>2020</v>
      </c>
      <c r="E70" s="438">
        <v>5392</v>
      </c>
      <c r="F70" s="438">
        <v>0</v>
      </c>
      <c r="G70" s="438">
        <v>743.36699999999996</v>
      </c>
      <c r="H70" s="438">
        <v>739.447</v>
      </c>
      <c r="I70" s="438">
        <v>739.447</v>
      </c>
      <c r="J70" s="438">
        <v>743.36699999999996</v>
      </c>
      <c r="K70" s="438">
        <v>0</v>
      </c>
      <c r="L70" s="437">
        <v>6544</v>
      </c>
      <c r="M70" s="438">
        <v>0</v>
      </c>
      <c r="N70" s="438">
        <v>0</v>
      </c>
      <c r="P70" s="438">
        <v>742.31700000000001</v>
      </c>
      <c r="Q70" s="438">
        <v>0</v>
      </c>
      <c r="R70" s="438">
        <v>183788</v>
      </c>
      <c r="S70" s="437">
        <v>247.58699999999999</v>
      </c>
      <c r="U70" s="438">
        <v>0</v>
      </c>
      <c r="V70" s="438">
        <v>396.75</v>
      </c>
      <c r="W70" s="438">
        <v>259633</v>
      </c>
      <c r="X70" s="438">
        <v>259633</v>
      </c>
      <c r="Z70" s="438">
        <v>0</v>
      </c>
      <c r="AA70" s="438">
        <v>1</v>
      </c>
      <c r="AB70" s="438">
        <v>1</v>
      </c>
      <c r="AC70" s="438">
        <v>0</v>
      </c>
      <c r="AD70" s="438" t="s">
        <v>332</v>
      </c>
      <c r="AE70" s="438">
        <v>0</v>
      </c>
      <c r="AH70" s="438">
        <v>0</v>
      </c>
      <c r="AI70" s="438">
        <v>0</v>
      </c>
      <c r="AJ70" s="437">
        <v>5105</v>
      </c>
      <c r="AK70" s="438" t="s">
        <v>561</v>
      </c>
      <c r="AL70" s="438" t="s">
        <v>348</v>
      </c>
      <c r="AM70" s="438">
        <v>0</v>
      </c>
      <c r="AN70" s="438">
        <v>0</v>
      </c>
      <c r="AO70" s="438">
        <v>0</v>
      </c>
      <c r="AP70" s="438">
        <v>0</v>
      </c>
      <c r="AQ70" s="438">
        <v>0</v>
      </c>
      <c r="AR70" s="438">
        <v>0</v>
      </c>
      <c r="AS70" s="438">
        <v>0</v>
      </c>
      <c r="AT70" s="438">
        <v>0</v>
      </c>
      <c r="AU70" s="438">
        <v>0</v>
      </c>
      <c r="AV70" s="438">
        <v>0</v>
      </c>
      <c r="AW70" s="438">
        <v>7205300</v>
      </c>
      <c r="AX70" s="438">
        <v>7198660</v>
      </c>
      <c r="AY70" s="438">
        <v>0</v>
      </c>
      <c r="AZ70" s="438">
        <v>190428</v>
      </c>
      <c r="BA70" s="438">
        <v>0</v>
      </c>
      <c r="BB70" s="438">
        <v>0</v>
      </c>
      <c r="BC70" s="438">
        <v>0</v>
      </c>
      <c r="BD70" s="438">
        <v>0</v>
      </c>
      <c r="BE70" s="438">
        <v>0</v>
      </c>
      <c r="BF70" s="438">
        <v>6131800</v>
      </c>
      <c r="BG70" s="438">
        <v>0</v>
      </c>
      <c r="BH70" s="438">
        <v>24.146000000000001</v>
      </c>
      <c r="BI70" s="438">
        <v>6640</v>
      </c>
      <c r="BJ70" s="438">
        <v>12</v>
      </c>
      <c r="BK70" s="438">
        <v>0</v>
      </c>
      <c r="BL70" s="438">
        <v>0</v>
      </c>
      <c r="BM70" s="438">
        <v>0</v>
      </c>
      <c r="BN70" s="438">
        <v>0</v>
      </c>
      <c r="BO70" s="438">
        <v>0</v>
      </c>
      <c r="BP70" s="438">
        <v>0</v>
      </c>
      <c r="BQ70" s="437">
        <v>5392</v>
      </c>
      <c r="BR70" s="438">
        <v>1</v>
      </c>
      <c r="BS70" s="438">
        <v>0</v>
      </c>
      <c r="BT70" s="438">
        <v>0</v>
      </c>
      <c r="BU70" s="438">
        <v>0</v>
      </c>
      <c r="BV70" s="438">
        <v>0</v>
      </c>
      <c r="BW70" s="438">
        <v>0</v>
      </c>
      <c r="BX70" s="438">
        <v>0</v>
      </c>
      <c r="BY70" s="438">
        <v>0</v>
      </c>
      <c r="BZ70" s="438">
        <v>0</v>
      </c>
      <c r="CA70" s="438">
        <v>0</v>
      </c>
      <c r="CB70" s="438">
        <v>0</v>
      </c>
      <c r="CC70" s="438">
        <v>0</v>
      </c>
      <c r="CG70" s="438">
        <v>0</v>
      </c>
      <c r="CH70" s="438">
        <v>0</v>
      </c>
      <c r="CI70" s="438">
        <v>0</v>
      </c>
      <c r="CJ70" s="438">
        <v>5</v>
      </c>
      <c r="CK70" s="438">
        <v>0</v>
      </c>
      <c r="CL70" s="438">
        <v>0</v>
      </c>
      <c r="CN70" s="438">
        <v>0</v>
      </c>
      <c r="CO70" s="438">
        <v>1</v>
      </c>
      <c r="CP70" s="438">
        <v>0</v>
      </c>
      <c r="CQ70" s="438">
        <v>0</v>
      </c>
      <c r="CR70" s="438">
        <v>743.36699999999996</v>
      </c>
      <c r="CS70" s="438">
        <v>0</v>
      </c>
      <c r="CT70" s="438">
        <v>0</v>
      </c>
      <c r="CU70" s="438">
        <v>0</v>
      </c>
      <c r="CV70" s="438">
        <v>0</v>
      </c>
      <c r="CW70" s="438">
        <v>0</v>
      </c>
      <c r="CX70" s="438">
        <v>0</v>
      </c>
      <c r="CY70" s="438">
        <v>0</v>
      </c>
      <c r="CZ70" s="438">
        <v>0</v>
      </c>
      <c r="DA70" s="438">
        <v>1</v>
      </c>
      <c r="DB70" s="438">
        <v>4838941</v>
      </c>
      <c r="DC70" s="438">
        <v>0</v>
      </c>
      <c r="DD70" s="438">
        <v>0</v>
      </c>
      <c r="DE70" s="438">
        <v>944731</v>
      </c>
      <c r="DF70" s="438">
        <v>944731</v>
      </c>
      <c r="DG70" s="438">
        <v>721.83</v>
      </c>
      <c r="DH70" s="438">
        <v>0</v>
      </c>
      <c r="DI70" s="438">
        <v>0</v>
      </c>
      <c r="DK70" s="437">
        <v>5392</v>
      </c>
      <c r="DL70" s="438">
        <v>0</v>
      </c>
      <c r="DM70" s="438">
        <v>256386</v>
      </c>
      <c r="DN70" s="438">
        <v>0</v>
      </c>
      <c r="DO70" s="438">
        <v>0</v>
      </c>
      <c r="DP70" s="438">
        <v>0</v>
      </c>
      <c r="DQ70" s="438">
        <v>0</v>
      </c>
      <c r="DR70" s="438">
        <v>0</v>
      </c>
      <c r="DS70" s="438">
        <v>0</v>
      </c>
      <c r="DT70" s="438">
        <v>0</v>
      </c>
      <c r="DU70" s="438">
        <v>0</v>
      </c>
      <c r="DV70" s="438">
        <v>0</v>
      </c>
      <c r="DW70" s="438">
        <v>0</v>
      </c>
      <c r="DX70" s="438">
        <v>0</v>
      </c>
      <c r="DY70" s="438">
        <v>0</v>
      </c>
      <c r="DZ70" s="438">
        <v>0</v>
      </c>
      <c r="EA70" s="438">
        <v>0</v>
      </c>
      <c r="EB70" s="438">
        <v>0</v>
      </c>
      <c r="EC70" s="438">
        <v>22.817</v>
      </c>
      <c r="ED70" s="438">
        <v>164246</v>
      </c>
      <c r="EE70" s="438">
        <v>0</v>
      </c>
      <c r="EF70" s="438">
        <v>0</v>
      </c>
      <c r="EG70" s="438">
        <v>0</v>
      </c>
      <c r="EH70" s="438">
        <v>92140</v>
      </c>
      <c r="EI70" s="438">
        <v>0</v>
      </c>
      <c r="EJ70" s="438">
        <v>0</v>
      </c>
      <c r="EK70" s="438">
        <v>2.76</v>
      </c>
      <c r="EL70" s="438">
        <v>0</v>
      </c>
      <c r="EM70" s="438">
        <v>0</v>
      </c>
      <c r="EN70" s="438">
        <v>1.1599999999999999</v>
      </c>
      <c r="EO70" s="438">
        <v>0</v>
      </c>
      <c r="EP70" s="438">
        <v>0</v>
      </c>
      <c r="EQ70" s="438">
        <v>3.92</v>
      </c>
      <c r="ER70" s="438">
        <v>0</v>
      </c>
      <c r="ES70" s="438">
        <v>14.08</v>
      </c>
      <c r="ET70" s="438">
        <v>0</v>
      </c>
      <c r="EU70" s="438">
        <v>190428</v>
      </c>
      <c r="EV70" s="438">
        <v>0</v>
      </c>
      <c r="EW70" s="438">
        <v>0</v>
      </c>
      <c r="EX70" s="438">
        <v>0</v>
      </c>
      <c r="EZ70" s="438">
        <v>6115903</v>
      </c>
      <c r="FA70" s="438">
        <v>0</v>
      </c>
      <c r="FB70" s="438">
        <v>6306331</v>
      </c>
      <c r="FC70" s="438">
        <v>0.97334900000000002</v>
      </c>
      <c r="FD70" s="438">
        <v>0</v>
      </c>
      <c r="FE70" s="438">
        <v>881780</v>
      </c>
      <c r="FF70" s="438">
        <v>200977</v>
      </c>
      <c r="FG70" s="437">
        <v>5.7854999999999997E-2</v>
      </c>
      <c r="FH70" s="437">
        <v>5.2366000000000003E-2</v>
      </c>
      <c r="FI70" s="438">
        <v>0</v>
      </c>
      <c r="FJ70" s="438">
        <v>0</v>
      </c>
      <c r="FK70" s="438">
        <v>1201.23</v>
      </c>
      <c r="FL70" s="438">
        <v>7389088</v>
      </c>
      <c r="FM70" s="438">
        <v>0</v>
      </c>
      <c r="FN70" s="438">
        <v>0</v>
      </c>
      <c r="FO70" s="438">
        <v>0</v>
      </c>
      <c r="FP70" s="438">
        <v>0</v>
      </c>
      <c r="FQ70" s="438">
        <v>0</v>
      </c>
      <c r="FR70" s="438">
        <v>0</v>
      </c>
      <c r="FS70" s="438">
        <v>0</v>
      </c>
      <c r="FT70" s="438">
        <v>0</v>
      </c>
      <c r="FU70" s="438">
        <v>0</v>
      </c>
      <c r="FV70" s="438">
        <v>0</v>
      </c>
      <c r="FW70" s="438">
        <v>0</v>
      </c>
      <c r="FX70" s="438">
        <v>0</v>
      </c>
      <c r="FY70" s="438">
        <v>0</v>
      </c>
      <c r="FZ70" s="438">
        <v>0</v>
      </c>
      <c r="GA70" s="438">
        <v>0</v>
      </c>
      <c r="GB70" s="438">
        <v>0</v>
      </c>
      <c r="GC70" s="438">
        <v>0</v>
      </c>
      <c r="GD70" s="438">
        <v>0</v>
      </c>
      <c r="GF70" s="438">
        <v>0</v>
      </c>
      <c r="GG70" s="438">
        <v>0</v>
      </c>
      <c r="GH70" s="438">
        <v>0</v>
      </c>
      <c r="GI70" s="438">
        <v>0</v>
      </c>
      <c r="GJ70" s="438">
        <v>0</v>
      </c>
      <c r="GK70" s="438">
        <v>4604.6369999999997</v>
      </c>
      <c r="GL70" s="438">
        <v>2677</v>
      </c>
      <c r="GM70" s="438">
        <v>0</v>
      </c>
      <c r="GN70" s="438">
        <v>0</v>
      </c>
      <c r="GO70" s="438">
        <v>0</v>
      </c>
      <c r="GP70" s="438">
        <v>7389088</v>
      </c>
      <c r="GQ70" s="438">
        <v>7389088</v>
      </c>
      <c r="GR70" s="438">
        <v>0</v>
      </c>
      <c r="GS70" s="438">
        <v>0</v>
      </c>
      <c r="GT70" s="438">
        <v>0</v>
      </c>
      <c r="HB70" s="438">
        <v>0</v>
      </c>
      <c r="HC70" s="437">
        <v>6.0754000000000002E-2</v>
      </c>
      <c r="HD70" s="438">
        <v>0</v>
      </c>
    </row>
    <row r="71" spans="1:212" x14ac:dyDescent="0.2">
      <c r="A71" s="438">
        <v>25836</v>
      </c>
      <c r="B71" s="442">
        <v>57844</v>
      </c>
      <c r="C71" s="438">
        <v>9</v>
      </c>
      <c r="D71" s="438">
        <v>2020</v>
      </c>
      <c r="E71" s="438">
        <v>5392</v>
      </c>
      <c r="F71" s="438">
        <v>0</v>
      </c>
      <c r="G71" s="438">
        <v>814.21799999999996</v>
      </c>
      <c r="H71" s="438">
        <v>801.50900000000001</v>
      </c>
      <c r="I71" s="438">
        <v>801.50900000000001</v>
      </c>
      <c r="J71" s="438">
        <v>814.21799999999996</v>
      </c>
      <c r="K71" s="438">
        <v>0</v>
      </c>
      <c r="L71" s="437">
        <v>6544</v>
      </c>
      <c r="M71" s="438">
        <v>0</v>
      </c>
      <c r="N71" s="438">
        <v>0</v>
      </c>
      <c r="P71" s="438">
        <v>814.60699999999997</v>
      </c>
      <c r="Q71" s="438">
        <v>0</v>
      </c>
      <c r="R71" s="438">
        <v>201686</v>
      </c>
      <c r="S71" s="437">
        <v>247.58699999999999</v>
      </c>
      <c r="U71" s="438">
        <v>0</v>
      </c>
      <c r="V71" s="438">
        <v>252.315</v>
      </c>
      <c r="W71" s="438">
        <v>165115</v>
      </c>
      <c r="X71" s="438">
        <v>165115</v>
      </c>
      <c r="Z71" s="438">
        <v>0</v>
      </c>
      <c r="AA71" s="438">
        <v>1</v>
      </c>
      <c r="AB71" s="438">
        <v>1</v>
      </c>
      <c r="AC71" s="438">
        <v>0</v>
      </c>
      <c r="AD71" s="438" t="s">
        <v>332</v>
      </c>
      <c r="AE71" s="438">
        <v>0</v>
      </c>
      <c r="AH71" s="438">
        <v>0</v>
      </c>
      <c r="AI71" s="438">
        <v>0</v>
      </c>
      <c r="AJ71" s="437">
        <v>5105</v>
      </c>
      <c r="AK71" s="438" t="s">
        <v>561</v>
      </c>
      <c r="AL71" s="438" t="s">
        <v>349</v>
      </c>
      <c r="AM71" s="438">
        <v>0</v>
      </c>
      <c r="AN71" s="438">
        <v>0</v>
      </c>
      <c r="AO71" s="438">
        <v>0</v>
      </c>
      <c r="AP71" s="438">
        <v>0</v>
      </c>
      <c r="AQ71" s="438">
        <v>0</v>
      </c>
      <c r="AR71" s="438">
        <v>0</v>
      </c>
      <c r="AS71" s="438">
        <v>0</v>
      </c>
      <c r="AT71" s="438">
        <v>0</v>
      </c>
      <c r="AU71" s="438">
        <v>0</v>
      </c>
      <c r="AV71" s="438">
        <v>0</v>
      </c>
      <c r="AW71" s="438">
        <v>7535865</v>
      </c>
      <c r="AX71" s="438">
        <v>7506605</v>
      </c>
      <c r="AY71" s="438">
        <v>0</v>
      </c>
      <c r="AZ71" s="438">
        <v>230946</v>
      </c>
      <c r="BA71" s="438">
        <v>0</v>
      </c>
      <c r="BB71" s="438">
        <v>0</v>
      </c>
      <c r="BC71" s="438">
        <v>0</v>
      </c>
      <c r="BD71" s="438">
        <v>0</v>
      </c>
      <c r="BE71" s="438">
        <v>0</v>
      </c>
      <c r="BF71" s="438">
        <v>6326757</v>
      </c>
      <c r="BG71" s="438">
        <v>0</v>
      </c>
      <c r="BH71" s="438">
        <v>106.4</v>
      </c>
      <c r="BI71" s="438">
        <v>29260</v>
      </c>
      <c r="BJ71" s="438">
        <v>12</v>
      </c>
      <c r="BK71" s="438">
        <v>0</v>
      </c>
      <c r="BL71" s="438">
        <v>0</v>
      </c>
      <c r="BM71" s="438">
        <v>0</v>
      </c>
      <c r="BN71" s="438">
        <v>0</v>
      </c>
      <c r="BO71" s="438">
        <v>0</v>
      </c>
      <c r="BP71" s="438">
        <v>0</v>
      </c>
      <c r="BQ71" s="437">
        <v>5392</v>
      </c>
      <c r="BR71" s="438">
        <v>1</v>
      </c>
      <c r="BS71" s="438">
        <v>0</v>
      </c>
      <c r="BT71" s="438">
        <v>0</v>
      </c>
      <c r="BU71" s="438">
        <v>0</v>
      </c>
      <c r="BV71" s="438">
        <v>0</v>
      </c>
      <c r="BW71" s="438">
        <v>0</v>
      </c>
      <c r="BX71" s="438">
        <v>0</v>
      </c>
      <c r="BY71" s="438">
        <v>0</v>
      </c>
      <c r="BZ71" s="438">
        <v>0</v>
      </c>
      <c r="CA71" s="438">
        <v>0</v>
      </c>
      <c r="CB71" s="438">
        <v>0</v>
      </c>
      <c r="CC71" s="438">
        <v>0</v>
      </c>
      <c r="CG71" s="438">
        <v>0</v>
      </c>
      <c r="CH71" s="438">
        <v>0</v>
      </c>
      <c r="CI71" s="438">
        <v>0</v>
      </c>
      <c r="CJ71" s="438">
        <v>4</v>
      </c>
      <c r="CK71" s="438">
        <v>0</v>
      </c>
      <c r="CL71" s="438">
        <v>0</v>
      </c>
      <c r="CN71" s="438">
        <v>0</v>
      </c>
      <c r="CO71" s="438">
        <v>1</v>
      </c>
      <c r="CP71" s="438">
        <v>0</v>
      </c>
      <c r="CQ71" s="438">
        <v>0</v>
      </c>
      <c r="CR71" s="438">
        <v>814.21799999999996</v>
      </c>
      <c r="CS71" s="438">
        <v>0</v>
      </c>
      <c r="CT71" s="438">
        <v>0</v>
      </c>
      <c r="CU71" s="438">
        <v>0</v>
      </c>
      <c r="CV71" s="438">
        <v>0</v>
      </c>
      <c r="CW71" s="438">
        <v>0</v>
      </c>
      <c r="CX71" s="438">
        <v>0</v>
      </c>
      <c r="CY71" s="438">
        <v>0</v>
      </c>
      <c r="CZ71" s="438">
        <v>0</v>
      </c>
      <c r="DA71" s="438">
        <v>1</v>
      </c>
      <c r="DB71" s="438">
        <v>5245075</v>
      </c>
      <c r="DC71" s="438">
        <v>0</v>
      </c>
      <c r="DD71" s="438">
        <v>0</v>
      </c>
      <c r="DE71" s="438">
        <v>691701</v>
      </c>
      <c r="DF71" s="438">
        <v>691701</v>
      </c>
      <c r="DG71" s="438">
        <v>528.5</v>
      </c>
      <c r="DH71" s="438">
        <v>0</v>
      </c>
      <c r="DI71" s="438">
        <v>0</v>
      </c>
      <c r="DK71" s="437">
        <v>5392</v>
      </c>
      <c r="DL71" s="438">
        <v>0</v>
      </c>
      <c r="DM71" s="438">
        <v>395886</v>
      </c>
      <c r="DN71" s="438">
        <v>0</v>
      </c>
      <c r="DO71" s="438">
        <v>0</v>
      </c>
      <c r="DP71" s="438">
        <v>0</v>
      </c>
      <c r="DQ71" s="438">
        <v>0</v>
      </c>
      <c r="DR71" s="438">
        <v>0</v>
      </c>
      <c r="DS71" s="438">
        <v>0</v>
      </c>
      <c r="DT71" s="438">
        <v>0</v>
      </c>
      <c r="DU71" s="438">
        <v>0</v>
      </c>
      <c r="DV71" s="438">
        <v>0</v>
      </c>
      <c r="DW71" s="438">
        <v>0</v>
      </c>
      <c r="DX71" s="438">
        <v>0</v>
      </c>
      <c r="DY71" s="438">
        <v>0</v>
      </c>
      <c r="DZ71" s="438">
        <v>0</v>
      </c>
      <c r="EA71" s="438">
        <v>0.158</v>
      </c>
      <c r="EB71" s="438">
        <v>0</v>
      </c>
      <c r="EC71" s="438">
        <v>18.93</v>
      </c>
      <c r="ED71" s="438">
        <v>136266</v>
      </c>
      <c r="EE71" s="438">
        <v>0</v>
      </c>
      <c r="EF71" s="438">
        <v>0</v>
      </c>
      <c r="EG71" s="438">
        <v>0</v>
      </c>
      <c r="EH71" s="438">
        <v>259620</v>
      </c>
      <c r="EI71" s="438">
        <v>0</v>
      </c>
      <c r="EJ71" s="438">
        <v>0</v>
      </c>
      <c r="EK71" s="438">
        <v>9.2390000000000008</v>
      </c>
      <c r="EL71" s="438">
        <v>0</v>
      </c>
      <c r="EM71" s="438">
        <v>2.0720000000000001</v>
      </c>
      <c r="EN71" s="438">
        <v>0.99</v>
      </c>
      <c r="EO71" s="438">
        <v>0</v>
      </c>
      <c r="EP71" s="438">
        <v>0</v>
      </c>
      <c r="EQ71" s="438">
        <v>12.459</v>
      </c>
      <c r="ER71" s="438">
        <v>0</v>
      </c>
      <c r="ES71" s="438">
        <v>39.673000000000002</v>
      </c>
      <c r="ET71" s="438">
        <v>0</v>
      </c>
      <c r="EU71" s="438">
        <v>230946</v>
      </c>
      <c r="EV71" s="438">
        <v>0</v>
      </c>
      <c r="EW71" s="438">
        <v>0</v>
      </c>
      <c r="EX71" s="438">
        <v>0</v>
      </c>
      <c r="EZ71" s="438">
        <v>6389422</v>
      </c>
      <c r="FA71" s="438">
        <v>0</v>
      </c>
      <c r="FB71" s="438">
        <v>6620368</v>
      </c>
      <c r="FC71" s="438">
        <v>0.97334900000000002</v>
      </c>
      <c r="FD71" s="438">
        <v>0</v>
      </c>
      <c r="FE71" s="438">
        <v>909816</v>
      </c>
      <c r="FF71" s="438">
        <v>207367</v>
      </c>
      <c r="FG71" s="437">
        <v>5.7854999999999997E-2</v>
      </c>
      <c r="FH71" s="437">
        <v>5.2366000000000003E-2</v>
      </c>
      <c r="FI71" s="438">
        <v>0</v>
      </c>
      <c r="FJ71" s="438">
        <v>0</v>
      </c>
      <c r="FK71" s="438">
        <v>1239.423</v>
      </c>
      <c r="FL71" s="438">
        <v>7737551</v>
      </c>
      <c r="FM71" s="438">
        <v>0</v>
      </c>
      <c r="FN71" s="438">
        <v>0</v>
      </c>
      <c r="FO71" s="438">
        <v>91122</v>
      </c>
      <c r="FP71" s="438">
        <v>0</v>
      </c>
      <c r="FQ71" s="438">
        <v>91122</v>
      </c>
      <c r="FR71" s="438">
        <v>91122</v>
      </c>
      <c r="FS71" s="438">
        <v>0</v>
      </c>
      <c r="FT71" s="438">
        <v>0</v>
      </c>
      <c r="FU71" s="438">
        <v>0</v>
      </c>
      <c r="FV71" s="438">
        <v>0</v>
      </c>
      <c r="FW71" s="438">
        <v>0</v>
      </c>
      <c r="FX71" s="438">
        <v>0</v>
      </c>
      <c r="FY71" s="438">
        <v>0</v>
      </c>
      <c r="FZ71" s="438">
        <v>0</v>
      </c>
      <c r="GA71" s="438">
        <v>0</v>
      </c>
      <c r="GB71" s="438">
        <v>2209</v>
      </c>
      <c r="GC71" s="438">
        <v>2209</v>
      </c>
      <c r="GD71" s="438">
        <v>0.25</v>
      </c>
      <c r="GF71" s="438">
        <v>0</v>
      </c>
      <c r="GG71" s="438">
        <v>0</v>
      </c>
      <c r="GH71" s="438">
        <v>0</v>
      </c>
      <c r="GI71" s="438">
        <v>0</v>
      </c>
      <c r="GJ71" s="438">
        <v>0</v>
      </c>
      <c r="GK71" s="438">
        <v>4699.12</v>
      </c>
      <c r="GL71" s="438">
        <v>0</v>
      </c>
      <c r="GM71" s="438">
        <v>0</v>
      </c>
      <c r="GN71" s="438">
        <v>34641</v>
      </c>
      <c r="GO71" s="438">
        <v>0</v>
      </c>
      <c r="GP71" s="438">
        <v>7737551</v>
      </c>
      <c r="GQ71" s="438">
        <v>7737551</v>
      </c>
      <c r="GR71" s="438">
        <v>0</v>
      </c>
      <c r="GS71" s="438">
        <v>0</v>
      </c>
      <c r="GT71" s="438">
        <v>0</v>
      </c>
      <c r="HB71" s="438">
        <v>0</v>
      </c>
      <c r="HC71" s="437">
        <v>6.0754000000000002E-2</v>
      </c>
      <c r="HD71" s="438">
        <v>0</v>
      </c>
    </row>
    <row r="72" spans="1:212" x14ac:dyDescent="0.2">
      <c r="A72" s="438">
        <v>25836</v>
      </c>
      <c r="B72" s="442">
        <v>57845</v>
      </c>
      <c r="C72" s="438">
        <v>9</v>
      </c>
      <c r="D72" s="438">
        <v>2020</v>
      </c>
      <c r="E72" s="438">
        <v>5392</v>
      </c>
      <c r="F72" s="438">
        <v>0</v>
      </c>
      <c r="G72" s="438">
        <v>804.95</v>
      </c>
      <c r="H72" s="438">
        <v>785.26300000000003</v>
      </c>
      <c r="I72" s="438">
        <v>785.26300000000003</v>
      </c>
      <c r="J72" s="438">
        <v>804.95</v>
      </c>
      <c r="K72" s="438">
        <v>0</v>
      </c>
      <c r="L72" s="437">
        <v>6544</v>
      </c>
      <c r="M72" s="438">
        <v>0</v>
      </c>
      <c r="N72" s="438">
        <v>0</v>
      </c>
      <c r="P72" s="438">
        <v>800</v>
      </c>
      <c r="Q72" s="438">
        <v>0</v>
      </c>
      <c r="R72" s="438">
        <v>198070</v>
      </c>
      <c r="S72" s="437">
        <v>247.58699999999999</v>
      </c>
      <c r="U72" s="438">
        <v>0</v>
      </c>
      <c r="V72" s="438">
        <v>51</v>
      </c>
      <c r="W72" s="438">
        <v>33374</v>
      </c>
      <c r="X72" s="438">
        <v>33374</v>
      </c>
      <c r="Z72" s="438">
        <v>0</v>
      </c>
      <c r="AA72" s="438">
        <v>1</v>
      </c>
      <c r="AB72" s="438">
        <v>1</v>
      </c>
      <c r="AC72" s="438">
        <v>0</v>
      </c>
      <c r="AD72" s="438" t="s">
        <v>332</v>
      </c>
      <c r="AE72" s="438">
        <v>0</v>
      </c>
      <c r="AH72" s="438">
        <v>0</v>
      </c>
      <c r="AI72" s="438">
        <v>0</v>
      </c>
      <c r="AJ72" s="437">
        <v>5105</v>
      </c>
      <c r="AK72" s="438" t="s">
        <v>561</v>
      </c>
      <c r="AL72" s="438" t="s">
        <v>124</v>
      </c>
      <c r="AM72" s="438">
        <v>0</v>
      </c>
      <c r="AN72" s="438">
        <v>0</v>
      </c>
      <c r="AO72" s="438">
        <v>0</v>
      </c>
      <c r="AP72" s="438">
        <v>0</v>
      </c>
      <c r="AQ72" s="438">
        <v>0</v>
      </c>
      <c r="AR72" s="438">
        <v>0</v>
      </c>
      <c r="AS72" s="438">
        <v>0</v>
      </c>
      <c r="AT72" s="438">
        <v>0</v>
      </c>
      <c r="AU72" s="438">
        <v>0</v>
      </c>
      <c r="AV72" s="438">
        <v>0</v>
      </c>
      <c r="AW72" s="438">
        <v>6568224</v>
      </c>
      <c r="AX72" s="438">
        <v>6512495</v>
      </c>
      <c r="AY72" s="438">
        <v>0</v>
      </c>
      <c r="AZ72" s="438">
        <v>253799</v>
      </c>
      <c r="BA72" s="438">
        <v>0</v>
      </c>
      <c r="BB72" s="438">
        <v>0</v>
      </c>
      <c r="BC72" s="438">
        <v>0</v>
      </c>
      <c r="BD72" s="438">
        <v>0</v>
      </c>
      <c r="BE72" s="438">
        <v>0</v>
      </c>
      <c r="BF72" s="438">
        <v>5573740</v>
      </c>
      <c r="BG72" s="438">
        <v>0</v>
      </c>
      <c r="BH72" s="438">
        <v>202.65</v>
      </c>
      <c r="BI72" s="438">
        <v>55729</v>
      </c>
      <c r="BJ72" s="438">
        <v>12</v>
      </c>
      <c r="BK72" s="438">
        <v>0</v>
      </c>
      <c r="BL72" s="438">
        <v>0</v>
      </c>
      <c r="BM72" s="438">
        <v>0</v>
      </c>
      <c r="BN72" s="438">
        <v>0</v>
      </c>
      <c r="BO72" s="438">
        <v>0</v>
      </c>
      <c r="BP72" s="438">
        <v>0</v>
      </c>
      <c r="BQ72" s="437">
        <v>5392</v>
      </c>
      <c r="BR72" s="438">
        <v>1</v>
      </c>
      <c r="BS72" s="438">
        <v>0</v>
      </c>
      <c r="BT72" s="438">
        <v>0</v>
      </c>
      <c r="BU72" s="438">
        <v>0</v>
      </c>
      <c r="BV72" s="438">
        <v>0</v>
      </c>
      <c r="BW72" s="438">
        <v>0</v>
      </c>
      <c r="BX72" s="438">
        <v>0</v>
      </c>
      <c r="BY72" s="438">
        <v>0</v>
      </c>
      <c r="BZ72" s="438">
        <v>0</v>
      </c>
      <c r="CA72" s="438">
        <v>0</v>
      </c>
      <c r="CB72" s="438">
        <v>0</v>
      </c>
      <c r="CC72" s="438">
        <v>0</v>
      </c>
      <c r="CG72" s="438">
        <v>0</v>
      </c>
      <c r="CH72" s="438">
        <v>0</v>
      </c>
      <c r="CI72" s="438">
        <v>0</v>
      </c>
      <c r="CJ72" s="438">
        <v>5</v>
      </c>
      <c r="CK72" s="438">
        <v>0</v>
      </c>
      <c r="CL72" s="438">
        <v>0</v>
      </c>
      <c r="CN72" s="438">
        <v>0</v>
      </c>
      <c r="CO72" s="438">
        <v>1</v>
      </c>
      <c r="CP72" s="438">
        <v>0</v>
      </c>
      <c r="CQ72" s="438">
        <v>0</v>
      </c>
      <c r="CR72" s="438">
        <v>804.95</v>
      </c>
      <c r="CS72" s="438">
        <v>0</v>
      </c>
      <c r="CT72" s="438">
        <v>0</v>
      </c>
      <c r="CU72" s="438">
        <v>0</v>
      </c>
      <c r="CV72" s="438">
        <v>0</v>
      </c>
      <c r="CW72" s="438">
        <v>0</v>
      </c>
      <c r="CX72" s="438">
        <v>0</v>
      </c>
      <c r="CY72" s="438">
        <v>0</v>
      </c>
      <c r="CZ72" s="438">
        <v>0</v>
      </c>
      <c r="DA72" s="438">
        <v>1</v>
      </c>
      <c r="DB72" s="438">
        <v>5138761</v>
      </c>
      <c r="DC72" s="438">
        <v>0</v>
      </c>
      <c r="DD72" s="438">
        <v>0</v>
      </c>
      <c r="DE72" s="438">
        <v>254562</v>
      </c>
      <c r="DF72" s="438">
        <v>254562</v>
      </c>
      <c r="DG72" s="438">
        <v>194.5</v>
      </c>
      <c r="DH72" s="438">
        <v>0</v>
      </c>
      <c r="DI72" s="438">
        <v>0</v>
      </c>
      <c r="DK72" s="437">
        <v>5392</v>
      </c>
      <c r="DL72" s="438">
        <v>0</v>
      </c>
      <c r="DM72" s="438">
        <v>206601</v>
      </c>
      <c r="DN72" s="438">
        <v>0</v>
      </c>
      <c r="DO72" s="438">
        <v>0</v>
      </c>
      <c r="DP72" s="438">
        <v>0</v>
      </c>
      <c r="DQ72" s="438">
        <v>0</v>
      </c>
      <c r="DR72" s="438">
        <v>0</v>
      </c>
      <c r="DS72" s="438">
        <v>0</v>
      </c>
      <c r="DT72" s="438">
        <v>0</v>
      </c>
      <c r="DU72" s="438">
        <v>0</v>
      </c>
      <c r="DV72" s="438">
        <v>0</v>
      </c>
      <c r="DW72" s="438">
        <v>0</v>
      </c>
      <c r="DX72" s="438">
        <v>0</v>
      </c>
      <c r="DY72" s="438">
        <v>0</v>
      </c>
      <c r="DZ72" s="438">
        <v>0</v>
      </c>
      <c r="EA72" s="438">
        <v>0</v>
      </c>
      <c r="EB72" s="438">
        <v>0</v>
      </c>
      <c r="EC72" s="438">
        <v>1.85</v>
      </c>
      <c r="ED72" s="438">
        <v>13317</v>
      </c>
      <c r="EE72" s="438">
        <v>0</v>
      </c>
      <c r="EF72" s="438">
        <v>0</v>
      </c>
      <c r="EG72" s="438">
        <v>0</v>
      </c>
      <c r="EH72" s="438">
        <v>193284</v>
      </c>
      <c r="EI72" s="438">
        <v>0</v>
      </c>
      <c r="EJ72" s="438">
        <v>0</v>
      </c>
      <c r="EK72" s="438">
        <v>8.1170000000000009</v>
      </c>
      <c r="EL72" s="438">
        <v>0</v>
      </c>
      <c r="EM72" s="438">
        <v>0</v>
      </c>
      <c r="EN72" s="438">
        <v>1.0369999999999999</v>
      </c>
      <c r="EO72" s="438">
        <v>0</v>
      </c>
      <c r="EP72" s="438">
        <v>0</v>
      </c>
      <c r="EQ72" s="438">
        <v>9.1539999999999999</v>
      </c>
      <c r="ER72" s="438">
        <v>0</v>
      </c>
      <c r="ES72" s="438">
        <v>29.536000000000001</v>
      </c>
      <c r="ET72" s="438">
        <v>0</v>
      </c>
      <c r="EU72" s="438">
        <v>253799</v>
      </c>
      <c r="EV72" s="438">
        <v>0</v>
      </c>
      <c r="EW72" s="438">
        <v>0</v>
      </c>
      <c r="EX72" s="438">
        <v>0</v>
      </c>
      <c r="EZ72" s="438">
        <v>5528281</v>
      </c>
      <c r="FA72" s="438">
        <v>0</v>
      </c>
      <c r="FB72" s="438">
        <v>5782080</v>
      </c>
      <c r="FC72" s="438">
        <v>0.97334900000000002</v>
      </c>
      <c r="FD72" s="438">
        <v>0</v>
      </c>
      <c r="FE72" s="438">
        <v>801528</v>
      </c>
      <c r="FF72" s="438">
        <v>182686</v>
      </c>
      <c r="FG72" s="437">
        <v>5.7854999999999997E-2</v>
      </c>
      <c r="FH72" s="437">
        <v>5.2366000000000003E-2</v>
      </c>
      <c r="FI72" s="438">
        <v>0</v>
      </c>
      <c r="FJ72" s="438">
        <v>0</v>
      </c>
      <c r="FK72" s="438">
        <v>1091.905</v>
      </c>
      <c r="FL72" s="438">
        <v>6766294</v>
      </c>
      <c r="FM72" s="438">
        <v>0</v>
      </c>
      <c r="FN72" s="438">
        <v>0</v>
      </c>
      <c r="FO72" s="438">
        <v>0</v>
      </c>
      <c r="FP72" s="438">
        <v>0</v>
      </c>
      <c r="FQ72" s="438">
        <v>0</v>
      </c>
      <c r="FR72" s="438">
        <v>0</v>
      </c>
      <c r="FS72" s="438">
        <v>0</v>
      </c>
      <c r="FT72" s="438">
        <v>0</v>
      </c>
      <c r="FU72" s="438">
        <v>0</v>
      </c>
      <c r="FV72" s="438">
        <v>0</v>
      </c>
      <c r="FW72" s="438">
        <v>0</v>
      </c>
      <c r="FX72" s="438">
        <v>0</v>
      </c>
      <c r="FY72" s="438">
        <v>0</v>
      </c>
      <c r="FZ72" s="438">
        <v>0</v>
      </c>
      <c r="GA72" s="438">
        <v>0</v>
      </c>
      <c r="GB72" s="438">
        <v>93053</v>
      </c>
      <c r="GC72" s="438">
        <v>93053</v>
      </c>
      <c r="GD72" s="438">
        <v>10.532999999999999</v>
      </c>
      <c r="GF72" s="438">
        <v>0</v>
      </c>
      <c r="GG72" s="438">
        <v>0</v>
      </c>
      <c r="GH72" s="438">
        <v>0</v>
      </c>
      <c r="GI72" s="438">
        <v>0</v>
      </c>
      <c r="GJ72" s="438">
        <v>0</v>
      </c>
      <c r="GK72" s="438">
        <v>4604.6369999999997</v>
      </c>
      <c r="GL72" s="438">
        <v>0</v>
      </c>
      <c r="GM72" s="438">
        <v>0</v>
      </c>
      <c r="GN72" s="438">
        <v>0</v>
      </c>
      <c r="GO72" s="438">
        <v>0</v>
      </c>
      <c r="GP72" s="438">
        <v>6766294</v>
      </c>
      <c r="GQ72" s="438">
        <v>6766294</v>
      </c>
      <c r="GR72" s="438">
        <v>0</v>
      </c>
      <c r="GS72" s="438">
        <v>0</v>
      </c>
      <c r="GT72" s="438">
        <v>0</v>
      </c>
      <c r="HB72" s="438">
        <v>0</v>
      </c>
      <c r="HC72" s="437">
        <v>6.0754000000000002E-2</v>
      </c>
      <c r="HD72" s="438">
        <v>0</v>
      </c>
    </row>
    <row r="73" spans="1:212" x14ac:dyDescent="0.2">
      <c r="A73" s="438">
        <v>25836</v>
      </c>
      <c r="B73" s="442">
        <v>57846</v>
      </c>
      <c r="C73" s="438">
        <v>9</v>
      </c>
      <c r="D73" s="438">
        <v>2020</v>
      </c>
      <c r="E73" s="438">
        <v>5392</v>
      </c>
      <c r="F73" s="438">
        <v>0</v>
      </c>
      <c r="G73" s="438">
        <v>1330.7170000000001</v>
      </c>
      <c r="H73" s="438">
        <v>1278.5360000000001</v>
      </c>
      <c r="I73" s="438">
        <v>1278.5360000000001</v>
      </c>
      <c r="J73" s="438">
        <v>1330.7170000000001</v>
      </c>
      <c r="K73" s="438">
        <v>0</v>
      </c>
      <c r="L73" s="437">
        <v>6544</v>
      </c>
      <c r="M73" s="438">
        <v>0</v>
      </c>
      <c r="N73" s="438">
        <v>0</v>
      </c>
      <c r="P73" s="438">
        <v>1331.9670000000001</v>
      </c>
      <c r="Q73" s="438">
        <v>0</v>
      </c>
      <c r="R73" s="438">
        <v>329778</v>
      </c>
      <c r="S73" s="437">
        <v>247.58699999999999</v>
      </c>
      <c r="U73" s="438">
        <v>0</v>
      </c>
      <c r="V73" s="438">
        <v>436.15</v>
      </c>
      <c r="W73" s="438">
        <v>285417</v>
      </c>
      <c r="X73" s="438">
        <v>285417</v>
      </c>
      <c r="Z73" s="438">
        <v>0</v>
      </c>
      <c r="AA73" s="438">
        <v>1</v>
      </c>
      <c r="AB73" s="438">
        <v>1</v>
      </c>
      <c r="AC73" s="438">
        <v>0</v>
      </c>
      <c r="AD73" s="438" t="s">
        <v>332</v>
      </c>
      <c r="AE73" s="438">
        <v>0</v>
      </c>
      <c r="AH73" s="438">
        <v>0</v>
      </c>
      <c r="AI73" s="438">
        <v>0</v>
      </c>
      <c r="AJ73" s="437">
        <v>5105</v>
      </c>
      <c r="AK73" s="438" t="s">
        <v>561</v>
      </c>
      <c r="AL73" s="438" t="s">
        <v>125</v>
      </c>
      <c r="AM73" s="438">
        <v>0</v>
      </c>
      <c r="AN73" s="438">
        <v>0</v>
      </c>
      <c r="AO73" s="438">
        <v>0</v>
      </c>
      <c r="AP73" s="438">
        <v>0</v>
      </c>
      <c r="AQ73" s="438">
        <v>0</v>
      </c>
      <c r="AR73" s="438">
        <v>0</v>
      </c>
      <c r="AS73" s="438">
        <v>0</v>
      </c>
      <c r="AT73" s="438">
        <v>0</v>
      </c>
      <c r="AU73" s="438">
        <v>0</v>
      </c>
      <c r="AV73" s="438">
        <v>0</v>
      </c>
      <c r="AW73" s="438">
        <v>12810840</v>
      </c>
      <c r="AX73" s="438">
        <v>12716309</v>
      </c>
      <c r="AY73" s="438">
        <v>0</v>
      </c>
      <c r="AZ73" s="438">
        <v>424309</v>
      </c>
      <c r="BA73" s="438">
        <v>0</v>
      </c>
      <c r="BB73" s="438">
        <v>51828</v>
      </c>
      <c r="BC73" s="438">
        <v>51828</v>
      </c>
      <c r="BD73" s="438">
        <v>66</v>
      </c>
      <c r="BE73" s="438">
        <v>0</v>
      </c>
      <c r="BF73" s="438">
        <v>10835972</v>
      </c>
      <c r="BG73" s="438">
        <v>0</v>
      </c>
      <c r="BH73" s="438">
        <v>343.75</v>
      </c>
      <c r="BI73" s="438">
        <v>94531</v>
      </c>
      <c r="BJ73" s="438">
        <v>12</v>
      </c>
      <c r="BK73" s="438">
        <v>0</v>
      </c>
      <c r="BL73" s="438">
        <v>0</v>
      </c>
      <c r="BM73" s="438">
        <v>0</v>
      </c>
      <c r="BN73" s="438">
        <v>0</v>
      </c>
      <c r="BO73" s="438">
        <v>0</v>
      </c>
      <c r="BP73" s="438">
        <v>0</v>
      </c>
      <c r="BQ73" s="437">
        <v>5392</v>
      </c>
      <c r="BR73" s="438">
        <v>1</v>
      </c>
      <c r="BS73" s="438">
        <v>0</v>
      </c>
      <c r="BT73" s="438">
        <v>0</v>
      </c>
      <c r="BU73" s="438">
        <v>0</v>
      </c>
      <c r="BV73" s="438">
        <v>0</v>
      </c>
      <c r="BW73" s="438">
        <v>0</v>
      </c>
      <c r="BX73" s="438">
        <v>0</v>
      </c>
      <c r="BY73" s="438">
        <v>0</v>
      </c>
      <c r="BZ73" s="438">
        <v>0</v>
      </c>
      <c r="CA73" s="438">
        <v>0</v>
      </c>
      <c r="CB73" s="438">
        <v>0</v>
      </c>
      <c r="CC73" s="438">
        <v>0</v>
      </c>
      <c r="CG73" s="438">
        <v>0</v>
      </c>
      <c r="CH73" s="438">
        <v>0</v>
      </c>
      <c r="CI73" s="438">
        <v>0</v>
      </c>
      <c r="CJ73" s="438">
        <v>4</v>
      </c>
      <c r="CK73" s="438">
        <v>0</v>
      </c>
      <c r="CL73" s="438">
        <v>0</v>
      </c>
      <c r="CN73" s="438">
        <v>0</v>
      </c>
      <c r="CO73" s="438">
        <v>1</v>
      </c>
      <c r="CP73" s="438">
        <v>6.4000000000000001E-2</v>
      </c>
      <c r="CQ73" s="438">
        <v>0</v>
      </c>
      <c r="CR73" s="438">
        <v>1330.7170000000001</v>
      </c>
      <c r="CS73" s="438">
        <v>0</v>
      </c>
      <c r="CT73" s="438">
        <v>0</v>
      </c>
      <c r="CU73" s="438">
        <v>0</v>
      </c>
      <c r="CV73" s="438">
        <v>0</v>
      </c>
      <c r="CW73" s="438">
        <v>0</v>
      </c>
      <c r="CX73" s="438">
        <v>0</v>
      </c>
      <c r="CY73" s="438">
        <v>0</v>
      </c>
      <c r="CZ73" s="438">
        <v>0</v>
      </c>
      <c r="DA73" s="438">
        <v>1</v>
      </c>
      <c r="DB73" s="438">
        <v>8366740</v>
      </c>
      <c r="DC73" s="438">
        <v>0</v>
      </c>
      <c r="DD73" s="438">
        <v>0</v>
      </c>
      <c r="DE73" s="438">
        <v>1349150</v>
      </c>
      <c r="DF73" s="438">
        <v>1350159</v>
      </c>
      <c r="DG73" s="438">
        <v>1030.83</v>
      </c>
      <c r="DH73" s="438">
        <v>0</v>
      </c>
      <c r="DI73" s="438">
        <v>1009</v>
      </c>
      <c r="DK73" s="437">
        <v>5392</v>
      </c>
      <c r="DL73" s="438">
        <v>0</v>
      </c>
      <c r="DM73" s="438">
        <v>730736</v>
      </c>
      <c r="DN73" s="438">
        <v>0</v>
      </c>
      <c r="DO73" s="438">
        <v>0</v>
      </c>
      <c r="DP73" s="438">
        <v>0</v>
      </c>
      <c r="DQ73" s="438">
        <v>0</v>
      </c>
      <c r="DR73" s="438">
        <v>0</v>
      </c>
      <c r="DS73" s="438">
        <v>0</v>
      </c>
      <c r="DT73" s="438">
        <v>0</v>
      </c>
      <c r="DU73" s="438">
        <v>0</v>
      </c>
      <c r="DV73" s="438">
        <v>0</v>
      </c>
      <c r="DW73" s="438">
        <v>0</v>
      </c>
      <c r="DX73" s="438">
        <v>0</v>
      </c>
      <c r="DY73" s="438">
        <v>0</v>
      </c>
      <c r="DZ73" s="438">
        <v>0</v>
      </c>
      <c r="EA73" s="438">
        <v>0</v>
      </c>
      <c r="EB73" s="438">
        <v>0</v>
      </c>
      <c r="EC73" s="438">
        <v>63.35</v>
      </c>
      <c r="ED73" s="438">
        <v>456019</v>
      </c>
      <c r="EE73" s="438">
        <v>0</v>
      </c>
      <c r="EF73" s="438">
        <v>0</v>
      </c>
      <c r="EG73" s="438">
        <v>0</v>
      </c>
      <c r="EH73" s="438">
        <v>274717</v>
      </c>
      <c r="EI73" s="438">
        <v>0</v>
      </c>
      <c r="EJ73" s="438">
        <v>0</v>
      </c>
      <c r="EK73" s="438">
        <v>10.398</v>
      </c>
      <c r="EL73" s="438">
        <v>0</v>
      </c>
      <c r="EM73" s="438">
        <v>0.64700000000000002</v>
      </c>
      <c r="EN73" s="438">
        <v>1.7689999999999999</v>
      </c>
      <c r="EO73" s="438">
        <v>0</v>
      </c>
      <c r="EP73" s="438">
        <v>0</v>
      </c>
      <c r="EQ73" s="438">
        <v>12.814</v>
      </c>
      <c r="ER73" s="438">
        <v>0</v>
      </c>
      <c r="ES73" s="438">
        <v>41.98</v>
      </c>
      <c r="ET73" s="438">
        <v>0</v>
      </c>
      <c r="EU73" s="438">
        <v>424309</v>
      </c>
      <c r="EV73" s="438">
        <v>0</v>
      </c>
      <c r="EW73" s="438">
        <v>0</v>
      </c>
      <c r="EX73" s="438">
        <v>0</v>
      </c>
      <c r="EZ73" s="438">
        <v>10802886</v>
      </c>
      <c r="FA73" s="438">
        <v>0</v>
      </c>
      <c r="FB73" s="438">
        <v>11227195</v>
      </c>
      <c r="FC73" s="438">
        <v>0.97334900000000002</v>
      </c>
      <c r="FD73" s="438">
        <v>0</v>
      </c>
      <c r="FE73" s="438">
        <v>1558261</v>
      </c>
      <c r="FF73" s="438">
        <v>355162</v>
      </c>
      <c r="FG73" s="437">
        <v>5.7854999999999997E-2</v>
      </c>
      <c r="FH73" s="437">
        <v>5.2366000000000003E-2</v>
      </c>
      <c r="FI73" s="438">
        <v>0</v>
      </c>
      <c r="FJ73" s="438">
        <v>0</v>
      </c>
      <c r="FK73" s="438">
        <v>2122.7860000000001</v>
      </c>
      <c r="FL73" s="438">
        <v>13140618</v>
      </c>
      <c r="FM73" s="438">
        <v>0</v>
      </c>
      <c r="FN73" s="438">
        <v>0</v>
      </c>
      <c r="FO73" s="438">
        <v>0</v>
      </c>
      <c r="FP73" s="438">
        <v>0</v>
      </c>
      <c r="FQ73" s="438">
        <v>0</v>
      </c>
      <c r="FR73" s="438">
        <v>0</v>
      </c>
      <c r="FS73" s="438">
        <v>0</v>
      </c>
      <c r="FT73" s="438">
        <v>0</v>
      </c>
      <c r="FU73" s="438">
        <v>0</v>
      </c>
      <c r="FV73" s="438">
        <v>0</v>
      </c>
      <c r="FW73" s="438">
        <v>0</v>
      </c>
      <c r="FX73" s="438">
        <v>0</v>
      </c>
      <c r="FY73" s="438">
        <v>0</v>
      </c>
      <c r="FZ73" s="438">
        <v>0</v>
      </c>
      <c r="GA73" s="438">
        <v>0</v>
      </c>
      <c r="GB73" s="438">
        <v>347784</v>
      </c>
      <c r="GC73" s="438">
        <v>347784</v>
      </c>
      <c r="GD73" s="438">
        <v>39.366999999999997</v>
      </c>
      <c r="GF73" s="438">
        <v>0</v>
      </c>
      <c r="GG73" s="438">
        <v>0</v>
      </c>
      <c r="GH73" s="438">
        <v>0</v>
      </c>
      <c r="GI73" s="438">
        <v>0</v>
      </c>
      <c r="GJ73" s="438">
        <v>0</v>
      </c>
      <c r="GK73" s="438">
        <v>4604.6369999999997</v>
      </c>
      <c r="GL73" s="438">
        <v>0</v>
      </c>
      <c r="GM73" s="438">
        <v>0</v>
      </c>
      <c r="GN73" s="438">
        <v>0</v>
      </c>
      <c r="GO73" s="438">
        <v>0</v>
      </c>
      <c r="GP73" s="438">
        <v>13140618</v>
      </c>
      <c r="GQ73" s="438">
        <v>13140618</v>
      </c>
      <c r="GR73" s="438">
        <v>0</v>
      </c>
      <c r="GS73" s="438">
        <v>0</v>
      </c>
      <c r="GT73" s="438">
        <v>0</v>
      </c>
      <c r="HB73" s="438">
        <v>0</v>
      </c>
      <c r="HC73" s="437">
        <v>0</v>
      </c>
      <c r="HD73" s="438">
        <v>0</v>
      </c>
    </row>
    <row r="74" spans="1:212" x14ac:dyDescent="0.2">
      <c r="A74" s="438">
        <v>25836</v>
      </c>
      <c r="B74" s="442">
        <v>57847</v>
      </c>
      <c r="C74" s="438">
        <v>9</v>
      </c>
      <c r="D74" s="438">
        <v>2020</v>
      </c>
      <c r="E74" s="438">
        <v>5392</v>
      </c>
      <c r="F74" s="438">
        <v>0</v>
      </c>
      <c r="G74" s="438">
        <v>1013.317</v>
      </c>
      <c r="H74" s="438">
        <v>930.23800000000006</v>
      </c>
      <c r="I74" s="438">
        <v>930.23800000000006</v>
      </c>
      <c r="J74" s="438">
        <v>1013.317</v>
      </c>
      <c r="K74" s="438">
        <v>0</v>
      </c>
      <c r="L74" s="437">
        <v>6544</v>
      </c>
      <c r="M74" s="438">
        <v>0</v>
      </c>
      <c r="N74" s="438">
        <v>0</v>
      </c>
      <c r="P74" s="438">
        <v>1014.367</v>
      </c>
      <c r="Q74" s="438">
        <v>0</v>
      </c>
      <c r="R74" s="438">
        <v>251144</v>
      </c>
      <c r="S74" s="437">
        <v>247.58699999999999</v>
      </c>
      <c r="U74" s="438">
        <v>0</v>
      </c>
      <c r="V74" s="438">
        <v>32.866999999999997</v>
      </c>
      <c r="W74" s="438">
        <v>21508</v>
      </c>
      <c r="X74" s="438">
        <v>21508</v>
      </c>
      <c r="Z74" s="438">
        <v>0</v>
      </c>
      <c r="AA74" s="438">
        <v>1</v>
      </c>
      <c r="AB74" s="438">
        <v>1</v>
      </c>
      <c r="AC74" s="438">
        <v>0</v>
      </c>
      <c r="AD74" s="438" t="s">
        <v>332</v>
      </c>
      <c r="AE74" s="438">
        <v>0</v>
      </c>
      <c r="AH74" s="438">
        <v>0</v>
      </c>
      <c r="AI74" s="438">
        <v>0</v>
      </c>
      <c r="AJ74" s="437">
        <v>5105</v>
      </c>
      <c r="AK74" s="438" t="s">
        <v>561</v>
      </c>
      <c r="AL74" s="438" t="s">
        <v>350</v>
      </c>
      <c r="AM74" s="438">
        <v>0</v>
      </c>
      <c r="AN74" s="438">
        <v>0</v>
      </c>
      <c r="AO74" s="438">
        <v>0</v>
      </c>
      <c r="AP74" s="438">
        <v>0</v>
      </c>
      <c r="AQ74" s="438">
        <v>0</v>
      </c>
      <c r="AR74" s="438">
        <v>0</v>
      </c>
      <c r="AS74" s="438">
        <v>0</v>
      </c>
      <c r="AT74" s="438">
        <v>0</v>
      </c>
      <c r="AU74" s="438">
        <v>0</v>
      </c>
      <c r="AV74" s="438">
        <v>0</v>
      </c>
      <c r="AW74" s="438">
        <v>8716784</v>
      </c>
      <c r="AX74" s="438">
        <v>8652937</v>
      </c>
      <c r="AY74" s="438">
        <v>0</v>
      </c>
      <c r="AZ74" s="438">
        <v>314991</v>
      </c>
      <c r="BA74" s="438">
        <v>0</v>
      </c>
      <c r="BB74" s="438">
        <v>0</v>
      </c>
      <c r="BC74" s="438">
        <v>0</v>
      </c>
      <c r="BD74" s="438">
        <v>0</v>
      </c>
      <c r="BE74" s="438">
        <v>0</v>
      </c>
      <c r="BF74" s="438">
        <v>7395657</v>
      </c>
      <c r="BG74" s="438">
        <v>0</v>
      </c>
      <c r="BH74" s="438">
        <v>232.172</v>
      </c>
      <c r="BI74" s="438">
        <v>63847</v>
      </c>
      <c r="BJ74" s="438">
        <v>12</v>
      </c>
      <c r="BK74" s="438">
        <v>0</v>
      </c>
      <c r="BL74" s="438">
        <v>0</v>
      </c>
      <c r="BM74" s="438">
        <v>0</v>
      </c>
      <c r="BN74" s="438">
        <v>0</v>
      </c>
      <c r="BO74" s="438">
        <v>0</v>
      </c>
      <c r="BP74" s="438">
        <v>0</v>
      </c>
      <c r="BQ74" s="437">
        <v>5392</v>
      </c>
      <c r="BR74" s="438">
        <v>1</v>
      </c>
      <c r="BS74" s="438">
        <v>0</v>
      </c>
      <c r="BT74" s="438">
        <v>0</v>
      </c>
      <c r="BU74" s="438">
        <v>0</v>
      </c>
      <c r="BV74" s="438">
        <v>0</v>
      </c>
      <c r="BW74" s="438">
        <v>0</v>
      </c>
      <c r="BX74" s="438">
        <v>0</v>
      </c>
      <c r="BY74" s="438">
        <v>0</v>
      </c>
      <c r="BZ74" s="438">
        <v>0</v>
      </c>
      <c r="CA74" s="438">
        <v>0</v>
      </c>
      <c r="CB74" s="438">
        <v>0</v>
      </c>
      <c r="CC74" s="438">
        <v>0</v>
      </c>
      <c r="CG74" s="438">
        <v>0</v>
      </c>
      <c r="CH74" s="438">
        <v>0</v>
      </c>
      <c r="CI74" s="438">
        <v>0</v>
      </c>
      <c r="CJ74" s="438">
        <v>5</v>
      </c>
      <c r="CK74" s="438">
        <v>0</v>
      </c>
      <c r="CL74" s="438">
        <v>0</v>
      </c>
      <c r="CN74" s="438">
        <v>0</v>
      </c>
      <c r="CO74" s="438">
        <v>1</v>
      </c>
      <c r="CP74" s="438">
        <v>0</v>
      </c>
      <c r="CQ74" s="438">
        <v>0</v>
      </c>
      <c r="CR74" s="438">
        <v>1013.317</v>
      </c>
      <c r="CS74" s="438">
        <v>0</v>
      </c>
      <c r="CT74" s="438">
        <v>0</v>
      </c>
      <c r="CU74" s="438">
        <v>0</v>
      </c>
      <c r="CV74" s="438">
        <v>0</v>
      </c>
      <c r="CW74" s="438">
        <v>0</v>
      </c>
      <c r="CX74" s="438">
        <v>0</v>
      </c>
      <c r="CY74" s="438">
        <v>0</v>
      </c>
      <c r="CZ74" s="438">
        <v>0</v>
      </c>
      <c r="DA74" s="438">
        <v>1</v>
      </c>
      <c r="DB74" s="438">
        <v>6087477</v>
      </c>
      <c r="DC74" s="438">
        <v>0</v>
      </c>
      <c r="DD74" s="438">
        <v>0</v>
      </c>
      <c r="DE74" s="438">
        <v>487960</v>
      </c>
      <c r="DF74" s="438">
        <v>487960</v>
      </c>
      <c r="DG74" s="438">
        <v>372.83</v>
      </c>
      <c r="DH74" s="438">
        <v>0</v>
      </c>
      <c r="DI74" s="438">
        <v>0</v>
      </c>
      <c r="DK74" s="437">
        <v>5392</v>
      </c>
      <c r="DL74" s="438">
        <v>0</v>
      </c>
      <c r="DM74" s="438">
        <v>385008</v>
      </c>
      <c r="DN74" s="438">
        <v>0</v>
      </c>
      <c r="DO74" s="438">
        <v>0</v>
      </c>
      <c r="DP74" s="438">
        <v>0</v>
      </c>
      <c r="DQ74" s="438">
        <v>0</v>
      </c>
      <c r="DR74" s="438">
        <v>0</v>
      </c>
      <c r="DS74" s="438">
        <v>0</v>
      </c>
      <c r="DT74" s="438">
        <v>0</v>
      </c>
      <c r="DU74" s="438">
        <v>0</v>
      </c>
      <c r="DV74" s="438">
        <v>0</v>
      </c>
      <c r="DW74" s="438">
        <v>0</v>
      </c>
      <c r="DX74" s="438">
        <v>0</v>
      </c>
      <c r="DY74" s="438">
        <v>0</v>
      </c>
      <c r="DZ74" s="438">
        <v>0</v>
      </c>
      <c r="EA74" s="438">
        <v>0</v>
      </c>
      <c r="EB74" s="438">
        <v>0</v>
      </c>
      <c r="EC74" s="438">
        <v>15.317</v>
      </c>
      <c r="ED74" s="438">
        <v>110258</v>
      </c>
      <c r="EE74" s="438">
        <v>0</v>
      </c>
      <c r="EF74" s="438">
        <v>0</v>
      </c>
      <c r="EG74" s="438">
        <v>0</v>
      </c>
      <c r="EH74" s="438">
        <v>274750</v>
      </c>
      <c r="EI74" s="438">
        <v>0</v>
      </c>
      <c r="EJ74" s="438">
        <v>0</v>
      </c>
      <c r="EK74" s="438">
        <v>12.33</v>
      </c>
      <c r="EL74" s="438">
        <v>0</v>
      </c>
      <c r="EM74" s="438">
        <v>0</v>
      </c>
      <c r="EN74" s="438">
        <v>0.999</v>
      </c>
      <c r="EO74" s="438">
        <v>0</v>
      </c>
      <c r="EP74" s="438">
        <v>0</v>
      </c>
      <c r="EQ74" s="438">
        <v>13.329000000000001</v>
      </c>
      <c r="ER74" s="438">
        <v>0</v>
      </c>
      <c r="ES74" s="438">
        <v>41.984999999999999</v>
      </c>
      <c r="ET74" s="438">
        <v>0</v>
      </c>
      <c r="EU74" s="438">
        <v>314991</v>
      </c>
      <c r="EV74" s="438">
        <v>0</v>
      </c>
      <c r="EW74" s="438">
        <v>0</v>
      </c>
      <c r="EX74" s="438">
        <v>0</v>
      </c>
      <c r="EZ74" s="438">
        <v>7347008</v>
      </c>
      <c r="FA74" s="438">
        <v>0</v>
      </c>
      <c r="FB74" s="438">
        <v>7661999</v>
      </c>
      <c r="FC74" s="438">
        <v>0.97334900000000002</v>
      </c>
      <c r="FD74" s="438">
        <v>0</v>
      </c>
      <c r="FE74" s="438">
        <v>1063528</v>
      </c>
      <c r="FF74" s="438">
        <v>242401</v>
      </c>
      <c r="FG74" s="437">
        <v>5.7854999999999997E-2</v>
      </c>
      <c r="FH74" s="437">
        <v>5.2366000000000003E-2</v>
      </c>
      <c r="FI74" s="438">
        <v>0</v>
      </c>
      <c r="FJ74" s="438">
        <v>0</v>
      </c>
      <c r="FK74" s="438">
        <v>1448.8219999999999</v>
      </c>
      <c r="FL74" s="438">
        <v>8967928</v>
      </c>
      <c r="FM74" s="438">
        <v>0</v>
      </c>
      <c r="FN74" s="438">
        <v>0</v>
      </c>
      <c r="FO74" s="438">
        <v>0</v>
      </c>
      <c r="FP74" s="438">
        <v>0</v>
      </c>
      <c r="FQ74" s="438">
        <v>0</v>
      </c>
      <c r="FR74" s="438">
        <v>0</v>
      </c>
      <c r="FS74" s="438">
        <v>0</v>
      </c>
      <c r="FT74" s="438">
        <v>0</v>
      </c>
      <c r="FU74" s="438">
        <v>0</v>
      </c>
      <c r="FV74" s="438">
        <v>0</v>
      </c>
      <c r="FW74" s="438">
        <v>0</v>
      </c>
      <c r="FX74" s="438">
        <v>0</v>
      </c>
      <c r="FY74" s="438">
        <v>0</v>
      </c>
      <c r="FZ74" s="438">
        <v>0</v>
      </c>
      <c r="GA74" s="438">
        <v>0</v>
      </c>
      <c r="GB74" s="438">
        <v>616199</v>
      </c>
      <c r="GC74" s="438">
        <v>616199</v>
      </c>
      <c r="GD74" s="438">
        <v>69.75</v>
      </c>
      <c r="GF74" s="438">
        <v>0</v>
      </c>
      <c r="GG74" s="438">
        <v>0</v>
      </c>
      <c r="GH74" s="438">
        <v>0</v>
      </c>
      <c r="GI74" s="438">
        <v>0</v>
      </c>
      <c r="GJ74" s="438">
        <v>0</v>
      </c>
      <c r="GK74" s="438">
        <v>4604.6369999999997</v>
      </c>
      <c r="GL74" s="438">
        <v>0</v>
      </c>
      <c r="GM74" s="438">
        <v>0</v>
      </c>
      <c r="GN74" s="438">
        <v>0</v>
      </c>
      <c r="GO74" s="438">
        <v>0</v>
      </c>
      <c r="GP74" s="438">
        <v>8967928</v>
      </c>
      <c r="GQ74" s="438">
        <v>8967928</v>
      </c>
      <c r="GR74" s="438">
        <v>0</v>
      </c>
      <c r="GS74" s="438">
        <v>0</v>
      </c>
      <c r="GT74" s="438">
        <v>0</v>
      </c>
      <c r="HB74" s="438">
        <v>0</v>
      </c>
      <c r="HC74" s="437">
        <v>6.0754000000000002E-2</v>
      </c>
      <c r="HD74" s="438">
        <v>0</v>
      </c>
    </row>
    <row r="75" spans="1:212" x14ac:dyDescent="0.2">
      <c r="A75" s="438">
        <v>25836</v>
      </c>
      <c r="B75" s="442">
        <v>57848</v>
      </c>
      <c r="C75" s="438">
        <v>9</v>
      </c>
      <c r="D75" s="438">
        <v>2020</v>
      </c>
      <c r="E75" s="438">
        <v>5392</v>
      </c>
      <c r="F75" s="438">
        <v>0</v>
      </c>
      <c r="G75" s="438">
        <v>17645.667000000001</v>
      </c>
      <c r="H75" s="438">
        <v>16765.440999999999</v>
      </c>
      <c r="I75" s="438">
        <v>16765.440999999999</v>
      </c>
      <c r="J75" s="438">
        <v>17645.667000000001</v>
      </c>
      <c r="K75" s="438">
        <v>0</v>
      </c>
      <c r="L75" s="437">
        <v>6544</v>
      </c>
      <c r="M75" s="438">
        <v>0</v>
      </c>
      <c r="N75" s="438">
        <v>0</v>
      </c>
      <c r="P75" s="438">
        <v>17686.717000000001</v>
      </c>
      <c r="Q75" s="438">
        <v>0</v>
      </c>
      <c r="R75" s="438">
        <v>4379001</v>
      </c>
      <c r="S75" s="437">
        <v>247.58699999999999</v>
      </c>
      <c r="U75" s="438">
        <v>0</v>
      </c>
      <c r="V75" s="438">
        <v>4658.4669999999996</v>
      </c>
      <c r="W75" s="438">
        <v>3048501</v>
      </c>
      <c r="X75" s="438">
        <v>3048501</v>
      </c>
      <c r="Z75" s="438">
        <v>0</v>
      </c>
      <c r="AA75" s="438">
        <v>1</v>
      </c>
      <c r="AB75" s="438">
        <v>1</v>
      </c>
      <c r="AC75" s="438">
        <v>0</v>
      </c>
      <c r="AD75" s="438" t="s">
        <v>332</v>
      </c>
      <c r="AE75" s="438">
        <v>0</v>
      </c>
      <c r="AH75" s="438">
        <v>0</v>
      </c>
      <c r="AI75" s="438">
        <v>0</v>
      </c>
      <c r="AJ75" s="437">
        <v>5105</v>
      </c>
      <c r="AK75" s="438" t="s">
        <v>561</v>
      </c>
      <c r="AL75" s="438" t="s">
        <v>646</v>
      </c>
      <c r="AM75" s="438">
        <v>0</v>
      </c>
      <c r="AN75" s="438">
        <v>0</v>
      </c>
      <c r="AO75" s="438">
        <v>0</v>
      </c>
      <c r="AP75" s="438">
        <v>0</v>
      </c>
      <c r="AQ75" s="438">
        <v>0</v>
      </c>
      <c r="AR75" s="438">
        <v>0</v>
      </c>
      <c r="AS75" s="438">
        <v>0</v>
      </c>
      <c r="AT75" s="438">
        <v>0</v>
      </c>
      <c r="AU75" s="438">
        <v>0</v>
      </c>
      <c r="AV75" s="438">
        <v>0</v>
      </c>
      <c r="AW75" s="438">
        <v>160686438</v>
      </c>
      <c r="AX75" s="438">
        <v>160063712</v>
      </c>
      <c r="AY75" s="438">
        <v>0</v>
      </c>
      <c r="AZ75" s="438">
        <v>5001727</v>
      </c>
      <c r="BA75" s="438">
        <v>0</v>
      </c>
      <c r="BB75" s="438">
        <v>692617</v>
      </c>
      <c r="BC75" s="438">
        <v>692617</v>
      </c>
      <c r="BD75" s="438">
        <v>882</v>
      </c>
      <c r="BE75" s="438">
        <v>0</v>
      </c>
      <c r="BF75" s="438">
        <v>136573464</v>
      </c>
      <c r="BG75" s="438">
        <v>0</v>
      </c>
      <c r="BH75" s="438">
        <v>2264.4589999999998</v>
      </c>
      <c r="BI75" s="438">
        <v>622726</v>
      </c>
      <c r="BJ75" s="438">
        <v>12</v>
      </c>
      <c r="BK75" s="438">
        <v>0</v>
      </c>
      <c r="BL75" s="438">
        <v>0</v>
      </c>
      <c r="BM75" s="438">
        <v>0</v>
      </c>
      <c r="BN75" s="438">
        <v>0</v>
      </c>
      <c r="BO75" s="438">
        <v>0</v>
      </c>
      <c r="BP75" s="438">
        <v>0</v>
      </c>
      <c r="BQ75" s="437">
        <v>5392</v>
      </c>
      <c r="BR75" s="438">
        <v>1</v>
      </c>
      <c r="BS75" s="438">
        <v>0</v>
      </c>
      <c r="BT75" s="438">
        <v>0</v>
      </c>
      <c r="BU75" s="438">
        <v>0</v>
      </c>
      <c r="BV75" s="438">
        <v>0</v>
      </c>
      <c r="BW75" s="438">
        <v>0</v>
      </c>
      <c r="BX75" s="438">
        <v>0</v>
      </c>
      <c r="BY75" s="438">
        <v>0</v>
      </c>
      <c r="BZ75" s="438">
        <v>0</v>
      </c>
      <c r="CA75" s="438">
        <v>0</v>
      </c>
      <c r="CB75" s="438">
        <v>0</v>
      </c>
      <c r="CC75" s="438">
        <v>0</v>
      </c>
      <c r="CG75" s="438">
        <v>0</v>
      </c>
      <c r="CH75" s="438">
        <v>0</v>
      </c>
      <c r="CI75" s="438">
        <v>0</v>
      </c>
      <c r="CJ75" s="438">
        <v>5</v>
      </c>
      <c r="CK75" s="438">
        <v>0</v>
      </c>
      <c r="CL75" s="438">
        <v>0</v>
      </c>
      <c r="CN75" s="438">
        <v>0</v>
      </c>
      <c r="CO75" s="438">
        <v>1</v>
      </c>
      <c r="CP75" s="438">
        <v>0.316</v>
      </c>
      <c r="CQ75" s="438">
        <v>0</v>
      </c>
      <c r="CR75" s="438">
        <v>17645.667000000001</v>
      </c>
      <c r="CS75" s="438">
        <v>0</v>
      </c>
      <c r="CT75" s="438">
        <v>0</v>
      </c>
      <c r="CU75" s="438">
        <v>0</v>
      </c>
      <c r="CV75" s="438">
        <v>0</v>
      </c>
      <c r="CW75" s="438">
        <v>0</v>
      </c>
      <c r="CX75" s="438">
        <v>0</v>
      </c>
      <c r="CY75" s="438">
        <v>0</v>
      </c>
      <c r="CZ75" s="438">
        <v>0</v>
      </c>
      <c r="DA75" s="438">
        <v>1</v>
      </c>
      <c r="DB75" s="438">
        <v>109713046</v>
      </c>
      <c r="DC75" s="438">
        <v>0</v>
      </c>
      <c r="DD75" s="438">
        <v>0</v>
      </c>
      <c r="DE75" s="438">
        <v>14721382</v>
      </c>
      <c r="DF75" s="438">
        <v>14726366</v>
      </c>
      <c r="DG75" s="438">
        <v>11248</v>
      </c>
      <c r="DH75" s="438">
        <v>0</v>
      </c>
      <c r="DI75" s="438">
        <v>4984</v>
      </c>
      <c r="DK75" s="437">
        <v>5392</v>
      </c>
      <c r="DL75" s="438">
        <v>0</v>
      </c>
      <c r="DM75" s="438">
        <v>6694760</v>
      </c>
      <c r="DN75" s="438">
        <v>0</v>
      </c>
      <c r="DO75" s="438">
        <v>0</v>
      </c>
      <c r="DP75" s="438">
        <v>0</v>
      </c>
      <c r="DQ75" s="438">
        <v>0</v>
      </c>
      <c r="DR75" s="438">
        <v>0</v>
      </c>
      <c r="DS75" s="438">
        <v>0</v>
      </c>
      <c r="DT75" s="438">
        <v>0</v>
      </c>
      <c r="DU75" s="438">
        <v>0</v>
      </c>
      <c r="DV75" s="438">
        <v>0</v>
      </c>
      <c r="DW75" s="438">
        <v>0</v>
      </c>
      <c r="DX75" s="438">
        <v>0</v>
      </c>
      <c r="DY75" s="438">
        <v>0</v>
      </c>
      <c r="DZ75" s="438">
        <v>0</v>
      </c>
      <c r="EA75" s="438">
        <v>0.129</v>
      </c>
      <c r="EB75" s="438">
        <v>0</v>
      </c>
      <c r="EC75" s="438">
        <v>172.25</v>
      </c>
      <c r="ED75" s="438">
        <v>1239924</v>
      </c>
      <c r="EE75" s="438">
        <v>0</v>
      </c>
      <c r="EF75" s="438">
        <v>0</v>
      </c>
      <c r="EG75" s="438">
        <v>0</v>
      </c>
      <c r="EH75" s="438">
        <v>5454836</v>
      </c>
      <c r="EI75" s="438">
        <v>0</v>
      </c>
      <c r="EJ75" s="438">
        <v>0</v>
      </c>
      <c r="EK75" s="438">
        <v>216.23599999999999</v>
      </c>
      <c r="EL75" s="438">
        <v>0</v>
      </c>
      <c r="EM75" s="438">
        <v>28.79</v>
      </c>
      <c r="EN75" s="438">
        <v>19.568000000000001</v>
      </c>
      <c r="EO75" s="438">
        <v>0</v>
      </c>
      <c r="EP75" s="438">
        <v>0</v>
      </c>
      <c r="EQ75" s="438">
        <v>264.72300000000001</v>
      </c>
      <c r="ER75" s="438">
        <v>0</v>
      </c>
      <c r="ES75" s="438">
        <v>833.56299999999999</v>
      </c>
      <c r="ET75" s="438">
        <v>0</v>
      </c>
      <c r="EU75" s="438">
        <v>5001727</v>
      </c>
      <c r="EV75" s="438">
        <v>0</v>
      </c>
      <c r="EW75" s="438">
        <v>0</v>
      </c>
      <c r="EX75" s="438">
        <v>0</v>
      </c>
      <c r="EZ75" s="438">
        <v>135947479</v>
      </c>
      <c r="FA75" s="438">
        <v>0</v>
      </c>
      <c r="FB75" s="438">
        <v>140949206</v>
      </c>
      <c r="FC75" s="438">
        <v>0.97334900000000002</v>
      </c>
      <c r="FD75" s="438">
        <v>0</v>
      </c>
      <c r="FE75" s="438">
        <v>19639874</v>
      </c>
      <c r="FF75" s="438">
        <v>4476359</v>
      </c>
      <c r="FG75" s="437">
        <v>5.7854999999999997E-2</v>
      </c>
      <c r="FH75" s="437">
        <v>5.2366000000000003E-2</v>
      </c>
      <c r="FI75" s="438">
        <v>0</v>
      </c>
      <c r="FJ75" s="438">
        <v>0</v>
      </c>
      <c r="FK75" s="438">
        <v>26754.98</v>
      </c>
      <c r="FL75" s="438">
        <v>165065439</v>
      </c>
      <c r="FM75" s="438">
        <v>0</v>
      </c>
      <c r="FN75" s="438">
        <v>0</v>
      </c>
      <c r="FO75" s="438">
        <v>13590</v>
      </c>
      <c r="FP75" s="438">
        <v>0</v>
      </c>
      <c r="FQ75" s="438">
        <v>13590</v>
      </c>
      <c r="FR75" s="438">
        <v>13590</v>
      </c>
      <c r="FS75" s="438">
        <v>0</v>
      </c>
      <c r="FT75" s="438">
        <v>0</v>
      </c>
      <c r="FU75" s="438">
        <v>0</v>
      </c>
      <c r="FV75" s="438">
        <v>0</v>
      </c>
      <c r="FW75" s="438">
        <v>0</v>
      </c>
      <c r="FX75" s="438">
        <v>0</v>
      </c>
      <c r="FY75" s="438">
        <v>0</v>
      </c>
      <c r="FZ75" s="438">
        <v>0</v>
      </c>
      <c r="GA75" s="438">
        <v>0</v>
      </c>
      <c r="GB75" s="438">
        <v>5437600</v>
      </c>
      <c r="GC75" s="438">
        <v>5437600</v>
      </c>
      <c r="GD75" s="438">
        <v>615.50300000000004</v>
      </c>
      <c r="GF75" s="438">
        <v>0</v>
      </c>
      <c r="GG75" s="438">
        <v>0</v>
      </c>
      <c r="GH75" s="438">
        <v>0</v>
      </c>
      <c r="GI75" s="438">
        <v>0</v>
      </c>
      <c r="GJ75" s="438">
        <v>0</v>
      </c>
      <c r="GK75" s="438">
        <v>4604.6369999999997</v>
      </c>
      <c r="GL75" s="438">
        <v>0</v>
      </c>
      <c r="GM75" s="438">
        <v>0</v>
      </c>
      <c r="GN75" s="438">
        <v>0</v>
      </c>
      <c r="GO75" s="438">
        <v>0</v>
      </c>
      <c r="GP75" s="438">
        <v>165065439</v>
      </c>
      <c r="GQ75" s="438">
        <v>165065439</v>
      </c>
      <c r="GR75" s="438">
        <v>0</v>
      </c>
      <c r="GS75" s="438">
        <v>0</v>
      </c>
      <c r="GT75" s="438">
        <v>0</v>
      </c>
      <c r="HB75" s="438">
        <v>0</v>
      </c>
      <c r="HC75" s="437">
        <v>6.0754000000000002E-2</v>
      </c>
      <c r="HD75" s="438">
        <v>0</v>
      </c>
    </row>
    <row r="76" spans="1:212" x14ac:dyDescent="0.2">
      <c r="A76" s="438">
        <v>25836</v>
      </c>
      <c r="B76" s="442">
        <v>57850</v>
      </c>
      <c r="C76" s="438">
        <v>9</v>
      </c>
      <c r="D76" s="438">
        <v>2020</v>
      </c>
      <c r="E76" s="438">
        <v>5392</v>
      </c>
      <c r="F76" s="438">
        <v>0</v>
      </c>
      <c r="G76" s="438">
        <v>587.36699999999996</v>
      </c>
      <c r="H76" s="438">
        <v>559.70699999999999</v>
      </c>
      <c r="I76" s="438">
        <v>559.70699999999999</v>
      </c>
      <c r="J76" s="438">
        <v>587.36699999999996</v>
      </c>
      <c r="K76" s="438">
        <v>0</v>
      </c>
      <c r="L76" s="437">
        <v>6544</v>
      </c>
      <c r="M76" s="438">
        <v>0</v>
      </c>
      <c r="N76" s="438">
        <v>0</v>
      </c>
      <c r="P76" s="438">
        <v>586.66700000000003</v>
      </c>
      <c r="Q76" s="438">
        <v>0</v>
      </c>
      <c r="R76" s="438">
        <v>145251</v>
      </c>
      <c r="S76" s="437">
        <v>247.58699999999999</v>
      </c>
      <c r="U76" s="438">
        <v>0</v>
      </c>
      <c r="V76" s="438">
        <v>115.95</v>
      </c>
      <c r="W76" s="438">
        <v>75878</v>
      </c>
      <c r="X76" s="438">
        <v>75878</v>
      </c>
      <c r="Z76" s="438">
        <v>0</v>
      </c>
      <c r="AA76" s="438">
        <v>1</v>
      </c>
      <c r="AB76" s="438">
        <v>1</v>
      </c>
      <c r="AC76" s="438">
        <v>0</v>
      </c>
      <c r="AD76" s="438" t="s">
        <v>332</v>
      </c>
      <c r="AE76" s="438">
        <v>0</v>
      </c>
      <c r="AH76" s="438">
        <v>0</v>
      </c>
      <c r="AI76" s="438">
        <v>0</v>
      </c>
      <c r="AJ76" s="437">
        <v>5105</v>
      </c>
      <c r="AK76" s="438" t="s">
        <v>561</v>
      </c>
      <c r="AL76" s="438" t="s">
        <v>411</v>
      </c>
      <c r="AM76" s="438">
        <v>0</v>
      </c>
      <c r="AN76" s="438">
        <v>0</v>
      </c>
      <c r="AO76" s="438">
        <v>0</v>
      </c>
      <c r="AP76" s="438">
        <v>0</v>
      </c>
      <c r="AQ76" s="438">
        <v>0</v>
      </c>
      <c r="AR76" s="438">
        <v>0</v>
      </c>
      <c r="AS76" s="438">
        <v>0</v>
      </c>
      <c r="AT76" s="438">
        <v>0</v>
      </c>
      <c r="AU76" s="438">
        <v>0</v>
      </c>
      <c r="AV76" s="438">
        <v>0</v>
      </c>
      <c r="AW76" s="438">
        <v>5130722</v>
      </c>
      <c r="AX76" s="438">
        <v>5096759</v>
      </c>
      <c r="AY76" s="438">
        <v>0</v>
      </c>
      <c r="AZ76" s="438">
        <v>179214</v>
      </c>
      <c r="BA76" s="438">
        <v>0</v>
      </c>
      <c r="BB76" s="438">
        <v>22773</v>
      </c>
      <c r="BC76" s="438">
        <v>22773</v>
      </c>
      <c r="BD76" s="438">
        <v>29</v>
      </c>
      <c r="BE76" s="438">
        <v>0</v>
      </c>
      <c r="BF76" s="438">
        <v>4353970</v>
      </c>
      <c r="BG76" s="438">
        <v>0</v>
      </c>
      <c r="BH76" s="438">
        <v>123.5</v>
      </c>
      <c r="BI76" s="438">
        <v>33963</v>
      </c>
      <c r="BJ76" s="438">
        <v>12</v>
      </c>
      <c r="BK76" s="438">
        <v>0</v>
      </c>
      <c r="BL76" s="438">
        <v>0</v>
      </c>
      <c r="BM76" s="438">
        <v>0</v>
      </c>
      <c r="BN76" s="438">
        <v>0</v>
      </c>
      <c r="BO76" s="438">
        <v>0</v>
      </c>
      <c r="BP76" s="438">
        <v>0</v>
      </c>
      <c r="BQ76" s="437">
        <v>5392</v>
      </c>
      <c r="BR76" s="438">
        <v>1</v>
      </c>
      <c r="BS76" s="438">
        <v>0</v>
      </c>
      <c r="BT76" s="438">
        <v>0</v>
      </c>
      <c r="BU76" s="438">
        <v>0</v>
      </c>
      <c r="BV76" s="438">
        <v>0</v>
      </c>
      <c r="BW76" s="438">
        <v>0</v>
      </c>
      <c r="BX76" s="438">
        <v>0</v>
      </c>
      <c r="BY76" s="438">
        <v>0</v>
      </c>
      <c r="BZ76" s="438">
        <v>0</v>
      </c>
      <c r="CA76" s="438">
        <v>0</v>
      </c>
      <c r="CB76" s="438">
        <v>0</v>
      </c>
      <c r="CC76" s="438">
        <v>0</v>
      </c>
      <c r="CG76" s="438">
        <v>0</v>
      </c>
      <c r="CH76" s="438">
        <v>0</v>
      </c>
      <c r="CI76" s="438">
        <v>0</v>
      </c>
      <c r="CJ76" s="438">
        <v>4</v>
      </c>
      <c r="CK76" s="438">
        <v>0</v>
      </c>
      <c r="CL76" s="438">
        <v>0</v>
      </c>
      <c r="CN76" s="438">
        <v>0</v>
      </c>
      <c r="CO76" s="438">
        <v>1</v>
      </c>
      <c r="CP76" s="438">
        <v>0</v>
      </c>
      <c r="CQ76" s="438">
        <v>0</v>
      </c>
      <c r="CR76" s="438">
        <v>587.36699999999996</v>
      </c>
      <c r="CS76" s="438">
        <v>0</v>
      </c>
      <c r="CT76" s="438">
        <v>0</v>
      </c>
      <c r="CU76" s="438">
        <v>0</v>
      </c>
      <c r="CV76" s="438">
        <v>0</v>
      </c>
      <c r="CW76" s="438">
        <v>0</v>
      </c>
      <c r="CX76" s="438">
        <v>0</v>
      </c>
      <c r="CY76" s="438">
        <v>0</v>
      </c>
      <c r="CZ76" s="438">
        <v>0</v>
      </c>
      <c r="DA76" s="438">
        <v>1</v>
      </c>
      <c r="DB76" s="438">
        <v>3662723</v>
      </c>
      <c r="DC76" s="438">
        <v>0</v>
      </c>
      <c r="DD76" s="438">
        <v>0</v>
      </c>
      <c r="DE76" s="438">
        <v>333522</v>
      </c>
      <c r="DF76" s="438">
        <v>333522</v>
      </c>
      <c r="DG76" s="438">
        <v>254.83</v>
      </c>
      <c r="DH76" s="438">
        <v>0</v>
      </c>
      <c r="DI76" s="438">
        <v>0</v>
      </c>
      <c r="DK76" s="437">
        <v>5392</v>
      </c>
      <c r="DL76" s="438">
        <v>0</v>
      </c>
      <c r="DM76" s="438">
        <v>136516</v>
      </c>
      <c r="DN76" s="438">
        <v>0</v>
      </c>
      <c r="DO76" s="438">
        <v>0</v>
      </c>
      <c r="DP76" s="438">
        <v>0</v>
      </c>
      <c r="DQ76" s="438">
        <v>0</v>
      </c>
      <c r="DR76" s="438">
        <v>0</v>
      </c>
      <c r="DS76" s="438">
        <v>0</v>
      </c>
      <c r="DT76" s="438">
        <v>0</v>
      </c>
      <c r="DU76" s="438">
        <v>0</v>
      </c>
      <c r="DV76" s="438">
        <v>0</v>
      </c>
      <c r="DW76" s="438">
        <v>0</v>
      </c>
      <c r="DX76" s="438">
        <v>0</v>
      </c>
      <c r="DY76" s="438">
        <v>0</v>
      </c>
      <c r="DZ76" s="438">
        <v>0</v>
      </c>
      <c r="EA76" s="438">
        <v>0</v>
      </c>
      <c r="EB76" s="438">
        <v>0</v>
      </c>
      <c r="EC76" s="438">
        <v>17.632999999999999</v>
      </c>
      <c r="ED76" s="438">
        <v>126929</v>
      </c>
      <c r="EE76" s="438">
        <v>0</v>
      </c>
      <c r="EF76" s="438">
        <v>0</v>
      </c>
      <c r="EG76" s="438">
        <v>0</v>
      </c>
      <c r="EH76" s="438">
        <v>9587</v>
      </c>
      <c r="EI76" s="438">
        <v>0</v>
      </c>
      <c r="EJ76" s="438">
        <v>0</v>
      </c>
      <c r="EK76" s="438">
        <v>0</v>
      </c>
      <c r="EL76" s="438">
        <v>0</v>
      </c>
      <c r="EM76" s="438">
        <v>0</v>
      </c>
      <c r="EN76" s="438">
        <v>0.29299999999999998</v>
      </c>
      <c r="EO76" s="438">
        <v>0</v>
      </c>
      <c r="EP76" s="438">
        <v>0</v>
      </c>
      <c r="EQ76" s="438">
        <v>0.29299999999999998</v>
      </c>
      <c r="ER76" s="438">
        <v>0</v>
      </c>
      <c r="ES76" s="438">
        <v>1.4650000000000001</v>
      </c>
      <c r="ET76" s="438">
        <v>0</v>
      </c>
      <c r="EU76" s="438">
        <v>179214</v>
      </c>
      <c r="EV76" s="438">
        <v>0</v>
      </c>
      <c r="EW76" s="438">
        <v>0</v>
      </c>
      <c r="EX76" s="438">
        <v>0</v>
      </c>
      <c r="EZ76" s="438">
        <v>4327932</v>
      </c>
      <c r="FA76" s="438">
        <v>0</v>
      </c>
      <c r="FB76" s="438">
        <v>4507146</v>
      </c>
      <c r="FC76" s="438">
        <v>0.97334900000000002</v>
      </c>
      <c r="FD76" s="438">
        <v>0</v>
      </c>
      <c r="FE76" s="438">
        <v>626120</v>
      </c>
      <c r="FF76" s="438">
        <v>142707</v>
      </c>
      <c r="FG76" s="437">
        <v>5.7854999999999997E-2</v>
      </c>
      <c r="FH76" s="437">
        <v>5.2366000000000003E-2</v>
      </c>
      <c r="FI76" s="438">
        <v>0</v>
      </c>
      <c r="FJ76" s="438">
        <v>0</v>
      </c>
      <c r="FK76" s="438">
        <v>852.95</v>
      </c>
      <c r="FL76" s="438">
        <v>5275973</v>
      </c>
      <c r="FM76" s="438">
        <v>0</v>
      </c>
      <c r="FN76" s="438">
        <v>0</v>
      </c>
      <c r="FO76" s="438">
        <v>0</v>
      </c>
      <c r="FP76" s="438">
        <v>0</v>
      </c>
      <c r="FQ76" s="438">
        <v>0</v>
      </c>
      <c r="FR76" s="438">
        <v>0</v>
      </c>
      <c r="FS76" s="438">
        <v>0</v>
      </c>
      <c r="FT76" s="438">
        <v>0</v>
      </c>
      <c r="FU76" s="438">
        <v>0</v>
      </c>
      <c r="FV76" s="438">
        <v>0</v>
      </c>
      <c r="FW76" s="438">
        <v>0</v>
      </c>
      <c r="FX76" s="438">
        <v>0</v>
      </c>
      <c r="FY76" s="438">
        <v>0</v>
      </c>
      <c r="FZ76" s="438">
        <v>0</v>
      </c>
      <c r="GA76" s="438">
        <v>0</v>
      </c>
      <c r="GB76" s="438">
        <v>241771</v>
      </c>
      <c r="GC76" s="438">
        <v>241771</v>
      </c>
      <c r="GD76" s="438">
        <v>27.367000000000001</v>
      </c>
      <c r="GF76" s="438">
        <v>0</v>
      </c>
      <c r="GG76" s="438">
        <v>0</v>
      </c>
      <c r="GH76" s="438">
        <v>0</v>
      </c>
      <c r="GI76" s="438">
        <v>0</v>
      </c>
      <c r="GJ76" s="438">
        <v>0</v>
      </c>
      <c r="GK76" s="438">
        <v>4604.6369999999997</v>
      </c>
      <c r="GL76" s="438">
        <v>0</v>
      </c>
      <c r="GM76" s="438">
        <v>0</v>
      </c>
      <c r="GN76" s="438">
        <v>0</v>
      </c>
      <c r="GO76" s="438">
        <v>0</v>
      </c>
      <c r="GP76" s="438">
        <v>5275973</v>
      </c>
      <c r="GQ76" s="438">
        <v>5275973</v>
      </c>
      <c r="GR76" s="438">
        <v>0</v>
      </c>
      <c r="GS76" s="438">
        <v>0</v>
      </c>
      <c r="GT76" s="438">
        <v>0</v>
      </c>
      <c r="HB76" s="438">
        <v>0</v>
      </c>
      <c r="HC76" s="437">
        <v>6.0754000000000002E-2</v>
      </c>
      <c r="HD76" s="438">
        <v>0</v>
      </c>
    </row>
    <row r="77" spans="1:212" x14ac:dyDescent="0.2">
      <c r="A77" s="438">
        <v>25836</v>
      </c>
      <c r="B77" s="442">
        <v>57851</v>
      </c>
      <c r="C77" s="438">
        <v>9</v>
      </c>
      <c r="D77" s="438">
        <v>2020</v>
      </c>
      <c r="E77" s="438">
        <v>5392</v>
      </c>
      <c r="F77" s="438">
        <v>0</v>
      </c>
      <c r="G77" s="438">
        <v>15.23</v>
      </c>
      <c r="H77" s="438">
        <v>13.331</v>
      </c>
      <c r="I77" s="438">
        <v>13.331</v>
      </c>
      <c r="J77" s="438">
        <v>15.23</v>
      </c>
      <c r="K77" s="438">
        <v>0</v>
      </c>
      <c r="L77" s="437">
        <v>6544</v>
      </c>
      <c r="M77" s="438">
        <v>0</v>
      </c>
      <c r="N77" s="438">
        <v>0</v>
      </c>
      <c r="P77" s="438">
        <v>14.37</v>
      </c>
      <c r="Q77" s="438">
        <v>0</v>
      </c>
      <c r="R77" s="438">
        <v>3558</v>
      </c>
      <c r="S77" s="437">
        <v>247.58699999999999</v>
      </c>
      <c r="U77" s="438">
        <v>0</v>
      </c>
      <c r="V77" s="438">
        <v>2.7229999999999999</v>
      </c>
      <c r="W77" s="438">
        <v>1782</v>
      </c>
      <c r="X77" s="438">
        <v>1782</v>
      </c>
      <c r="Z77" s="438">
        <v>0</v>
      </c>
      <c r="AA77" s="438">
        <v>1</v>
      </c>
      <c r="AB77" s="438">
        <v>1</v>
      </c>
      <c r="AC77" s="438">
        <v>0</v>
      </c>
      <c r="AD77" s="438" t="s">
        <v>332</v>
      </c>
      <c r="AE77" s="438">
        <v>0</v>
      </c>
      <c r="AH77" s="438">
        <v>0</v>
      </c>
      <c r="AI77" s="438">
        <v>0</v>
      </c>
      <c r="AJ77" s="437">
        <v>5105</v>
      </c>
      <c r="AK77" s="438" t="s">
        <v>561</v>
      </c>
      <c r="AL77" s="438" t="s">
        <v>546</v>
      </c>
      <c r="AM77" s="438">
        <v>0</v>
      </c>
      <c r="AN77" s="438">
        <v>0</v>
      </c>
      <c r="AO77" s="438">
        <v>0</v>
      </c>
      <c r="AP77" s="438">
        <v>0</v>
      </c>
      <c r="AQ77" s="438">
        <v>0</v>
      </c>
      <c r="AR77" s="438">
        <v>0</v>
      </c>
      <c r="AS77" s="438">
        <v>0</v>
      </c>
      <c r="AT77" s="438">
        <v>0</v>
      </c>
      <c r="AU77" s="438">
        <v>0</v>
      </c>
      <c r="AV77" s="438">
        <v>0</v>
      </c>
      <c r="AW77" s="438">
        <v>160243</v>
      </c>
      <c r="AX77" s="438">
        <v>160243</v>
      </c>
      <c r="AY77" s="438">
        <v>0</v>
      </c>
      <c r="AZ77" s="438">
        <v>3558</v>
      </c>
      <c r="BA77" s="438">
        <v>0</v>
      </c>
      <c r="BB77" s="438">
        <v>0</v>
      </c>
      <c r="BC77" s="438">
        <v>0</v>
      </c>
      <c r="BD77" s="438">
        <v>0</v>
      </c>
      <c r="BE77" s="438">
        <v>0</v>
      </c>
      <c r="BF77" s="438">
        <v>136052</v>
      </c>
      <c r="BG77" s="438">
        <v>0</v>
      </c>
      <c r="BH77" s="438">
        <v>0</v>
      </c>
      <c r="BI77" s="438">
        <v>0</v>
      </c>
      <c r="BJ77" s="438">
        <v>12</v>
      </c>
      <c r="BK77" s="438">
        <v>0</v>
      </c>
      <c r="BL77" s="438">
        <v>0</v>
      </c>
      <c r="BM77" s="438">
        <v>0</v>
      </c>
      <c r="BN77" s="438">
        <v>0</v>
      </c>
      <c r="BO77" s="438">
        <v>0</v>
      </c>
      <c r="BP77" s="438">
        <v>0</v>
      </c>
      <c r="BQ77" s="437">
        <v>5392</v>
      </c>
      <c r="BR77" s="438">
        <v>1</v>
      </c>
      <c r="BS77" s="438">
        <v>0</v>
      </c>
      <c r="BT77" s="438">
        <v>0</v>
      </c>
      <c r="BU77" s="438">
        <v>0</v>
      </c>
      <c r="BV77" s="438">
        <v>0</v>
      </c>
      <c r="BW77" s="438">
        <v>0</v>
      </c>
      <c r="BX77" s="438">
        <v>0</v>
      </c>
      <c r="BY77" s="438">
        <v>0</v>
      </c>
      <c r="BZ77" s="438">
        <v>0</v>
      </c>
      <c r="CA77" s="438">
        <v>0</v>
      </c>
      <c r="CB77" s="438">
        <v>0</v>
      </c>
      <c r="CC77" s="438">
        <v>0</v>
      </c>
      <c r="CG77" s="438">
        <v>0</v>
      </c>
      <c r="CH77" s="438">
        <v>0</v>
      </c>
      <c r="CI77" s="438">
        <v>0</v>
      </c>
      <c r="CJ77" s="438">
        <v>4</v>
      </c>
      <c r="CK77" s="438">
        <v>0</v>
      </c>
      <c r="CL77" s="438">
        <v>0</v>
      </c>
      <c r="CN77" s="438">
        <v>0</v>
      </c>
      <c r="CO77" s="438">
        <v>1</v>
      </c>
      <c r="CP77" s="438">
        <v>0</v>
      </c>
      <c r="CQ77" s="438">
        <v>0</v>
      </c>
      <c r="CR77" s="438">
        <v>15.23</v>
      </c>
      <c r="CS77" s="438">
        <v>0</v>
      </c>
      <c r="CT77" s="438">
        <v>0</v>
      </c>
      <c r="CU77" s="438">
        <v>0</v>
      </c>
      <c r="CV77" s="438">
        <v>0</v>
      </c>
      <c r="CW77" s="438">
        <v>0</v>
      </c>
      <c r="CX77" s="438">
        <v>0</v>
      </c>
      <c r="CY77" s="438">
        <v>0</v>
      </c>
      <c r="CZ77" s="438">
        <v>0</v>
      </c>
      <c r="DA77" s="438">
        <v>1</v>
      </c>
      <c r="DB77" s="438">
        <v>87238</v>
      </c>
      <c r="DC77" s="438">
        <v>0</v>
      </c>
      <c r="DD77" s="438">
        <v>0</v>
      </c>
      <c r="DE77" s="438">
        <v>0</v>
      </c>
      <c r="DF77" s="438">
        <v>0</v>
      </c>
      <c r="DG77" s="438">
        <v>0</v>
      </c>
      <c r="DH77" s="438">
        <v>0</v>
      </c>
      <c r="DI77" s="438">
        <v>0</v>
      </c>
      <c r="DK77" s="437">
        <v>5392</v>
      </c>
      <c r="DL77" s="438">
        <v>0</v>
      </c>
      <c r="DM77" s="438">
        <v>50757</v>
      </c>
      <c r="DN77" s="438">
        <v>0</v>
      </c>
      <c r="DO77" s="438">
        <v>0</v>
      </c>
      <c r="DP77" s="438">
        <v>0</v>
      </c>
      <c r="DQ77" s="438">
        <v>0</v>
      </c>
      <c r="DR77" s="438">
        <v>0</v>
      </c>
      <c r="DS77" s="438">
        <v>0</v>
      </c>
      <c r="DT77" s="438">
        <v>0</v>
      </c>
      <c r="DU77" s="438">
        <v>0</v>
      </c>
      <c r="DV77" s="438">
        <v>0</v>
      </c>
      <c r="DW77" s="438">
        <v>0</v>
      </c>
      <c r="DX77" s="438">
        <v>0</v>
      </c>
      <c r="DY77" s="438">
        <v>0</v>
      </c>
      <c r="DZ77" s="438">
        <v>0</v>
      </c>
      <c r="EA77" s="438">
        <v>0</v>
      </c>
      <c r="EB77" s="438">
        <v>0</v>
      </c>
      <c r="EC77" s="438">
        <v>1.532</v>
      </c>
      <c r="ED77" s="438">
        <v>11028</v>
      </c>
      <c r="EE77" s="438">
        <v>0</v>
      </c>
      <c r="EF77" s="438">
        <v>0</v>
      </c>
      <c r="EG77" s="438">
        <v>0</v>
      </c>
      <c r="EH77" s="438">
        <v>39729</v>
      </c>
      <c r="EI77" s="438">
        <v>0</v>
      </c>
      <c r="EJ77" s="438">
        <v>0</v>
      </c>
      <c r="EK77" s="438">
        <v>1.712</v>
      </c>
      <c r="EL77" s="438">
        <v>0</v>
      </c>
      <c r="EM77" s="438">
        <v>0</v>
      </c>
      <c r="EN77" s="438">
        <v>0.187</v>
      </c>
      <c r="EO77" s="438">
        <v>0</v>
      </c>
      <c r="EP77" s="438">
        <v>0</v>
      </c>
      <c r="EQ77" s="438">
        <v>1.899</v>
      </c>
      <c r="ER77" s="438">
        <v>0</v>
      </c>
      <c r="ES77" s="438">
        <v>6.0709999999999997</v>
      </c>
      <c r="ET77" s="438">
        <v>0</v>
      </c>
      <c r="EU77" s="438">
        <v>3558</v>
      </c>
      <c r="EV77" s="438">
        <v>0</v>
      </c>
      <c r="EW77" s="438">
        <v>0</v>
      </c>
      <c r="EX77" s="438">
        <v>0</v>
      </c>
      <c r="EZ77" s="438">
        <v>136219</v>
      </c>
      <c r="FA77" s="438">
        <v>0</v>
      </c>
      <c r="FB77" s="438">
        <v>139777</v>
      </c>
      <c r="FC77" s="438">
        <v>0.97334900000000002</v>
      </c>
      <c r="FD77" s="438">
        <v>0</v>
      </c>
      <c r="FE77" s="438">
        <v>19565</v>
      </c>
      <c r="FF77" s="438">
        <v>4459</v>
      </c>
      <c r="FG77" s="437">
        <v>5.7854999999999997E-2</v>
      </c>
      <c r="FH77" s="437">
        <v>5.2366000000000003E-2</v>
      </c>
      <c r="FI77" s="438">
        <v>0</v>
      </c>
      <c r="FJ77" s="438">
        <v>0</v>
      </c>
      <c r="FK77" s="438">
        <v>26.652999999999999</v>
      </c>
      <c r="FL77" s="438">
        <v>163801</v>
      </c>
      <c r="FM77" s="438">
        <v>0</v>
      </c>
      <c r="FN77" s="438">
        <v>0</v>
      </c>
      <c r="FO77" s="438">
        <v>0</v>
      </c>
      <c r="FP77" s="438">
        <v>0</v>
      </c>
      <c r="FQ77" s="438">
        <v>0</v>
      </c>
      <c r="FR77" s="438">
        <v>0</v>
      </c>
      <c r="FS77" s="438">
        <v>0</v>
      </c>
      <c r="FT77" s="438">
        <v>0</v>
      </c>
      <c r="FU77" s="438">
        <v>0</v>
      </c>
      <c r="FV77" s="438">
        <v>0</v>
      </c>
      <c r="FW77" s="438">
        <v>0</v>
      </c>
      <c r="FX77" s="438">
        <v>0</v>
      </c>
      <c r="FY77" s="438">
        <v>0</v>
      </c>
      <c r="FZ77" s="438">
        <v>0</v>
      </c>
      <c r="GA77" s="438">
        <v>0</v>
      </c>
      <c r="GB77" s="438">
        <v>0</v>
      </c>
      <c r="GC77" s="438">
        <v>0</v>
      </c>
      <c r="GD77" s="438">
        <v>0</v>
      </c>
      <c r="GF77" s="438">
        <v>0</v>
      </c>
      <c r="GG77" s="438">
        <v>0</v>
      </c>
      <c r="GH77" s="438">
        <v>0</v>
      </c>
      <c r="GI77" s="438">
        <v>0</v>
      </c>
      <c r="GJ77" s="438">
        <v>0</v>
      </c>
      <c r="GK77" s="438">
        <v>4604.6369999999997</v>
      </c>
      <c r="GL77" s="438">
        <v>0</v>
      </c>
      <c r="GM77" s="438">
        <v>0</v>
      </c>
      <c r="GN77" s="438">
        <v>0</v>
      </c>
      <c r="GO77" s="438">
        <v>0</v>
      </c>
      <c r="GP77" s="438">
        <v>163801</v>
      </c>
      <c r="GQ77" s="438">
        <v>163801</v>
      </c>
      <c r="GR77" s="438">
        <v>0</v>
      </c>
      <c r="GS77" s="438">
        <v>0</v>
      </c>
      <c r="GT77" s="438">
        <v>0</v>
      </c>
      <c r="HB77" s="438">
        <v>0</v>
      </c>
      <c r="HC77" s="437">
        <v>0</v>
      </c>
      <c r="HD77" s="438">
        <v>0</v>
      </c>
    </row>
    <row r="78" spans="1:212" x14ac:dyDescent="0.2">
      <c r="A78" s="438">
        <v>25836</v>
      </c>
      <c r="B78" s="442">
        <v>61501</v>
      </c>
      <c r="C78" s="438">
        <v>9</v>
      </c>
      <c r="D78" s="438">
        <v>2020</v>
      </c>
      <c r="E78" s="438">
        <v>5651</v>
      </c>
      <c r="F78" s="438">
        <v>0</v>
      </c>
      <c r="G78" s="438">
        <v>372.32299999999998</v>
      </c>
      <c r="H78" s="438">
        <v>372.32299999999998</v>
      </c>
      <c r="I78" s="438">
        <v>372.32299999999998</v>
      </c>
      <c r="J78" s="438">
        <v>372.32299999999998</v>
      </c>
      <c r="K78" s="438">
        <v>0</v>
      </c>
      <c r="L78" s="437">
        <v>7732</v>
      </c>
      <c r="M78" s="438">
        <v>0</v>
      </c>
      <c r="N78" s="438">
        <v>0</v>
      </c>
      <c r="P78" s="438">
        <v>379.452</v>
      </c>
      <c r="Q78" s="438">
        <v>0</v>
      </c>
      <c r="R78" s="438">
        <v>93947</v>
      </c>
      <c r="S78" s="437">
        <v>247.58699999999999</v>
      </c>
      <c r="U78" s="438">
        <v>0</v>
      </c>
      <c r="V78" s="438">
        <v>0</v>
      </c>
      <c r="W78" s="438">
        <v>0</v>
      </c>
      <c r="X78" s="438">
        <v>0</v>
      </c>
      <c r="Z78" s="438">
        <v>0</v>
      </c>
      <c r="AA78" s="438">
        <v>1.1399999999999999</v>
      </c>
      <c r="AB78" s="438">
        <v>1.1399999999999999</v>
      </c>
      <c r="AC78" s="438">
        <v>0</v>
      </c>
      <c r="AD78" s="438" t="s">
        <v>332</v>
      </c>
      <c r="AE78" s="438">
        <v>0</v>
      </c>
      <c r="AH78" s="438">
        <v>0</v>
      </c>
      <c r="AI78" s="438">
        <v>0</v>
      </c>
      <c r="AJ78" s="437">
        <v>5140</v>
      </c>
      <c r="AK78" s="438" t="s">
        <v>561</v>
      </c>
      <c r="AL78" s="438" t="s">
        <v>647</v>
      </c>
      <c r="AM78" s="438">
        <v>0</v>
      </c>
      <c r="AN78" s="438">
        <v>0</v>
      </c>
      <c r="AO78" s="438">
        <v>0</v>
      </c>
      <c r="AP78" s="438">
        <v>0</v>
      </c>
      <c r="AQ78" s="438">
        <v>0</v>
      </c>
      <c r="AR78" s="438">
        <v>0</v>
      </c>
      <c r="AS78" s="438">
        <v>0</v>
      </c>
      <c r="AT78" s="438">
        <v>0</v>
      </c>
      <c r="AU78" s="438">
        <v>0</v>
      </c>
      <c r="AV78" s="438">
        <v>0</v>
      </c>
      <c r="AW78" s="438">
        <v>2784854</v>
      </c>
      <c r="AX78" s="438">
        <v>2784854</v>
      </c>
      <c r="AY78" s="438">
        <v>0</v>
      </c>
      <c r="AZ78" s="438">
        <v>93947</v>
      </c>
      <c r="BA78" s="438">
        <v>0</v>
      </c>
      <c r="BB78" s="438">
        <v>0</v>
      </c>
      <c r="BC78" s="438">
        <v>0</v>
      </c>
      <c r="BD78" s="438">
        <v>0</v>
      </c>
      <c r="BE78" s="438">
        <v>0</v>
      </c>
      <c r="BF78" s="438">
        <v>2748641</v>
      </c>
      <c r="BG78" s="438">
        <v>0</v>
      </c>
      <c r="BH78" s="438">
        <v>0</v>
      </c>
      <c r="BI78" s="438">
        <v>0</v>
      </c>
      <c r="BJ78" s="438">
        <v>0</v>
      </c>
      <c r="BK78" s="438">
        <v>0</v>
      </c>
      <c r="BL78" s="438">
        <v>0</v>
      </c>
      <c r="BM78" s="438">
        <v>0</v>
      </c>
      <c r="BN78" s="438">
        <v>0</v>
      </c>
      <c r="BO78" s="438">
        <v>0</v>
      </c>
      <c r="BP78" s="438">
        <v>0</v>
      </c>
      <c r="BQ78" s="437">
        <v>0</v>
      </c>
      <c r="BR78" s="438">
        <v>2</v>
      </c>
      <c r="BS78" s="438">
        <v>0</v>
      </c>
      <c r="BT78" s="438">
        <v>0</v>
      </c>
      <c r="BU78" s="438">
        <v>0</v>
      </c>
      <c r="BV78" s="438">
        <v>0</v>
      </c>
      <c r="BW78" s="438">
        <v>0</v>
      </c>
      <c r="BX78" s="438">
        <v>0</v>
      </c>
      <c r="BY78" s="438">
        <v>0</v>
      </c>
      <c r="BZ78" s="438">
        <v>0</v>
      </c>
      <c r="CA78" s="438">
        <v>0</v>
      </c>
      <c r="CB78" s="438">
        <v>0</v>
      </c>
      <c r="CC78" s="438">
        <v>0</v>
      </c>
      <c r="CG78" s="438">
        <v>0</v>
      </c>
      <c r="CH78" s="438">
        <v>0</v>
      </c>
      <c r="CI78" s="438">
        <v>0</v>
      </c>
      <c r="CJ78" s="438">
        <v>1</v>
      </c>
      <c r="CK78" s="438">
        <v>0</v>
      </c>
      <c r="CL78" s="438">
        <v>0</v>
      </c>
      <c r="CN78" s="438">
        <v>0</v>
      </c>
      <c r="CO78" s="438">
        <v>0</v>
      </c>
      <c r="CP78" s="438">
        <v>0</v>
      </c>
      <c r="CQ78" s="438">
        <v>0</v>
      </c>
      <c r="CR78" s="438">
        <v>379.452</v>
      </c>
      <c r="CS78" s="438">
        <v>0</v>
      </c>
      <c r="CT78" s="438">
        <v>0</v>
      </c>
      <c r="CU78" s="438">
        <v>0</v>
      </c>
      <c r="CV78" s="438">
        <v>0</v>
      </c>
      <c r="CW78" s="438">
        <v>0</v>
      </c>
      <c r="CX78" s="438">
        <v>0</v>
      </c>
      <c r="CY78" s="438">
        <v>0</v>
      </c>
      <c r="CZ78" s="438">
        <v>0</v>
      </c>
      <c r="DA78" s="438">
        <v>1</v>
      </c>
      <c r="DB78" s="438">
        <v>2878801</v>
      </c>
      <c r="DC78" s="438">
        <v>0</v>
      </c>
      <c r="DD78" s="438">
        <v>0</v>
      </c>
      <c r="DE78" s="438">
        <v>0</v>
      </c>
      <c r="DF78" s="438">
        <v>0</v>
      </c>
      <c r="DG78" s="438">
        <v>0</v>
      </c>
      <c r="DH78" s="438">
        <v>0</v>
      </c>
      <c r="DI78" s="438">
        <v>0</v>
      </c>
      <c r="DK78" s="437">
        <v>7732</v>
      </c>
      <c r="DL78" s="438">
        <v>0</v>
      </c>
      <c r="DM78" s="438">
        <v>0</v>
      </c>
      <c r="DN78" s="438">
        <v>0</v>
      </c>
      <c r="DO78" s="438">
        <v>0</v>
      </c>
      <c r="DP78" s="438">
        <v>0</v>
      </c>
      <c r="DQ78" s="438">
        <v>0</v>
      </c>
      <c r="DR78" s="438">
        <v>0</v>
      </c>
      <c r="DS78" s="438">
        <v>0</v>
      </c>
      <c r="DT78" s="438">
        <v>0</v>
      </c>
      <c r="DU78" s="438">
        <v>0</v>
      </c>
      <c r="DV78" s="438">
        <v>0</v>
      </c>
      <c r="DW78" s="438">
        <v>0</v>
      </c>
      <c r="DX78" s="438">
        <v>0</v>
      </c>
      <c r="DY78" s="438">
        <v>0</v>
      </c>
      <c r="DZ78" s="438">
        <v>0</v>
      </c>
      <c r="EA78" s="438">
        <v>0</v>
      </c>
      <c r="EB78" s="438">
        <v>0</v>
      </c>
      <c r="EC78" s="438">
        <v>0</v>
      </c>
      <c r="ED78" s="438">
        <v>0</v>
      </c>
      <c r="EE78" s="438">
        <v>0</v>
      </c>
      <c r="EF78" s="438">
        <v>0</v>
      </c>
      <c r="EG78" s="438">
        <v>0</v>
      </c>
      <c r="EH78" s="438">
        <v>0</v>
      </c>
      <c r="EI78" s="438">
        <v>0</v>
      </c>
      <c r="EJ78" s="438">
        <v>0</v>
      </c>
      <c r="EK78" s="438">
        <v>0</v>
      </c>
      <c r="EL78" s="438">
        <v>0</v>
      </c>
      <c r="EM78" s="438">
        <v>0</v>
      </c>
      <c r="EN78" s="438">
        <v>0</v>
      </c>
      <c r="EO78" s="438">
        <v>0</v>
      </c>
      <c r="EP78" s="438">
        <v>0</v>
      </c>
      <c r="EQ78" s="438">
        <v>0</v>
      </c>
      <c r="ER78" s="438">
        <v>0</v>
      </c>
      <c r="ES78" s="438">
        <v>0</v>
      </c>
      <c r="ET78" s="438">
        <v>0</v>
      </c>
      <c r="EU78" s="438">
        <v>93947</v>
      </c>
      <c r="EV78" s="438">
        <v>0</v>
      </c>
      <c r="EW78" s="438">
        <v>0</v>
      </c>
      <c r="EX78" s="438">
        <v>0</v>
      </c>
      <c r="EZ78" s="438">
        <v>2784854</v>
      </c>
      <c r="FA78" s="438">
        <v>0</v>
      </c>
      <c r="FB78" s="438">
        <v>2878801</v>
      </c>
      <c r="FC78" s="438">
        <v>0.95478700000000005</v>
      </c>
      <c r="FD78" s="438">
        <v>0</v>
      </c>
      <c r="FE78" s="438">
        <v>0</v>
      </c>
      <c r="FF78" s="438">
        <v>0</v>
      </c>
      <c r="FG78" s="437">
        <v>0</v>
      </c>
      <c r="FH78" s="437">
        <v>0</v>
      </c>
      <c r="FI78" s="438">
        <v>0</v>
      </c>
      <c r="FJ78" s="438">
        <v>0</v>
      </c>
      <c r="FK78" s="438">
        <v>534.755</v>
      </c>
      <c r="FL78" s="438">
        <v>2878801</v>
      </c>
      <c r="FM78" s="438">
        <v>0</v>
      </c>
      <c r="FN78" s="438">
        <v>0</v>
      </c>
      <c r="FO78" s="438">
        <v>0</v>
      </c>
      <c r="FP78" s="438">
        <v>0</v>
      </c>
      <c r="FQ78" s="438">
        <v>0</v>
      </c>
      <c r="FR78" s="438">
        <v>0</v>
      </c>
      <c r="FS78" s="438">
        <v>0</v>
      </c>
      <c r="FT78" s="438">
        <v>0</v>
      </c>
      <c r="FU78" s="438">
        <v>0</v>
      </c>
      <c r="FV78" s="438">
        <v>0</v>
      </c>
      <c r="FW78" s="438">
        <v>0</v>
      </c>
      <c r="FX78" s="438">
        <v>0</v>
      </c>
      <c r="FY78" s="438">
        <v>0</v>
      </c>
      <c r="FZ78" s="438">
        <v>0</v>
      </c>
      <c r="GA78" s="438">
        <v>0</v>
      </c>
      <c r="GB78" s="438">
        <v>0</v>
      </c>
      <c r="GC78" s="438">
        <v>0</v>
      </c>
      <c r="GD78" s="438">
        <v>0</v>
      </c>
      <c r="GF78" s="438">
        <v>0</v>
      </c>
      <c r="GG78" s="438">
        <v>0</v>
      </c>
      <c r="GH78" s="438">
        <v>0</v>
      </c>
      <c r="GI78" s="438">
        <v>0</v>
      </c>
      <c r="GJ78" s="438">
        <v>0</v>
      </c>
      <c r="GK78" s="438">
        <v>0</v>
      </c>
      <c r="GL78" s="438">
        <v>11774</v>
      </c>
      <c r="GM78" s="438">
        <v>0</v>
      </c>
      <c r="GN78" s="438">
        <v>0</v>
      </c>
      <c r="GO78" s="438">
        <v>0</v>
      </c>
      <c r="GP78" s="438">
        <v>2878801</v>
      </c>
      <c r="GQ78" s="438">
        <v>2878801</v>
      </c>
      <c r="GR78" s="438">
        <v>0</v>
      </c>
      <c r="GS78" s="438">
        <v>0</v>
      </c>
      <c r="GT78" s="438">
        <v>0</v>
      </c>
      <c r="HB78" s="438">
        <v>0</v>
      </c>
      <c r="HC78" s="437">
        <v>0</v>
      </c>
      <c r="HD78" s="438">
        <v>0</v>
      </c>
    </row>
    <row r="79" spans="1:212" x14ac:dyDescent="0.2">
      <c r="A79" s="438">
        <v>25836</v>
      </c>
      <c r="B79" s="442">
        <v>61802</v>
      </c>
      <c r="C79" s="438">
        <v>9</v>
      </c>
      <c r="D79" s="438">
        <v>2020</v>
      </c>
      <c r="E79" s="438">
        <v>5392</v>
      </c>
      <c r="F79" s="438">
        <v>0</v>
      </c>
      <c r="G79" s="438">
        <v>473.10300000000001</v>
      </c>
      <c r="H79" s="438">
        <v>457.91399999999999</v>
      </c>
      <c r="I79" s="438">
        <v>457.91399999999999</v>
      </c>
      <c r="J79" s="438">
        <v>473.10300000000001</v>
      </c>
      <c r="K79" s="438">
        <v>0</v>
      </c>
      <c r="L79" s="437">
        <v>6544</v>
      </c>
      <c r="M79" s="438">
        <v>0</v>
      </c>
      <c r="N79" s="438">
        <v>0</v>
      </c>
      <c r="P79" s="438">
        <v>475.47300000000001</v>
      </c>
      <c r="Q79" s="438">
        <v>0</v>
      </c>
      <c r="R79" s="438">
        <v>117721</v>
      </c>
      <c r="S79" s="437">
        <v>247.58699999999999</v>
      </c>
      <c r="U79" s="438">
        <v>0</v>
      </c>
      <c r="V79" s="438">
        <v>151.167</v>
      </c>
      <c r="W79" s="438">
        <v>98924</v>
      </c>
      <c r="X79" s="438">
        <v>98924</v>
      </c>
      <c r="Z79" s="438">
        <v>0</v>
      </c>
      <c r="AA79" s="438">
        <v>1</v>
      </c>
      <c r="AB79" s="438">
        <v>1</v>
      </c>
      <c r="AC79" s="438">
        <v>0</v>
      </c>
      <c r="AD79" s="438" t="s">
        <v>332</v>
      </c>
      <c r="AE79" s="438">
        <v>0</v>
      </c>
      <c r="AH79" s="438">
        <v>0</v>
      </c>
      <c r="AI79" s="438">
        <v>0</v>
      </c>
      <c r="AJ79" s="437">
        <v>5105</v>
      </c>
      <c r="AK79" s="438" t="s">
        <v>561</v>
      </c>
      <c r="AL79" s="438" t="s">
        <v>352</v>
      </c>
      <c r="AM79" s="438">
        <v>0</v>
      </c>
      <c r="AN79" s="438">
        <v>0</v>
      </c>
      <c r="AO79" s="438">
        <v>0</v>
      </c>
      <c r="AP79" s="438">
        <v>0</v>
      </c>
      <c r="AQ79" s="438">
        <v>0</v>
      </c>
      <c r="AR79" s="438">
        <v>0</v>
      </c>
      <c r="AS79" s="438">
        <v>0</v>
      </c>
      <c r="AT79" s="438">
        <v>0</v>
      </c>
      <c r="AU79" s="438">
        <v>0</v>
      </c>
      <c r="AV79" s="438">
        <v>0</v>
      </c>
      <c r="AW79" s="438">
        <v>4743249</v>
      </c>
      <c r="AX79" s="438">
        <v>4694624</v>
      </c>
      <c r="AY79" s="438">
        <v>0</v>
      </c>
      <c r="AZ79" s="438">
        <v>158013</v>
      </c>
      <c r="BA79" s="438">
        <v>16</v>
      </c>
      <c r="BB79" s="438">
        <v>0</v>
      </c>
      <c r="BC79" s="438">
        <v>0</v>
      </c>
      <c r="BD79" s="438">
        <v>0</v>
      </c>
      <c r="BE79" s="438">
        <v>0</v>
      </c>
      <c r="BF79" s="438">
        <v>3954529</v>
      </c>
      <c r="BG79" s="438">
        <v>0</v>
      </c>
      <c r="BH79" s="438">
        <v>146.517</v>
      </c>
      <c r="BI79" s="438">
        <v>40292</v>
      </c>
      <c r="BJ79" s="438">
        <v>12</v>
      </c>
      <c r="BK79" s="438">
        <v>0</v>
      </c>
      <c r="BL79" s="438">
        <v>0</v>
      </c>
      <c r="BM79" s="438">
        <v>0</v>
      </c>
      <c r="BN79" s="438">
        <v>0</v>
      </c>
      <c r="BO79" s="438">
        <v>0</v>
      </c>
      <c r="BP79" s="438">
        <v>0</v>
      </c>
      <c r="BQ79" s="437">
        <v>5392</v>
      </c>
      <c r="BR79" s="438">
        <v>1</v>
      </c>
      <c r="BS79" s="438">
        <v>0</v>
      </c>
      <c r="BT79" s="438">
        <v>0</v>
      </c>
      <c r="BU79" s="438">
        <v>0</v>
      </c>
      <c r="BV79" s="438">
        <v>0</v>
      </c>
      <c r="BW79" s="438">
        <v>0</v>
      </c>
      <c r="BX79" s="438">
        <v>0</v>
      </c>
      <c r="BY79" s="438">
        <v>0</v>
      </c>
      <c r="BZ79" s="438">
        <v>0</v>
      </c>
      <c r="CA79" s="438">
        <v>0</v>
      </c>
      <c r="CB79" s="438">
        <v>0</v>
      </c>
      <c r="CC79" s="438">
        <v>0</v>
      </c>
      <c r="CG79" s="438">
        <v>0</v>
      </c>
      <c r="CH79" s="438">
        <v>8333</v>
      </c>
      <c r="CI79" s="438">
        <v>0</v>
      </c>
      <c r="CJ79" s="438">
        <v>4</v>
      </c>
      <c r="CK79" s="438">
        <v>0</v>
      </c>
      <c r="CL79" s="438">
        <v>0</v>
      </c>
      <c r="CN79" s="438">
        <v>0</v>
      </c>
      <c r="CO79" s="438">
        <v>1</v>
      </c>
      <c r="CP79" s="438">
        <v>0</v>
      </c>
      <c r="CQ79" s="438">
        <v>1.333</v>
      </c>
      <c r="CR79" s="438">
        <v>473.10300000000001</v>
      </c>
      <c r="CS79" s="438">
        <v>0</v>
      </c>
      <c r="CT79" s="438">
        <v>0</v>
      </c>
      <c r="CU79" s="438">
        <v>0</v>
      </c>
      <c r="CV79" s="438">
        <v>0</v>
      </c>
      <c r="CW79" s="438">
        <v>0</v>
      </c>
      <c r="CX79" s="438">
        <v>0</v>
      </c>
      <c r="CY79" s="438">
        <v>0</v>
      </c>
      <c r="CZ79" s="438">
        <v>0</v>
      </c>
      <c r="DA79" s="438">
        <v>1</v>
      </c>
      <c r="DB79" s="438">
        <v>2996589</v>
      </c>
      <c r="DC79" s="438">
        <v>0</v>
      </c>
      <c r="DD79" s="438">
        <v>17.332999999999998</v>
      </c>
      <c r="DE79" s="438">
        <v>589182</v>
      </c>
      <c r="DF79" s="438">
        <v>589182</v>
      </c>
      <c r="DG79" s="438">
        <v>450.17</v>
      </c>
      <c r="DH79" s="438">
        <v>0</v>
      </c>
      <c r="DI79" s="438">
        <v>0</v>
      </c>
      <c r="DK79" s="437">
        <v>5392</v>
      </c>
      <c r="DL79" s="438">
        <v>0</v>
      </c>
      <c r="DM79" s="438">
        <v>378110</v>
      </c>
      <c r="DN79" s="438">
        <v>0</v>
      </c>
      <c r="DO79" s="438">
        <v>0</v>
      </c>
      <c r="DP79" s="438">
        <v>0</v>
      </c>
      <c r="DQ79" s="438">
        <v>0</v>
      </c>
      <c r="DR79" s="438">
        <v>0</v>
      </c>
      <c r="DS79" s="438">
        <v>0</v>
      </c>
      <c r="DT79" s="438">
        <v>0</v>
      </c>
      <c r="DU79" s="438">
        <v>0</v>
      </c>
      <c r="DV79" s="438">
        <v>0</v>
      </c>
      <c r="DW79" s="438">
        <v>0</v>
      </c>
      <c r="DX79" s="438">
        <v>0</v>
      </c>
      <c r="DY79" s="438">
        <v>0</v>
      </c>
      <c r="DZ79" s="438">
        <v>0</v>
      </c>
      <c r="EA79" s="438">
        <v>0</v>
      </c>
      <c r="EB79" s="438">
        <v>0</v>
      </c>
      <c r="EC79" s="438">
        <v>8.9570000000000007</v>
      </c>
      <c r="ED79" s="438">
        <v>64476</v>
      </c>
      <c r="EE79" s="438">
        <v>0</v>
      </c>
      <c r="EF79" s="438">
        <v>0</v>
      </c>
      <c r="EG79" s="438">
        <v>0</v>
      </c>
      <c r="EH79" s="438">
        <v>313634</v>
      </c>
      <c r="EI79" s="438">
        <v>0</v>
      </c>
      <c r="EJ79" s="438">
        <v>0</v>
      </c>
      <c r="EK79" s="438">
        <v>13.587</v>
      </c>
      <c r="EL79" s="438">
        <v>0</v>
      </c>
      <c r="EM79" s="438">
        <v>0.42199999999999999</v>
      </c>
      <c r="EN79" s="438">
        <v>1.18</v>
      </c>
      <c r="EO79" s="438">
        <v>0</v>
      </c>
      <c r="EP79" s="438">
        <v>0</v>
      </c>
      <c r="EQ79" s="438">
        <v>15.189</v>
      </c>
      <c r="ER79" s="438">
        <v>0</v>
      </c>
      <c r="ES79" s="438">
        <v>47.927</v>
      </c>
      <c r="ET79" s="438">
        <v>8333</v>
      </c>
      <c r="EU79" s="438">
        <v>158013</v>
      </c>
      <c r="EV79" s="438">
        <v>0</v>
      </c>
      <c r="EW79" s="438">
        <v>0</v>
      </c>
      <c r="EX79" s="438">
        <v>0</v>
      </c>
      <c r="EZ79" s="438">
        <v>3996331</v>
      </c>
      <c r="FA79" s="438">
        <v>0</v>
      </c>
      <c r="FB79" s="438">
        <v>4154344</v>
      </c>
      <c r="FC79" s="438">
        <v>0.97334900000000002</v>
      </c>
      <c r="FD79" s="438">
        <v>0</v>
      </c>
      <c r="FE79" s="438">
        <v>568679</v>
      </c>
      <c r="FF79" s="438">
        <v>129614</v>
      </c>
      <c r="FG79" s="437">
        <v>5.7854999999999997E-2</v>
      </c>
      <c r="FH79" s="437">
        <v>5.2366000000000003E-2</v>
      </c>
      <c r="FI79" s="438">
        <v>0</v>
      </c>
      <c r="FJ79" s="438">
        <v>0</v>
      </c>
      <c r="FK79" s="438">
        <v>774.69899999999996</v>
      </c>
      <c r="FL79" s="438">
        <v>4860970</v>
      </c>
      <c r="FM79" s="438">
        <v>0</v>
      </c>
      <c r="FN79" s="438">
        <v>0</v>
      </c>
      <c r="FO79" s="438">
        <v>51247</v>
      </c>
      <c r="FP79" s="438">
        <v>0</v>
      </c>
      <c r="FQ79" s="438">
        <v>51247</v>
      </c>
      <c r="FR79" s="438">
        <v>51247</v>
      </c>
      <c r="FS79" s="438">
        <v>0</v>
      </c>
      <c r="FT79" s="438">
        <v>0</v>
      </c>
      <c r="FU79" s="438">
        <v>0</v>
      </c>
      <c r="FV79" s="438">
        <v>0</v>
      </c>
      <c r="FW79" s="438">
        <v>0</v>
      </c>
      <c r="FX79" s="438">
        <v>0</v>
      </c>
      <c r="FY79" s="438">
        <v>0</v>
      </c>
      <c r="FZ79" s="438">
        <v>0</v>
      </c>
      <c r="GA79" s="438">
        <v>0</v>
      </c>
      <c r="GB79" s="438">
        <v>0</v>
      </c>
      <c r="GC79" s="438">
        <v>0</v>
      </c>
      <c r="GD79" s="438">
        <v>0</v>
      </c>
      <c r="GF79" s="438">
        <v>0</v>
      </c>
      <c r="GG79" s="438">
        <v>0</v>
      </c>
      <c r="GH79" s="438">
        <v>0</v>
      </c>
      <c r="GI79" s="438">
        <v>0</v>
      </c>
      <c r="GJ79" s="438">
        <v>0</v>
      </c>
      <c r="GK79" s="438">
        <v>4894.5690000000004</v>
      </c>
      <c r="GL79" s="438">
        <v>21858</v>
      </c>
      <c r="GM79" s="438">
        <v>0</v>
      </c>
      <c r="GN79" s="438">
        <v>63454</v>
      </c>
      <c r="GO79" s="438">
        <v>0</v>
      </c>
      <c r="GP79" s="438">
        <v>4852637</v>
      </c>
      <c r="GQ79" s="438">
        <v>4852637</v>
      </c>
      <c r="GR79" s="438">
        <v>0</v>
      </c>
      <c r="GS79" s="438">
        <v>0</v>
      </c>
      <c r="GT79" s="438">
        <v>0</v>
      </c>
      <c r="HB79" s="438">
        <v>0</v>
      </c>
      <c r="HC79" s="437">
        <v>6.0754000000000002E-2</v>
      </c>
      <c r="HD79" s="438">
        <v>0</v>
      </c>
    </row>
    <row r="80" spans="1:212" x14ac:dyDescent="0.2">
      <c r="A80" s="438">
        <v>25836</v>
      </c>
      <c r="B80" s="442">
        <v>61804</v>
      </c>
      <c r="C80" s="438">
        <v>9</v>
      </c>
      <c r="D80" s="438">
        <v>2020</v>
      </c>
      <c r="E80" s="438">
        <v>5392</v>
      </c>
      <c r="F80" s="438">
        <v>0</v>
      </c>
      <c r="G80" s="438">
        <v>1191.588</v>
      </c>
      <c r="H80" s="438">
        <v>1134.298</v>
      </c>
      <c r="I80" s="438">
        <v>1134.298</v>
      </c>
      <c r="J80" s="438">
        <v>1191.588</v>
      </c>
      <c r="K80" s="438">
        <v>0</v>
      </c>
      <c r="L80" s="437">
        <v>6544</v>
      </c>
      <c r="M80" s="438">
        <v>0</v>
      </c>
      <c r="N80" s="438">
        <v>0</v>
      </c>
      <c r="P80" s="438">
        <v>1190.2349999999999</v>
      </c>
      <c r="Q80" s="438">
        <v>0</v>
      </c>
      <c r="R80" s="438">
        <v>294687</v>
      </c>
      <c r="S80" s="437">
        <v>247.58699999999999</v>
      </c>
      <c r="U80" s="438">
        <v>0</v>
      </c>
      <c r="V80" s="438">
        <v>69.058000000000007</v>
      </c>
      <c r="W80" s="438">
        <v>45192</v>
      </c>
      <c r="X80" s="438">
        <v>45192</v>
      </c>
      <c r="Z80" s="438">
        <v>0</v>
      </c>
      <c r="AA80" s="438">
        <v>1</v>
      </c>
      <c r="AB80" s="438">
        <v>1</v>
      </c>
      <c r="AC80" s="438">
        <v>0</v>
      </c>
      <c r="AD80" s="438" t="s">
        <v>332</v>
      </c>
      <c r="AE80" s="438">
        <v>0</v>
      </c>
      <c r="AH80" s="438">
        <v>0</v>
      </c>
      <c r="AI80" s="438">
        <v>0</v>
      </c>
      <c r="AJ80" s="437">
        <v>5105</v>
      </c>
      <c r="AK80" s="438" t="s">
        <v>561</v>
      </c>
      <c r="AL80" s="438" t="s">
        <v>353</v>
      </c>
      <c r="AM80" s="438">
        <v>0</v>
      </c>
      <c r="AN80" s="438">
        <v>0</v>
      </c>
      <c r="AO80" s="438">
        <v>0</v>
      </c>
      <c r="AP80" s="438">
        <v>0</v>
      </c>
      <c r="AQ80" s="438">
        <v>0</v>
      </c>
      <c r="AR80" s="438">
        <v>0</v>
      </c>
      <c r="AS80" s="438">
        <v>0</v>
      </c>
      <c r="AT80" s="438">
        <v>0</v>
      </c>
      <c r="AU80" s="438">
        <v>0</v>
      </c>
      <c r="AV80" s="438">
        <v>0</v>
      </c>
      <c r="AW80" s="438">
        <v>9723928</v>
      </c>
      <c r="AX80" s="438">
        <v>9652345</v>
      </c>
      <c r="AY80" s="438">
        <v>0</v>
      </c>
      <c r="AZ80" s="438">
        <v>366270</v>
      </c>
      <c r="BA80" s="438">
        <v>0</v>
      </c>
      <c r="BB80" s="438">
        <v>46787</v>
      </c>
      <c r="BC80" s="438">
        <v>46787</v>
      </c>
      <c r="BD80" s="438">
        <v>59.579000000000001</v>
      </c>
      <c r="BE80" s="438">
        <v>0</v>
      </c>
      <c r="BF80" s="438">
        <v>8261923</v>
      </c>
      <c r="BG80" s="438">
        <v>0</v>
      </c>
      <c r="BH80" s="438">
        <v>260.3</v>
      </c>
      <c r="BI80" s="438">
        <v>71583</v>
      </c>
      <c r="BJ80" s="438">
        <v>12</v>
      </c>
      <c r="BK80" s="438">
        <v>0</v>
      </c>
      <c r="BL80" s="438">
        <v>0</v>
      </c>
      <c r="BM80" s="438">
        <v>0</v>
      </c>
      <c r="BN80" s="438">
        <v>0</v>
      </c>
      <c r="BO80" s="438">
        <v>0</v>
      </c>
      <c r="BP80" s="438">
        <v>0</v>
      </c>
      <c r="BQ80" s="437">
        <v>5392</v>
      </c>
      <c r="BR80" s="438">
        <v>1</v>
      </c>
      <c r="BS80" s="438">
        <v>0</v>
      </c>
      <c r="BT80" s="438">
        <v>0</v>
      </c>
      <c r="BU80" s="438">
        <v>0</v>
      </c>
      <c r="BV80" s="438">
        <v>0</v>
      </c>
      <c r="BW80" s="438">
        <v>0</v>
      </c>
      <c r="BX80" s="438">
        <v>0</v>
      </c>
      <c r="BY80" s="438">
        <v>0</v>
      </c>
      <c r="BZ80" s="438">
        <v>0</v>
      </c>
      <c r="CA80" s="438">
        <v>0</v>
      </c>
      <c r="CB80" s="438">
        <v>0</v>
      </c>
      <c r="CC80" s="438">
        <v>0</v>
      </c>
      <c r="CG80" s="438">
        <v>0</v>
      </c>
      <c r="CH80" s="438">
        <v>0</v>
      </c>
      <c r="CI80" s="438">
        <v>0</v>
      </c>
      <c r="CJ80" s="438">
        <v>5</v>
      </c>
      <c r="CK80" s="438">
        <v>0</v>
      </c>
      <c r="CL80" s="438">
        <v>0</v>
      </c>
      <c r="CN80" s="438">
        <v>0</v>
      </c>
      <c r="CO80" s="438">
        <v>1</v>
      </c>
      <c r="CP80" s="438">
        <v>0</v>
      </c>
      <c r="CQ80" s="438">
        <v>0</v>
      </c>
      <c r="CR80" s="438">
        <v>1191.588</v>
      </c>
      <c r="CS80" s="438">
        <v>0</v>
      </c>
      <c r="CT80" s="438">
        <v>0</v>
      </c>
      <c r="CU80" s="438">
        <v>0</v>
      </c>
      <c r="CV80" s="438">
        <v>0</v>
      </c>
      <c r="CW80" s="438">
        <v>0</v>
      </c>
      <c r="CX80" s="438">
        <v>0</v>
      </c>
      <c r="CY80" s="438">
        <v>0</v>
      </c>
      <c r="CZ80" s="438">
        <v>0</v>
      </c>
      <c r="DA80" s="438">
        <v>1</v>
      </c>
      <c r="DB80" s="438">
        <v>7422846</v>
      </c>
      <c r="DC80" s="438">
        <v>0</v>
      </c>
      <c r="DD80" s="438">
        <v>0</v>
      </c>
      <c r="DE80" s="438">
        <v>50821</v>
      </c>
      <c r="DF80" s="438">
        <v>50821</v>
      </c>
      <c r="DG80" s="438">
        <v>38.83</v>
      </c>
      <c r="DH80" s="438">
        <v>0</v>
      </c>
      <c r="DI80" s="438">
        <v>0</v>
      </c>
      <c r="DK80" s="437">
        <v>5392</v>
      </c>
      <c r="DL80" s="438">
        <v>0</v>
      </c>
      <c r="DM80" s="438">
        <v>521904</v>
      </c>
      <c r="DN80" s="438">
        <v>0</v>
      </c>
      <c r="DO80" s="438">
        <v>0</v>
      </c>
      <c r="DP80" s="438">
        <v>0</v>
      </c>
      <c r="DQ80" s="438">
        <v>0</v>
      </c>
      <c r="DR80" s="438">
        <v>0</v>
      </c>
      <c r="DS80" s="438">
        <v>0</v>
      </c>
      <c r="DT80" s="438">
        <v>0</v>
      </c>
      <c r="DU80" s="438">
        <v>0</v>
      </c>
      <c r="DV80" s="438">
        <v>0</v>
      </c>
      <c r="DW80" s="438">
        <v>0</v>
      </c>
      <c r="DX80" s="438">
        <v>0</v>
      </c>
      <c r="DY80" s="438">
        <v>0</v>
      </c>
      <c r="DZ80" s="438">
        <v>0</v>
      </c>
      <c r="EA80" s="438">
        <v>0</v>
      </c>
      <c r="EB80" s="438">
        <v>0</v>
      </c>
      <c r="EC80" s="438">
        <v>35.229999999999997</v>
      </c>
      <c r="ED80" s="438">
        <v>253600</v>
      </c>
      <c r="EE80" s="438">
        <v>0</v>
      </c>
      <c r="EF80" s="438">
        <v>0</v>
      </c>
      <c r="EG80" s="438">
        <v>0</v>
      </c>
      <c r="EH80" s="438">
        <v>268304</v>
      </c>
      <c r="EI80" s="438">
        <v>0</v>
      </c>
      <c r="EJ80" s="438">
        <v>0</v>
      </c>
      <c r="EK80" s="438">
        <v>7.2149999999999999</v>
      </c>
      <c r="EL80" s="438">
        <v>0</v>
      </c>
      <c r="EM80" s="438">
        <v>2.15</v>
      </c>
      <c r="EN80" s="438">
        <v>2.581</v>
      </c>
      <c r="EO80" s="438">
        <v>0</v>
      </c>
      <c r="EP80" s="438">
        <v>0</v>
      </c>
      <c r="EQ80" s="438">
        <v>11.946</v>
      </c>
      <c r="ER80" s="438">
        <v>0</v>
      </c>
      <c r="ES80" s="438">
        <v>41</v>
      </c>
      <c r="ET80" s="438">
        <v>0</v>
      </c>
      <c r="EU80" s="438">
        <v>366270</v>
      </c>
      <c r="EV80" s="438">
        <v>0</v>
      </c>
      <c r="EW80" s="438">
        <v>0</v>
      </c>
      <c r="EX80" s="438">
        <v>0</v>
      </c>
      <c r="EZ80" s="438">
        <v>8193450</v>
      </c>
      <c r="FA80" s="438">
        <v>0</v>
      </c>
      <c r="FB80" s="438">
        <v>8559720</v>
      </c>
      <c r="FC80" s="438">
        <v>0.97334900000000002</v>
      </c>
      <c r="FD80" s="438">
        <v>0</v>
      </c>
      <c r="FE80" s="438">
        <v>1188101</v>
      </c>
      <c r="FF80" s="438">
        <v>270794</v>
      </c>
      <c r="FG80" s="437">
        <v>5.7854999999999997E-2</v>
      </c>
      <c r="FH80" s="437">
        <v>5.2366000000000003E-2</v>
      </c>
      <c r="FI80" s="438">
        <v>0</v>
      </c>
      <c r="FJ80" s="438">
        <v>0</v>
      </c>
      <c r="FK80" s="438">
        <v>1618.5250000000001</v>
      </c>
      <c r="FL80" s="438">
        <v>10018615</v>
      </c>
      <c r="FM80" s="438">
        <v>0</v>
      </c>
      <c r="FN80" s="438">
        <v>0</v>
      </c>
      <c r="FO80" s="438">
        <v>0</v>
      </c>
      <c r="FP80" s="438">
        <v>0</v>
      </c>
      <c r="FQ80" s="438">
        <v>0</v>
      </c>
      <c r="FR80" s="438">
        <v>0</v>
      </c>
      <c r="FS80" s="438">
        <v>0</v>
      </c>
      <c r="FT80" s="438">
        <v>0</v>
      </c>
      <c r="FU80" s="438">
        <v>0</v>
      </c>
      <c r="FV80" s="438">
        <v>0</v>
      </c>
      <c r="FW80" s="438">
        <v>0</v>
      </c>
      <c r="FX80" s="438">
        <v>0</v>
      </c>
      <c r="FY80" s="438">
        <v>0</v>
      </c>
      <c r="FZ80" s="438">
        <v>0</v>
      </c>
      <c r="GA80" s="438">
        <v>0</v>
      </c>
      <c r="GB80" s="438">
        <v>400587</v>
      </c>
      <c r="GC80" s="438">
        <v>400587</v>
      </c>
      <c r="GD80" s="438">
        <v>45.344000000000001</v>
      </c>
      <c r="GF80" s="438">
        <v>0</v>
      </c>
      <c r="GG80" s="438">
        <v>0</v>
      </c>
      <c r="GH80" s="438">
        <v>0</v>
      </c>
      <c r="GI80" s="438">
        <v>0</v>
      </c>
      <c r="GJ80" s="438">
        <v>0</v>
      </c>
      <c r="GK80" s="438">
        <v>4604.6369999999997</v>
      </c>
      <c r="GL80" s="438">
        <v>0</v>
      </c>
      <c r="GM80" s="438">
        <v>0</v>
      </c>
      <c r="GN80" s="438">
        <v>0</v>
      </c>
      <c r="GO80" s="438">
        <v>0</v>
      </c>
      <c r="GP80" s="438">
        <v>10018615</v>
      </c>
      <c r="GQ80" s="438">
        <v>10018615</v>
      </c>
      <c r="GR80" s="438">
        <v>0</v>
      </c>
      <c r="GS80" s="438">
        <v>0</v>
      </c>
      <c r="GT80" s="438">
        <v>0</v>
      </c>
      <c r="HB80" s="438">
        <v>0</v>
      </c>
      <c r="HC80" s="437">
        <v>6.0754000000000002E-2</v>
      </c>
      <c r="HD80" s="438">
        <v>0</v>
      </c>
    </row>
    <row r="81" spans="1:212" x14ac:dyDescent="0.2">
      <c r="A81" s="438">
        <v>25836</v>
      </c>
      <c r="B81" s="442">
        <v>61805</v>
      </c>
      <c r="C81" s="438">
        <v>9</v>
      </c>
      <c r="D81" s="438">
        <v>2020</v>
      </c>
      <c r="E81" s="438">
        <v>5392</v>
      </c>
      <c r="F81" s="438">
        <v>0</v>
      </c>
      <c r="G81" s="438">
        <v>579.82299999999998</v>
      </c>
      <c r="H81" s="438">
        <v>567.93799999999999</v>
      </c>
      <c r="I81" s="438">
        <v>567.93799999999999</v>
      </c>
      <c r="J81" s="438">
        <v>579.82299999999998</v>
      </c>
      <c r="K81" s="438">
        <v>0</v>
      </c>
      <c r="L81" s="437">
        <v>6544</v>
      </c>
      <c r="M81" s="438">
        <v>0</v>
      </c>
      <c r="N81" s="438">
        <v>0</v>
      </c>
      <c r="P81" s="438">
        <v>579.39300000000003</v>
      </c>
      <c r="Q81" s="438">
        <v>0</v>
      </c>
      <c r="R81" s="438">
        <v>143450</v>
      </c>
      <c r="S81" s="437">
        <v>247.58699999999999</v>
      </c>
      <c r="U81" s="438">
        <v>0</v>
      </c>
      <c r="V81" s="438">
        <v>17.538</v>
      </c>
      <c r="W81" s="438">
        <v>11477</v>
      </c>
      <c r="X81" s="438">
        <v>11477</v>
      </c>
      <c r="Z81" s="438">
        <v>0</v>
      </c>
      <c r="AA81" s="438">
        <v>1</v>
      </c>
      <c r="AB81" s="438">
        <v>1</v>
      </c>
      <c r="AC81" s="438">
        <v>0</v>
      </c>
      <c r="AD81" s="438" t="s">
        <v>332</v>
      </c>
      <c r="AE81" s="438">
        <v>0</v>
      </c>
      <c r="AH81" s="438">
        <v>0</v>
      </c>
      <c r="AI81" s="438">
        <v>0</v>
      </c>
      <c r="AJ81" s="437">
        <v>5105</v>
      </c>
      <c r="AK81" s="438" t="s">
        <v>561</v>
      </c>
      <c r="AL81" s="438" t="s">
        <v>412</v>
      </c>
      <c r="AM81" s="438">
        <v>0</v>
      </c>
      <c r="AN81" s="438">
        <v>0</v>
      </c>
      <c r="AO81" s="438">
        <v>0</v>
      </c>
      <c r="AP81" s="438">
        <v>0</v>
      </c>
      <c r="AQ81" s="438">
        <v>0</v>
      </c>
      <c r="AR81" s="438">
        <v>0</v>
      </c>
      <c r="AS81" s="438">
        <v>0</v>
      </c>
      <c r="AT81" s="438">
        <v>0</v>
      </c>
      <c r="AU81" s="438">
        <v>0</v>
      </c>
      <c r="AV81" s="438">
        <v>0</v>
      </c>
      <c r="AW81" s="438">
        <v>4618250</v>
      </c>
      <c r="AX81" s="438">
        <v>4618250</v>
      </c>
      <c r="AY81" s="438">
        <v>0</v>
      </c>
      <c r="AZ81" s="438">
        <v>143450</v>
      </c>
      <c r="BA81" s="438">
        <v>0</v>
      </c>
      <c r="BB81" s="438">
        <v>22766</v>
      </c>
      <c r="BC81" s="438">
        <v>22766</v>
      </c>
      <c r="BD81" s="438">
        <v>28.991</v>
      </c>
      <c r="BE81" s="438">
        <v>0</v>
      </c>
      <c r="BF81" s="438">
        <v>3955028</v>
      </c>
      <c r="BG81" s="438">
        <v>0</v>
      </c>
      <c r="BH81" s="438">
        <v>0</v>
      </c>
      <c r="BI81" s="438">
        <v>0</v>
      </c>
      <c r="BJ81" s="438">
        <v>12</v>
      </c>
      <c r="BK81" s="438">
        <v>0</v>
      </c>
      <c r="BL81" s="438">
        <v>0</v>
      </c>
      <c r="BM81" s="438">
        <v>0</v>
      </c>
      <c r="BN81" s="438">
        <v>0</v>
      </c>
      <c r="BO81" s="438">
        <v>0</v>
      </c>
      <c r="BP81" s="438">
        <v>0</v>
      </c>
      <c r="BQ81" s="437">
        <v>5392</v>
      </c>
      <c r="BR81" s="438">
        <v>1</v>
      </c>
      <c r="BS81" s="438">
        <v>0</v>
      </c>
      <c r="BT81" s="438">
        <v>0</v>
      </c>
      <c r="BU81" s="438">
        <v>0</v>
      </c>
      <c r="BV81" s="438">
        <v>0</v>
      </c>
      <c r="BW81" s="438">
        <v>0</v>
      </c>
      <c r="BX81" s="438">
        <v>0</v>
      </c>
      <c r="BY81" s="438">
        <v>0</v>
      </c>
      <c r="BZ81" s="438">
        <v>0</v>
      </c>
      <c r="CA81" s="438">
        <v>0</v>
      </c>
      <c r="CB81" s="438">
        <v>0</v>
      </c>
      <c r="CC81" s="438">
        <v>0</v>
      </c>
      <c r="CG81" s="438">
        <v>0</v>
      </c>
      <c r="CH81" s="438">
        <v>0</v>
      </c>
      <c r="CI81" s="438">
        <v>0</v>
      </c>
      <c r="CJ81" s="438">
        <v>4</v>
      </c>
      <c r="CK81" s="438">
        <v>0</v>
      </c>
      <c r="CL81" s="438">
        <v>0</v>
      </c>
      <c r="CN81" s="438">
        <v>0</v>
      </c>
      <c r="CO81" s="438">
        <v>1</v>
      </c>
      <c r="CP81" s="438">
        <v>0</v>
      </c>
      <c r="CQ81" s="438">
        <v>0</v>
      </c>
      <c r="CR81" s="438">
        <v>579.82299999999998</v>
      </c>
      <c r="CS81" s="438">
        <v>0</v>
      </c>
      <c r="CT81" s="438">
        <v>0</v>
      </c>
      <c r="CU81" s="438">
        <v>0</v>
      </c>
      <c r="CV81" s="438">
        <v>0</v>
      </c>
      <c r="CW81" s="438">
        <v>0</v>
      </c>
      <c r="CX81" s="438">
        <v>0</v>
      </c>
      <c r="CY81" s="438">
        <v>0</v>
      </c>
      <c r="CZ81" s="438">
        <v>0</v>
      </c>
      <c r="DA81" s="438">
        <v>1</v>
      </c>
      <c r="DB81" s="438">
        <v>3716586</v>
      </c>
      <c r="DC81" s="438">
        <v>0</v>
      </c>
      <c r="DD81" s="438">
        <v>0</v>
      </c>
      <c r="DE81" s="438">
        <v>0</v>
      </c>
      <c r="DF81" s="438">
        <v>0</v>
      </c>
      <c r="DG81" s="438">
        <v>0</v>
      </c>
      <c r="DH81" s="438">
        <v>0</v>
      </c>
      <c r="DI81" s="438">
        <v>0</v>
      </c>
      <c r="DK81" s="437">
        <v>5392</v>
      </c>
      <c r="DL81" s="438">
        <v>0</v>
      </c>
      <c r="DM81" s="438">
        <v>312489</v>
      </c>
      <c r="DN81" s="438">
        <v>0</v>
      </c>
      <c r="DO81" s="438">
        <v>0</v>
      </c>
      <c r="DP81" s="438">
        <v>0</v>
      </c>
      <c r="DQ81" s="438">
        <v>0</v>
      </c>
      <c r="DR81" s="438">
        <v>0</v>
      </c>
      <c r="DS81" s="438">
        <v>0</v>
      </c>
      <c r="DT81" s="438">
        <v>0</v>
      </c>
      <c r="DU81" s="438">
        <v>0</v>
      </c>
      <c r="DV81" s="438">
        <v>0</v>
      </c>
      <c r="DW81" s="438">
        <v>0</v>
      </c>
      <c r="DX81" s="438">
        <v>0</v>
      </c>
      <c r="DY81" s="438">
        <v>0</v>
      </c>
      <c r="DZ81" s="438">
        <v>0</v>
      </c>
      <c r="EA81" s="438">
        <v>9.1999999999999998E-2</v>
      </c>
      <c r="EB81" s="438">
        <v>0</v>
      </c>
      <c r="EC81" s="438">
        <v>9.43</v>
      </c>
      <c r="ED81" s="438">
        <v>67881</v>
      </c>
      <c r="EE81" s="438">
        <v>0</v>
      </c>
      <c r="EF81" s="438">
        <v>0</v>
      </c>
      <c r="EG81" s="438">
        <v>0</v>
      </c>
      <c r="EH81" s="438">
        <v>244608</v>
      </c>
      <c r="EI81" s="438">
        <v>0</v>
      </c>
      <c r="EJ81" s="438">
        <v>0</v>
      </c>
      <c r="EK81" s="438">
        <v>11.023</v>
      </c>
      <c r="EL81" s="438">
        <v>0</v>
      </c>
      <c r="EM81" s="438">
        <v>0</v>
      </c>
      <c r="EN81" s="438">
        <v>0.77</v>
      </c>
      <c r="EO81" s="438">
        <v>0</v>
      </c>
      <c r="EP81" s="438">
        <v>0</v>
      </c>
      <c r="EQ81" s="438">
        <v>11.885</v>
      </c>
      <c r="ER81" s="438">
        <v>0</v>
      </c>
      <c r="ES81" s="438">
        <v>37.378999999999998</v>
      </c>
      <c r="ET81" s="438">
        <v>0</v>
      </c>
      <c r="EU81" s="438">
        <v>143450</v>
      </c>
      <c r="EV81" s="438">
        <v>0</v>
      </c>
      <c r="EW81" s="438">
        <v>0</v>
      </c>
      <c r="EX81" s="438">
        <v>0</v>
      </c>
      <c r="EZ81" s="438">
        <v>3919868</v>
      </c>
      <c r="FA81" s="438">
        <v>0</v>
      </c>
      <c r="FB81" s="438">
        <v>4063318</v>
      </c>
      <c r="FC81" s="438">
        <v>0.97334900000000002</v>
      </c>
      <c r="FD81" s="438">
        <v>0</v>
      </c>
      <c r="FE81" s="438">
        <v>568751</v>
      </c>
      <c r="FF81" s="438">
        <v>129631</v>
      </c>
      <c r="FG81" s="437">
        <v>5.7854999999999997E-2</v>
      </c>
      <c r="FH81" s="437">
        <v>5.2366000000000003E-2</v>
      </c>
      <c r="FI81" s="438">
        <v>0</v>
      </c>
      <c r="FJ81" s="438">
        <v>0</v>
      </c>
      <c r="FK81" s="438">
        <v>774.79700000000003</v>
      </c>
      <c r="FL81" s="438">
        <v>4761700</v>
      </c>
      <c r="FM81" s="438">
        <v>0</v>
      </c>
      <c r="FN81" s="438">
        <v>0</v>
      </c>
      <c r="FO81" s="438">
        <v>0</v>
      </c>
      <c r="FP81" s="438">
        <v>0</v>
      </c>
      <c r="FQ81" s="438">
        <v>0</v>
      </c>
      <c r="FR81" s="438">
        <v>0</v>
      </c>
      <c r="FS81" s="438">
        <v>0</v>
      </c>
      <c r="FT81" s="438">
        <v>0</v>
      </c>
      <c r="FU81" s="438">
        <v>0</v>
      </c>
      <c r="FV81" s="438">
        <v>0</v>
      </c>
      <c r="FW81" s="438">
        <v>0</v>
      </c>
      <c r="FX81" s="438">
        <v>0</v>
      </c>
      <c r="FY81" s="438">
        <v>0</v>
      </c>
      <c r="FZ81" s="438">
        <v>0</v>
      </c>
      <c r="GA81" s="438">
        <v>0</v>
      </c>
      <c r="GB81" s="438">
        <v>0</v>
      </c>
      <c r="GC81" s="438">
        <v>0</v>
      </c>
      <c r="GD81" s="438">
        <v>0</v>
      </c>
      <c r="GF81" s="438">
        <v>0</v>
      </c>
      <c r="GG81" s="438">
        <v>0</v>
      </c>
      <c r="GH81" s="438">
        <v>0</v>
      </c>
      <c r="GI81" s="438">
        <v>0</v>
      </c>
      <c r="GJ81" s="438">
        <v>0</v>
      </c>
      <c r="GK81" s="438">
        <v>4604.6369999999997</v>
      </c>
      <c r="GL81" s="438">
        <v>0</v>
      </c>
      <c r="GM81" s="438">
        <v>0</v>
      </c>
      <c r="GN81" s="438">
        <v>0</v>
      </c>
      <c r="GO81" s="438">
        <v>0</v>
      </c>
      <c r="GP81" s="438">
        <v>4761700</v>
      </c>
      <c r="GQ81" s="438">
        <v>4761700</v>
      </c>
      <c r="GR81" s="438">
        <v>0</v>
      </c>
      <c r="GS81" s="438">
        <v>0</v>
      </c>
      <c r="GT81" s="438">
        <v>0</v>
      </c>
      <c r="HB81" s="438">
        <v>0</v>
      </c>
      <c r="HC81" s="437">
        <v>6.0754000000000002E-2</v>
      </c>
      <c r="HD81" s="438">
        <v>0</v>
      </c>
    </row>
    <row r="82" spans="1:212" x14ac:dyDescent="0.2">
      <c r="A82" s="438">
        <v>25836</v>
      </c>
      <c r="B82" s="442">
        <v>66005</v>
      </c>
      <c r="C82" s="438">
        <v>9</v>
      </c>
      <c r="D82" s="438">
        <v>2020</v>
      </c>
      <c r="E82" s="438">
        <v>5578</v>
      </c>
      <c r="F82" s="438">
        <v>0</v>
      </c>
      <c r="G82" s="438">
        <v>28</v>
      </c>
      <c r="H82" s="438">
        <v>27.872</v>
      </c>
      <c r="I82" s="438">
        <v>60</v>
      </c>
      <c r="J82" s="438">
        <v>28</v>
      </c>
      <c r="K82" s="438">
        <v>0</v>
      </c>
      <c r="L82" s="437">
        <v>8155</v>
      </c>
      <c r="M82" s="438">
        <v>0</v>
      </c>
      <c r="N82" s="438">
        <v>0</v>
      </c>
      <c r="P82" s="438">
        <v>21.111000000000001</v>
      </c>
      <c r="Q82" s="438">
        <v>0</v>
      </c>
      <c r="R82" s="438">
        <v>5227</v>
      </c>
      <c r="S82" s="437">
        <v>247.58699999999999</v>
      </c>
      <c r="U82" s="438">
        <v>0</v>
      </c>
      <c r="V82" s="438">
        <v>10.121</v>
      </c>
      <c r="W82" s="438">
        <v>8254</v>
      </c>
      <c r="X82" s="438">
        <v>8254</v>
      </c>
      <c r="Z82" s="438">
        <v>0</v>
      </c>
      <c r="AA82" s="438">
        <v>1.1200000000000001</v>
      </c>
      <c r="AB82" s="438">
        <v>1.1200000000000001</v>
      </c>
      <c r="AC82" s="438">
        <v>0</v>
      </c>
      <c r="AD82" s="438" t="s">
        <v>636</v>
      </c>
      <c r="AE82" s="438">
        <v>0</v>
      </c>
      <c r="AH82" s="438">
        <v>28130163</v>
      </c>
      <c r="AI82" s="438">
        <v>0</v>
      </c>
      <c r="AJ82" s="437">
        <v>5140</v>
      </c>
      <c r="AK82" s="438" t="s">
        <v>561</v>
      </c>
      <c r="AL82" s="438" t="s">
        <v>648</v>
      </c>
      <c r="AM82" s="438">
        <v>0</v>
      </c>
      <c r="AN82" s="438">
        <v>0</v>
      </c>
      <c r="AO82" s="438">
        <v>0</v>
      </c>
      <c r="AP82" s="438">
        <v>0</v>
      </c>
      <c r="AQ82" s="438">
        <v>0</v>
      </c>
      <c r="AR82" s="438">
        <v>0</v>
      </c>
      <c r="AS82" s="438">
        <v>0</v>
      </c>
      <c r="AT82" s="438">
        <v>0</v>
      </c>
      <c r="AU82" s="438">
        <v>1</v>
      </c>
      <c r="AV82" s="438">
        <v>0</v>
      </c>
      <c r="AW82" s="438">
        <v>313924</v>
      </c>
      <c r="AX82" s="438">
        <v>311278</v>
      </c>
      <c r="AY82" s="438">
        <v>0</v>
      </c>
      <c r="AZ82" s="438">
        <v>286529</v>
      </c>
      <c r="BA82" s="438">
        <v>4.8330000000000002</v>
      </c>
      <c r="BB82" s="438">
        <v>0</v>
      </c>
      <c r="BC82" s="438">
        <v>0</v>
      </c>
      <c r="BD82" s="438">
        <v>0</v>
      </c>
      <c r="BE82" s="438">
        <v>0</v>
      </c>
      <c r="BF82" s="438">
        <v>531614</v>
      </c>
      <c r="BG82" s="438">
        <v>0</v>
      </c>
      <c r="BH82" s="438">
        <v>0</v>
      </c>
      <c r="BI82" s="438">
        <v>0</v>
      </c>
      <c r="BJ82" s="438">
        <v>6</v>
      </c>
      <c r="BK82" s="438">
        <v>0</v>
      </c>
      <c r="BL82" s="438">
        <v>0</v>
      </c>
      <c r="BM82" s="438">
        <v>0</v>
      </c>
      <c r="BN82" s="438">
        <v>0</v>
      </c>
      <c r="BO82" s="438">
        <v>0</v>
      </c>
      <c r="BP82" s="438">
        <v>0</v>
      </c>
      <c r="BQ82" s="437">
        <v>0</v>
      </c>
      <c r="BR82" s="438">
        <v>2</v>
      </c>
      <c r="BS82" s="438">
        <v>0</v>
      </c>
      <c r="BT82" s="438">
        <v>264454</v>
      </c>
      <c r="BU82" s="438">
        <v>10578</v>
      </c>
      <c r="BV82" s="438">
        <v>0</v>
      </c>
      <c r="BW82" s="438">
        <v>0.96</v>
      </c>
      <c r="BX82" s="438">
        <v>1</v>
      </c>
      <c r="BY82" s="438">
        <v>0.04</v>
      </c>
      <c r="BZ82" s="438">
        <v>0</v>
      </c>
      <c r="CA82" s="438">
        <v>0</v>
      </c>
      <c r="CB82" s="438">
        <v>0</v>
      </c>
      <c r="CC82" s="438">
        <v>0</v>
      </c>
      <c r="CD82" s="438">
        <v>0</v>
      </c>
      <c r="CF82" s="438">
        <v>0</v>
      </c>
      <c r="CG82" s="438">
        <v>0</v>
      </c>
      <c r="CH82" s="438">
        <v>2646</v>
      </c>
      <c r="CI82" s="438">
        <v>28</v>
      </c>
      <c r="CJ82" s="438">
        <v>3</v>
      </c>
      <c r="CK82" s="438">
        <v>0</v>
      </c>
      <c r="CL82" s="438">
        <v>0</v>
      </c>
      <c r="CN82" s="438">
        <v>0</v>
      </c>
      <c r="CO82" s="438">
        <v>0</v>
      </c>
      <c r="CP82" s="438">
        <v>0</v>
      </c>
      <c r="CQ82" s="438">
        <v>0.91700000000000004</v>
      </c>
      <c r="CR82" s="438">
        <v>21.111000000000001</v>
      </c>
      <c r="CS82" s="438">
        <v>28130163</v>
      </c>
      <c r="CT82" s="438">
        <v>0</v>
      </c>
      <c r="CU82" s="438">
        <v>275032</v>
      </c>
      <c r="CV82" s="438">
        <v>1.04</v>
      </c>
      <c r="CW82" s="438">
        <v>274325</v>
      </c>
      <c r="CX82" s="438">
        <v>0</v>
      </c>
      <c r="CY82" s="438">
        <v>28130163</v>
      </c>
      <c r="CZ82" s="438">
        <v>0</v>
      </c>
      <c r="DA82" s="438">
        <v>1</v>
      </c>
      <c r="DB82" s="438">
        <v>489300</v>
      </c>
      <c r="DC82" s="438">
        <v>0</v>
      </c>
      <c r="DD82" s="438">
        <v>5.75</v>
      </c>
      <c r="DE82" s="438">
        <v>50566</v>
      </c>
      <c r="DF82" s="438">
        <v>50566</v>
      </c>
      <c r="DG82" s="438">
        <v>31.003</v>
      </c>
      <c r="DH82" s="438">
        <v>0</v>
      </c>
      <c r="DI82" s="438">
        <v>0</v>
      </c>
      <c r="DK82" s="437">
        <v>8155</v>
      </c>
      <c r="DL82" s="438">
        <v>0</v>
      </c>
      <c r="DM82" s="438">
        <v>4904</v>
      </c>
      <c r="DN82" s="438">
        <v>315</v>
      </c>
      <c r="DO82" s="438">
        <v>0</v>
      </c>
      <c r="DP82" s="438">
        <v>0</v>
      </c>
      <c r="DQ82" s="438">
        <v>0</v>
      </c>
      <c r="DR82" s="438">
        <v>0</v>
      </c>
      <c r="DS82" s="438">
        <v>0</v>
      </c>
      <c r="DT82" s="438">
        <v>0</v>
      </c>
      <c r="DU82" s="438">
        <v>0</v>
      </c>
      <c r="DV82" s="438">
        <v>0</v>
      </c>
      <c r="DW82" s="438">
        <v>0</v>
      </c>
      <c r="DX82" s="438">
        <v>0</v>
      </c>
      <c r="DY82" s="438">
        <v>0</v>
      </c>
      <c r="DZ82" s="438">
        <v>0</v>
      </c>
      <c r="EA82" s="438">
        <v>0</v>
      </c>
      <c r="EB82" s="438">
        <v>0</v>
      </c>
      <c r="EC82" s="438">
        <v>0</v>
      </c>
      <c r="ED82" s="438">
        <v>0</v>
      </c>
      <c r="EE82" s="438">
        <v>0</v>
      </c>
      <c r="EF82" s="438">
        <v>0</v>
      </c>
      <c r="EG82" s="438">
        <v>0</v>
      </c>
      <c r="EH82" s="438">
        <v>5219</v>
      </c>
      <c r="EI82" s="438">
        <v>0</v>
      </c>
      <c r="EJ82" s="438">
        <v>0</v>
      </c>
      <c r="EK82" s="438">
        <v>0</v>
      </c>
      <c r="EL82" s="438">
        <v>0</v>
      </c>
      <c r="EM82" s="438">
        <v>0</v>
      </c>
      <c r="EN82" s="438">
        <v>0.128</v>
      </c>
      <c r="EO82" s="438">
        <v>0</v>
      </c>
      <c r="EP82" s="438">
        <v>0</v>
      </c>
      <c r="EQ82" s="438">
        <v>0.128</v>
      </c>
      <c r="ER82" s="438">
        <v>0</v>
      </c>
      <c r="ES82" s="438">
        <v>0.64</v>
      </c>
      <c r="ET82" s="438">
        <v>2646</v>
      </c>
      <c r="EU82" s="438">
        <v>5227</v>
      </c>
      <c r="EV82" s="438">
        <v>0</v>
      </c>
      <c r="EW82" s="438">
        <v>0</v>
      </c>
      <c r="EX82" s="438">
        <v>0</v>
      </c>
      <c r="EZ82" s="438">
        <v>272513</v>
      </c>
      <c r="FA82" s="438">
        <v>281302</v>
      </c>
      <c r="FB82" s="438">
        <v>559042</v>
      </c>
      <c r="FC82" s="438">
        <v>0.96073900000000001</v>
      </c>
      <c r="FD82" s="438">
        <v>0</v>
      </c>
      <c r="FE82" s="438">
        <v>38765</v>
      </c>
      <c r="FF82" s="438">
        <v>0</v>
      </c>
      <c r="FG82" s="437">
        <v>3.7600000000000001E-2</v>
      </c>
      <c r="FH82" s="437">
        <v>0</v>
      </c>
      <c r="FI82" s="438">
        <v>10577</v>
      </c>
      <c r="FJ82" s="438">
        <v>0</v>
      </c>
      <c r="FK82" s="438">
        <v>103.42700000000001</v>
      </c>
      <c r="FL82" s="438">
        <v>319151</v>
      </c>
      <c r="FM82" s="438">
        <v>275032</v>
      </c>
      <c r="FN82" s="438">
        <v>0</v>
      </c>
      <c r="FO82" s="438">
        <v>6018</v>
      </c>
      <c r="FP82" s="438">
        <v>0</v>
      </c>
      <c r="FQ82" s="438">
        <v>6018</v>
      </c>
      <c r="FR82" s="438">
        <v>6018</v>
      </c>
      <c r="FS82" s="438">
        <v>0</v>
      </c>
      <c r="FT82" s="438">
        <v>0</v>
      </c>
      <c r="FU82" s="438">
        <v>0</v>
      </c>
      <c r="FV82" s="438">
        <v>0</v>
      </c>
      <c r="FW82" s="438">
        <v>0</v>
      </c>
      <c r="FX82" s="438">
        <v>0</v>
      </c>
      <c r="FY82" s="438">
        <v>0</v>
      </c>
      <c r="FZ82" s="438">
        <v>0</v>
      </c>
      <c r="GA82" s="438">
        <v>0</v>
      </c>
      <c r="GB82" s="438">
        <v>0</v>
      </c>
      <c r="GC82" s="438">
        <v>0</v>
      </c>
      <c r="GD82" s="438">
        <v>0</v>
      </c>
      <c r="GF82" s="438">
        <v>0</v>
      </c>
      <c r="GG82" s="438">
        <v>0</v>
      </c>
      <c r="GH82" s="438">
        <v>0</v>
      </c>
      <c r="GI82" s="438">
        <v>0</v>
      </c>
      <c r="GJ82" s="438">
        <v>1.5</v>
      </c>
      <c r="GK82" s="438">
        <v>4498.9070000000002</v>
      </c>
      <c r="GL82" s="438">
        <v>2269</v>
      </c>
      <c r="GM82" s="438">
        <v>0</v>
      </c>
      <c r="GN82" s="438">
        <v>23244</v>
      </c>
      <c r="GO82" s="438">
        <v>275032</v>
      </c>
      <c r="GP82" s="438">
        <v>316505</v>
      </c>
      <c r="GQ82" s="438">
        <v>591537</v>
      </c>
      <c r="GR82" s="438">
        <v>28130163</v>
      </c>
      <c r="GS82" s="438">
        <v>275032</v>
      </c>
      <c r="GT82" s="438">
        <v>275032</v>
      </c>
      <c r="HB82" s="438">
        <v>0</v>
      </c>
      <c r="HC82" s="437">
        <v>0</v>
      </c>
      <c r="HD82" s="438">
        <v>0</v>
      </c>
    </row>
    <row r="83" spans="1:212" x14ac:dyDescent="0.2">
      <c r="A83" s="438">
        <v>25836</v>
      </c>
      <c r="B83" s="442">
        <v>68802</v>
      </c>
      <c r="C83" s="438">
        <v>9</v>
      </c>
      <c r="D83" s="438">
        <v>2020</v>
      </c>
      <c r="E83" s="438">
        <v>5392</v>
      </c>
      <c r="F83" s="438">
        <v>0</v>
      </c>
      <c r="G83" s="438">
        <v>1055.9949999999999</v>
      </c>
      <c r="H83" s="438">
        <v>1036.7090000000001</v>
      </c>
      <c r="I83" s="438">
        <v>1036.7090000000001</v>
      </c>
      <c r="J83" s="438">
        <v>1055.9949999999999</v>
      </c>
      <c r="K83" s="438">
        <v>0</v>
      </c>
      <c r="L83" s="437">
        <v>6544</v>
      </c>
      <c r="M83" s="438">
        <v>0</v>
      </c>
      <c r="N83" s="438">
        <v>0</v>
      </c>
      <c r="P83" s="438">
        <v>1052.5050000000001</v>
      </c>
      <c r="Q83" s="438">
        <v>0</v>
      </c>
      <c r="R83" s="438">
        <v>260587</v>
      </c>
      <c r="S83" s="437">
        <v>247.58699999999999</v>
      </c>
      <c r="U83" s="438">
        <v>0</v>
      </c>
      <c r="V83" s="438">
        <v>2.887</v>
      </c>
      <c r="W83" s="438">
        <v>1889</v>
      </c>
      <c r="X83" s="438">
        <v>1889</v>
      </c>
      <c r="Z83" s="438">
        <v>0</v>
      </c>
      <c r="AA83" s="438">
        <v>1</v>
      </c>
      <c r="AB83" s="438">
        <v>1</v>
      </c>
      <c r="AC83" s="438">
        <v>0</v>
      </c>
      <c r="AD83" s="438" t="s">
        <v>332</v>
      </c>
      <c r="AE83" s="438">
        <v>0</v>
      </c>
      <c r="AH83" s="438">
        <v>0</v>
      </c>
      <c r="AI83" s="438">
        <v>0</v>
      </c>
      <c r="AJ83" s="437">
        <v>5105</v>
      </c>
      <c r="AK83" s="438" t="s">
        <v>561</v>
      </c>
      <c r="AL83" s="438" t="s">
        <v>354</v>
      </c>
      <c r="AM83" s="438">
        <v>0</v>
      </c>
      <c r="AN83" s="438">
        <v>0</v>
      </c>
      <c r="AO83" s="438">
        <v>0</v>
      </c>
      <c r="AP83" s="438">
        <v>0</v>
      </c>
      <c r="AQ83" s="438">
        <v>0</v>
      </c>
      <c r="AR83" s="438">
        <v>0</v>
      </c>
      <c r="AS83" s="438">
        <v>0</v>
      </c>
      <c r="AT83" s="438">
        <v>0</v>
      </c>
      <c r="AU83" s="438">
        <v>0</v>
      </c>
      <c r="AV83" s="438">
        <v>0</v>
      </c>
      <c r="AW83" s="438">
        <v>8660426</v>
      </c>
      <c r="AX83" s="438">
        <v>8660426</v>
      </c>
      <c r="AY83" s="438">
        <v>0</v>
      </c>
      <c r="AZ83" s="438">
        <v>260587</v>
      </c>
      <c r="BA83" s="438">
        <v>0</v>
      </c>
      <c r="BB83" s="438">
        <v>10994</v>
      </c>
      <c r="BC83" s="438">
        <v>10994</v>
      </c>
      <c r="BD83" s="438">
        <v>14</v>
      </c>
      <c r="BE83" s="438">
        <v>0</v>
      </c>
      <c r="BF83" s="438">
        <v>7409719</v>
      </c>
      <c r="BG83" s="438">
        <v>0</v>
      </c>
      <c r="BH83" s="438">
        <v>0</v>
      </c>
      <c r="BI83" s="438">
        <v>0</v>
      </c>
      <c r="BJ83" s="438">
        <v>12</v>
      </c>
      <c r="BK83" s="438">
        <v>0</v>
      </c>
      <c r="BL83" s="438">
        <v>0</v>
      </c>
      <c r="BM83" s="438">
        <v>0</v>
      </c>
      <c r="BN83" s="438">
        <v>0</v>
      </c>
      <c r="BO83" s="438">
        <v>0</v>
      </c>
      <c r="BP83" s="438">
        <v>0</v>
      </c>
      <c r="BQ83" s="437">
        <v>5392</v>
      </c>
      <c r="BR83" s="438">
        <v>1</v>
      </c>
      <c r="BS83" s="438">
        <v>0</v>
      </c>
      <c r="BT83" s="438">
        <v>0</v>
      </c>
      <c r="BU83" s="438">
        <v>0</v>
      </c>
      <c r="BV83" s="438">
        <v>0</v>
      </c>
      <c r="BW83" s="438">
        <v>0</v>
      </c>
      <c r="BX83" s="438">
        <v>0</v>
      </c>
      <c r="BY83" s="438">
        <v>0</v>
      </c>
      <c r="BZ83" s="438">
        <v>0</v>
      </c>
      <c r="CA83" s="438">
        <v>0</v>
      </c>
      <c r="CB83" s="438">
        <v>0</v>
      </c>
      <c r="CC83" s="438">
        <v>0</v>
      </c>
      <c r="CG83" s="438">
        <v>0</v>
      </c>
      <c r="CH83" s="438">
        <v>0</v>
      </c>
      <c r="CI83" s="438">
        <v>0</v>
      </c>
      <c r="CJ83" s="438">
        <v>5</v>
      </c>
      <c r="CK83" s="438">
        <v>0</v>
      </c>
      <c r="CL83" s="438">
        <v>0</v>
      </c>
      <c r="CN83" s="438">
        <v>0</v>
      </c>
      <c r="CO83" s="438">
        <v>1</v>
      </c>
      <c r="CP83" s="438">
        <v>0</v>
      </c>
      <c r="CQ83" s="438">
        <v>0</v>
      </c>
      <c r="CR83" s="438">
        <v>1055.9949999999999</v>
      </c>
      <c r="CS83" s="438">
        <v>0</v>
      </c>
      <c r="CT83" s="438">
        <v>0</v>
      </c>
      <c r="CU83" s="438">
        <v>0</v>
      </c>
      <c r="CV83" s="438">
        <v>0</v>
      </c>
      <c r="CW83" s="438">
        <v>0</v>
      </c>
      <c r="CX83" s="438">
        <v>0</v>
      </c>
      <c r="CY83" s="438">
        <v>0</v>
      </c>
      <c r="CZ83" s="438">
        <v>0</v>
      </c>
      <c r="DA83" s="438">
        <v>1</v>
      </c>
      <c r="DB83" s="438">
        <v>6784224</v>
      </c>
      <c r="DC83" s="438">
        <v>0</v>
      </c>
      <c r="DD83" s="438">
        <v>0</v>
      </c>
      <c r="DE83" s="438">
        <v>255648</v>
      </c>
      <c r="DF83" s="438">
        <v>255648</v>
      </c>
      <c r="DG83" s="438">
        <v>195.33</v>
      </c>
      <c r="DH83" s="438">
        <v>0</v>
      </c>
      <c r="DI83" s="438">
        <v>0</v>
      </c>
      <c r="DK83" s="437">
        <v>5392</v>
      </c>
      <c r="DL83" s="438">
        <v>0</v>
      </c>
      <c r="DM83" s="438">
        <v>559845</v>
      </c>
      <c r="DN83" s="438">
        <v>0</v>
      </c>
      <c r="DO83" s="438">
        <v>0</v>
      </c>
      <c r="DP83" s="438">
        <v>0</v>
      </c>
      <c r="DQ83" s="438">
        <v>0</v>
      </c>
      <c r="DR83" s="438">
        <v>0</v>
      </c>
      <c r="DS83" s="438">
        <v>0</v>
      </c>
      <c r="DT83" s="438">
        <v>0</v>
      </c>
      <c r="DU83" s="438">
        <v>0</v>
      </c>
      <c r="DV83" s="438">
        <v>0</v>
      </c>
      <c r="DW83" s="438">
        <v>0</v>
      </c>
      <c r="DX83" s="438">
        <v>0</v>
      </c>
      <c r="DY83" s="438">
        <v>0</v>
      </c>
      <c r="DZ83" s="438">
        <v>0</v>
      </c>
      <c r="EA83" s="438">
        <v>0</v>
      </c>
      <c r="EB83" s="438">
        <v>0</v>
      </c>
      <c r="EC83" s="438">
        <v>22.91</v>
      </c>
      <c r="ED83" s="438">
        <v>164915</v>
      </c>
      <c r="EE83" s="438">
        <v>0</v>
      </c>
      <c r="EF83" s="438">
        <v>0</v>
      </c>
      <c r="EG83" s="438">
        <v>0</v>
      </c>
      <c r="EH83" s="438">
        <v>394930</v>
      </c>
      <c r="EI83" s="438">
        <v>0</v>
      </c>
      <c r="EJ83" s="438">
        <v>0</v>
      </c>
      <c r="EK83" s="438">
        <v>18.04</v>
      </c>
      <c r="EL83" s="438">
        <v>0</v>
      </c>
      <c r="EM83" s="438">
        <v>0</v>
      </c>
      <c r="EN83" s="438">
        <v>1.246</v>
      </c>
      <c r="EO83" s="438">
        <v>0</v>
      </c>
      <c r="EP83" s="438">
        <v>0</v>
      </c>
      <c r="EQ83" s="438">
        <v>19.286000000000001</v>
      </c>
      <c r="ER83" s="438">
        <v>0</v>
      </c>
      <c r="ES83" s="438">
        <v>60.35</v>
      </c>
      <c r="ET83" s="438">
        <v>0</v>
      </c>
      <c r="EU83" s="438">
        <v>260587</v>
      </c>
      <c r="EV83" s="438">
        <v>0</v>
      </c>
      <c r="EW83" s="438">
        <v>0</v>
      </c>
      <c r="EX83" s="438">
        <v>0</v>
      </c>
      <c r="EZ83" s="438">
        <v>7352013</v>
      </c>
      <c r="FA83" s="438">
        <v>0</v>
      </c>
      <c r="FB83" s="438">
        <v>7612600</v>
      </c>
      <c r="FC83" s="438">
        <v>0.97334900000000002</v>
      </c>
      <c r="FD83" s="438">
        <v>0</v>
      </c>
      <c r="FE83" s="438">
        <v>1065551</v>
      </c>
      <c r="FF83" s="438">
        <v>242862</v>
      </c>
      <c r="FG83" s="437">
        <v>5.7854999999999997E-2</v>
      </c>
      <c r="FH83" s="437">
        <v>5.2366000000000003E-2</v>
      </c>
      <c r="FI83" s="438">
        <v>0</v>
      </c>
      <c r="FJ83" s="438">
        <v>0</v>
      </c>
      <c r="FK83" s="438">
        <v>1451.577</v>
      </c>
      <c r="FL83" s="438">
        <v>8921013</v>
      </c>
      <c r="FM83" s="438">
        <v>0</v>
      </c>
      <c r="FN83" s="438">
        <v>0</v>
      </c>
      <c r="FO83" s="438">
        <v>0</v>
      </c>
      <c r="FP83" s="438">
        <v>0</v>
      </c>
      <c r="FQ83" s="438">
        <v>0</v>
      </c>
      <c r="FR83" s="438">
        <v>0</v>
      </c>
      <c r="FS83" s="438">
        <v>0</v>
      </c>
      <c r="FT83" s="438">
        <v>0</v>
      </c>
      <c r="FU83" s="438">
        <v>0</v>
      </c>
      <c r="FV83" s="438">
        <v>0</v>
      </c>
      <c r="FW83" s="438">
        <v>0</v>
      </c>
      <c r="FX83" s="438">
        <v>0</v>
      </c>
      <c r="FY83" s="438">
        <v>0</v>
      </c>
      <c r="FZ83" s="438">
        <v>0</v>
      </c>
      <c r="GA83" s="438">
        <v>0</v>
      </c>
      <c r="GB83" s="438">
        <v>0</v>
      </c>
      <c r="GC83" s="438">
        <v>0</v>
      </c>
      <c r="GD83" s="438">
        <v>0</v>
      </c>
      <c r="GF83" s="438">
        <v>0</v>
      </c>
      <c r="GG83" s="438">
        <v>0</v>
      </c>
      <c r="GH83" s="438">
        <v>0</v>
      </c>
      <c r="GI83" s="438">
        <v>0</v>
      </c>
      <c r="GJ83" s="438">
        <v>0</v>
      </c>
      <c r="GK83" s="438">
        <v>4604.6369999999997</v>
      </c>
      <c r="GL83" s="438">
        <v>0</v>
      </c>
      <c r="GM83" s="438">
        <v>0</v>
      </c>
      <c r="GN83" s="438">
        <v>0</v>
      </c>
      <c r="GO83" s="438">
        <v>0</v>
      </c>
      <c r="GP83" s="438">
        <v>8921013</v>
      </c>
      <c r="GQ83" s="438">
        <v>8921013</v>
      </c>
      <c r="GR83" s="438">
        <v>0</v>
      </c>
      <c r="GS83" s="438">
        <v>0</v>
      </c>
      <c r="GT83" s="438">
        <v>0</v>
      </c>
      <c r="HB83" s="438">
        <v>0</v>
      </c>
      <c r="HC83" s="437">
        <v>6.0754000000000002E-2</v>
      </c>
      <c r="HD83" s="438">
        <v>0</v>
      </c>
    </row>
    <row r="84" spans="1:212" x14ac:dyDescent="0.2">
      <c r="A84" s="438">
        <v>25836</v>
      </c>
      <c r="B84" s="442">
        <v>68803</v>
      </c>
      <c r="C84" s="438">
        <v>9</v>
      </c>
      <c r="D84" s="438">
        <v>2020</v>
      </c>
      <c r="E84" s="438">
        <v>5392</v>
      </c>
      <c r="F84" s="438">
        <v>0</v>
      </c>
      <c r="G84" s="438">
        <v>686.18700000000001</v>
      </c>
      <c r="H84" s="438">
        <v>666.10500000000002</v>
      </c>
      <c r="I84" s="438">
        <v>666.10500000000002</v>
      </c>
      <c r="J84" s="438">
        <v>686.18700000000001</v>
      </c>
      <c r="K84" s="438">
        <v>0</v>
      </c>
      <c r="L84" s="437">
        <v>6544</v>
      </c>
      <c r="M84" s="438">
        <v>0</v>
      </c>
      <c r="N84" s="438">
        <v>0</v>
      </c>
      <c r="P84" s="438">
        <v>686.90800000000002</v>
      </c>
      <c r="Q84" s="438">
        <v>0</v>
      </c>
      <c r="R84" s="438">
        <v>170069</v>
      </c>
      <c r="S84" s="437">
        <v>247.58699999999999</v>
      </c>
      <c r="U84" s="438">
        <v>0</v>
      </c>
      <c r="V84" s="438">
        <v>18.396999999999998</v>
      </c>
      <c r="W84" s="438">
        <v>12039</v>
      </c>
      <c r="X84" s="438">
        <v>12039</v>
      </c>
      <c r="Z84" s="438">
        <v>0</v>
      </c>
      <c r="AA84" s="438">
        <v>1</v>
      </c>
      <c r="AB84" s="438">
        <v>1</v>
      </c>
      <c r="AC84" s="438">
        <v>0</v>
      </c>
      <c r="AD84" s="438" t="s">
        <v>332</v>
      </c>
      <c r="AE84" s="438">
        <v>0</v>
      </c>
      <c r="AH84" s="438">
        <v>0</v>
      </c>
      <c r="AI84" s="438">
        <v>0</v>
      </c>
      <c r="AJ84" s="437">
        <v>5105</v>
      </c>
      <c r="AK84" s="438" t="s">
        <v>561</v>
      </c>
      <c r="AL84" s="438" t="s">
        <v>355</v>
      </c>
      <c r="AM84" s="438">
        <v>0</v>
      </c>
      <c r="AN84" s="438">
        <v>0</v>
      </c>
      <c r="AO84" s="438">
        <v>0</v>
      </c>
      <c r="AP84" s="438">
        <v>0</v>
      </c>
      <c r="AQ84" s="438">
        <v>0</v>
      </c>
      <c r="AR84" s="438">
        <v>0</v>
      </c>
      <c r="AS84" s="438">
        <v>0</v>
      </c>
      <c r="AT84" s="438">
        <v>0</v>
      </c>
      <c r="AU84" s="438">
        <v>0</v>
      </c>
      <c r="AV84" s="438">
        <v>0</v>
      </c>
      <c r="AW84" s="438">
        <v>5531571</v>
      </c>
      <c r="AX84" s="438">
        <v>5515832</v>
      </c>
      <c r="AY84" s="438">
        <v>0</v>
      </c>
      <c r="AZ84" s="438">
        <v>185808</v>
      </c>
      <c r="BA84" s="438">
        <v>0</v>
      </c>
      <c r="BB84" s="438">
        <v>26700</v>
      </c>
      <c r="BC84" s="438">
        <v>26700</v>
      </c>
      <c r="BD84" s="438">
        <v>34</v>
      </c>
      <c r="BE84" s="438">
        <v>0</v>
      </c>
      <c r="BF84" s="438">
        <v>4722662</v>
      </c>
      <c r="BG84" s="438">
        <v>0</v>
      </c>
      <c r="BH84" s="438">
        <v>57.231999999999999</v>
      </c>
      <c r="BI84" s="438">
        <v>15739</v>
      </c>
      <c r="BJ84" s="438">
        <v>12</v>
      </c>
      <c r="BK84" s="438">
        <v>0</v>
      </c>
      <c r="BL84" s="438">
        <v>0</v>
      </c>
      <c r="BM84" s="438">
        <v>0</v>
      </c>
      <c r="BN84" s="438">
        <v>0</v>
      </c>
      <c r="BO84" s="438">
        <v>0</v>
      </c>
      <c r="BP84" s="438">
        <v>0</v>
      </c>
      <c r="BQ84" s="437">
        <v>5392</v>
      </c>
      <c r="BR84" s="438">
        <v>1</v>
      </c>
      <c r="BS84" s="438">
        <v>0</v>
      </c>
      <c r="BT84" s="438">
        <v>0</v>
      </c>
      <c r="BU84" s="438">
        <v>0</v>
      </c>
      <c r="BV84" s="438">
        <v>0</v>
      </c>
      <c r="BW84" s="438">
        <v>0</v>
      </c>
      <c r="BX84" s="438">
        <v>0</v>
      </c>
      <c r="BY84" s="438">
        <v>0</v>
      </c>
      <c r="BZ84" s="438">
        <v>0</v>
      </c>
      <c r="CA84" s="438">
        <v>0</v>
      </c>
      <c r="CB84" s="438">
        <v>0</v>
      </c>
      <c r="CC84" s="438">
        <v>0</v>
      </c>
      <c r="CG84" s="438">
        <v>0</v>
      </c>
      <c r="CH84" s="438">
        <v>0</v>
      </c>
      <c r="CI84" s="438">
        <v>0</v>
      </c>
      <c r="CJ84" s="438">
        <v>4</v>
      </c>
      <c r="CK84" s="438">
        <v>0</v>
      </c>
      <c r="CL84" s="438">
        <v>0</v>
      </c>
      <c r="CN84" s="438">
        <v>0</v>
      </c>
      <c r="CO84" s="438">
        <v>1</v>
      </c>
      <c r="CP84" s="438">
        <v>0</v>
      </c>
      <c r="CQ84" s="438">
        <v>0</v>
      </c>
      <c r="CR84" s="438">
        <v>686.18700000000001</v>
      </c>
      <c r="CS84" s="438">
        <v>0</v>
      </c>
      <c r="CT84" s="438">
        <v>0</v>
      </c>
      <c r="CU84" s="438">
        <v>0</v>
      </c>
      <c r="CV84" s="438">
        <v>0</v>
      </c>
      <c r="CW84" s="438">
        <v>0</v>
      </c>
      <c r="CX84" s="438">
        <v>0</v>
      </c>
      <c r="CY84" s="438">
        <v>0</v>
      </c>
      <c r="CZ84" s="438">
        <v>0</v>
      </c>
      <c r="DA84" s="438">
        <v>1</v>
      </c>
      <c r="DB84" s="438">
        <v>4358991</v>
      </c>
      <c r="DC84" s="438">
        <v>0</v>
      </c>
      <c r="DD84" s="438">
        <v>0</v>
      </c>
      <c r="DE84" s="438">
        <v>136115</v>
      </c>
      <c r="DF84" s="438">
        <v>136115</v>
      </c>
      <c r="DG84" s="438">
        <v>104</v>
      </c>
      <c r="DH84" s="438">
        <v>0</v>
      </c>
      <c r="DI84" s="438">
        <v>0</v>
      </c>
      <c r="DK84" s="437">
        <v>5392</v>
      </c>
      <c r="DL84" s="438">
        <v>0</v>
      </c>
      <c r="DM84" s="438">
        <v>146870</v>
      </c>
      <c r="DN84" s="438">
        <v>0</v>
      </c>
      <c r="DO84" s="438">
        <v>0</v>
      </c>
      <c r="DP84" s="438">
        <v>0</v>
      </c>
      <c r="DQ84" s="438">
        <v>0</v>
      </c>
      <c r="DR84" s="438">
        <v>0</v>
      </c>
      <c r="DS84" s="438">
        <v>0</v>
      </c>
      <c r="DT84" s="438">
        <v>0</v>
      </c>
      <c r="DU84" s="438">
        <v>0</v>
      </c>
      <c r="DV84" s="438">
        <v>0</v>
      </c>
      <c r="DW84" s="438">
        <v>0</v>
      </c>
      <c r="DX84" s="438">
        <v>0</v>
      </c>
      <c r="DY84" s="438">
        <v>0</v>
      </c>
      <c r="DZ84" s="438">
        <v>0</v>
      </c>
      <c r="EA84" s="438">
        <v>0</v>
      </c>
      <c r="EB84" s="438">
        <v>0</v>
      </c>
      <c r="EC84" s="438">
        <v>17.234999999999999</v>
      </c>
      <c r="ED84" s="438">
        <v>124064</v>
      </c>
      <c r="EE84" s="438">
        <v>0</v>
      </c>
      <c r="EF84" s="438">
        <v>0</v>
      </c>
      <c r="EG84" s="438">
        <v>0</v>
      </c>
      <c r="EH84" s="438">
        <v>22806</v>
      </c>
      <c r="EI84" s="438">
        <v>0</v>
      </c>
      <c r="EJ84" s="438">
        <v>0</v>
      </c>
      <c r="EK84" s="438">
        <v>0</v>
      </c>
      <c r="EL84" s="438">
        <v>0</v>
      </c>
      <c r="EM84" s="438">
        <v>0</v>
      </c>
      <c r="EN84" s="438">
        <v>0.69699999999999995</v>
      </c>
      <c r="EO84" s="438">
        <v>0</v>
      </c>
      <c r="EP84" s="438">
        <v>0</v>
      </c>
      <c r="EQ84" s="438">
        <v>0.69699999999999995</v>
      </c>
      <c r="ER84" s="438">
        <v>0</v>
      </c>
      <c r="ES84" s="438">
        <v>3.4849999999999999</v>
      </c>
      <c r="ET84" s="438">
        <v>0</v>
      </c>
      <c r="EU84" s="438">
        <v>185808</v>
      </c>
      <c r="EV84" s="438">
        <v>0</v>
      </c>
      <c r="EW84" s="438">
        <v>0</v>
      </c>
      <c r="EX84" s="438">
        <v>0</v>
      </c>
      <c r="EZ84" s="438">
        <v>4681901</v>
      </c>
      <c r="FA84" s="438">
        <v>0</v>
      </c>
      <c r="FB84" s="438">
        <v>4867709</v>
      </c>
      <c r="FC84" s="438">
        <v>0.97334900000000002</v>
      </c>
      <c r="FD84" s="438">
        <v>0</v>
      </c>
      <c r="FE84" s="438">
        <v>679140</v>
      </c>
      <c r="FF84" s="438">
        <v>154791</v>
      </c>
      <c r="FG84" s="437">
        <v>5.7854999999999997E-2</v>
      </c>
      <c r="FH84" s="437">
        <v>5.2366000000000003E-2</v>
      </c>
      <c r="FI84" s="438">
        <v>0</v>
      </c>
      <c r="FJ84" s="438">
        <v>0</v>
      </c>
      <c r="FK84" s="438">
        <v>925.178</v>
      </c>
      <c r="FL84" s="438">
        <v>5701640</v>
      </c>
      <c r="FM84" s="438">
        <v>0</v>
      </c>
      <c r="FN84" s="438">
        <v>0</v>
      </c>
      <c r="FO84" s="438">
        <v>0</v>
      </c>
      <c r="FP84" s="438">
        <v>0</v>
      </c>
      <c r="FQ84" s="438">
        <v>0</v>
      </c>
      <c r="FR84" s="438">
        <v>0</v>
      </c>
      <c r="FS84" s="438">
        <v>0</v>
      </c>
      <c r="FT84" s="438">
        <v>0</v>
      </c>
      <c r="FU84" s="438">
        <v>0</v>
      </c>
      <c r="FV84" s="438">
        <v>0</v>
      </c>
      <c r="FW84" s="438">
        <v>0</v>
      </c>
      <c r="FX84" s="438">
        <v>0</v>
      </c>
      <c r="FY84" s="438">
        <v>0</v>
      </c>
      <c r="FZ84" s="438">
        <v>0</v>
      </c>
      <c r="GA84" s="438">
        <v>0</v>
      </c>
      <c r="GB84" s="438">
        <v>171255</v>
      </c>
      <c r="GC84" s="438">
        <v>171255</v>
      </c>
      <c r="GD84" s="438">
        <v>19.385000000000002</v>
      </c>
      <c r="GF84" s="438">
        <v>0</v>
      </c>
      <c r="GG84" s="438">
        <v>0</v>
      </c>
      <c r="GH84" s="438">
        <v>0</v>
      </c>
      <c r="GI84" s="438">
        <v>0</v>
      </c>
      <c r="GJ84" s="438">
        <v>0</v>
      </c>
      <c r="GK84" s="438">
        <v>4604.6369999999997</v>
      </c>
      <c r="GL84" s="438">
        <v>0</v>
      </c>
      <c r="GM84" s="438">
        <v>0</v>
      </c>
      <c r="GN84" s="438">
        <v>0</v>
      </c>
      <c r="GO84" s="438">
        <v>0</v>
      </c>
      <c r="GP84" s="438">
        <v>5701640</v>
      </c>
      <c r="GQ84" s="438">
        <v>5701640</v>
      </c>
      <c r="GR84" s="438">
        <v>0</v>
      </c>
      <c r="GS84" s="438">
        <v>0</v>
      </c>
      <c r="GT84" s="438">
        <v>0</v>
      </c>
      <c r="HB84" s="438">
        <v>0</v>
      </c>
      <c r="HC84" s="437">
        <v>6.0754000000000002E-2</v>
      </c>
      <c r="HD84" s="438">
        <v>0</v>
      </c>
    </row>
    <row r="85" spans="1:212" x14ac:dyDescent="0.2">
      <c r="A85" s="438">
        <v>25836</v>
      </c>
      <c r="B85" s="442">
        <v>70801</v>
      </c>
      <c r="C85" s="438">
        <v>9</v>
      </c>
      <c r="D85" s="438">
        <v>2020</v>
      </c>
      <c r="E85" s="438">
        <v>5392</v>
      </c>
      <c r="F85" s="438">
        <v>0</v>
      </c>
      <c r="G85" s="438">
        <v>2368.3069999999998</v>
      </c>
      <c r="H85" s="438">
        <v>2233.8389999999999</v>
      </c>
      <c r="I85" s="438">
        <v>2233.8389999999999</v>
      </c>
      <c r="J85" s="438">
        <v>2368.3069999999998</v>
      </c>
      <c r="K85" s="438">
        <v>0</v>
      </c>
      <c r="L85" s="437">
        <v>6544</v>
      </c>
      <c r="M85" s="438">
        <v>0</v>
      </c>
      <c r="N85" s="438">
        <v>0</v>
      </c>
      <c r="P85" s="438">
        <v>2380.2199999999998</v>
      </c>
      <c r="Q85" s="438">
        <v>0</v>
      </c>
      <c r="R85" s="438">
        <v>589312</v>
      </c>
      <c r="S85" s="437">
        <v>247.58699999999999</v>
      </c>
      <c r="U85" s="438">
        <v>0</v>
      </c>
      <c r="V85" s="438">
        <v>1191.5999999999999</v>
      </c>
      <c r="W85" s="438">
        <v>779783</v>
      </c>
      <c r="X85" s="438">
        <v>779783</v>
      </c>
      <c r="Z85" s="438">
        <v>0</v>
      </c>
      <c r="AA85" s="438">
        <v>1</v>
      </c>
      <c r="AB85" s="438">
        <v>1</v>
      </c>
      <c r="AC85" s="438">
        <v>0</v>
      </c>
      <c r="AD85" s="438" t="s">
        <v>332</v>
      </c>
      <c r="AE85" s="438">
        <v>0</v>
      </c>
      <c r="AH85" s="438">
        <v>0</v>
      </c>
      <c r="AI85" s="438">
        <v>0</v>
      </c>
      <c r="AJ85" s="437">
        <v>5105</v>
      </c>
      <c r="AK85" s="438" t="s">
        <v>561</v>
      </c>
      <c r="AL85" s="438" t="s">
        <v>51</v>
      </c>
      <c r="AM85" s="438">
        <v>0</v>
      </c>
      <c r="AN85" s="438">
        <v>0</v>
      </c>
      <c r="AO85" s="438">
        <v>0</v>
      </c>
      <c r="AP85" s="438">
        <v>0</v>
      </c>
      <c r="AQ85" s="438">
        <v>0</v>
      </c>
      <c r="AR85" s="438">
        <v>0</v>
      </c>
      <c r="AS85" s="438">
        <v>0</v>
      </c>
      <c r="AT85" s="438">
        <v>0</v>
      </c>
      <c r="AU85" s="438">
        <v>0</v>
      </c>
      <c r="AV85" s="438">
        <v>0</v>
      </c>
      <c r="AW85" s="438">
        <v>23777679</v>
      </c>
      <c r="AX85" s="438">
        <v>23551662</v>
      </c>
      <c r="AY85" s="438">
        <v>0</v>
      </c>
      <c r="AZ85" s="438">
        <v>740287</v>
      </c>
      <c r="BA85" s="438">
        <v>147.917</v>
      </c>
      <c r="BB85" s="438">
        <v>73816</v>
      </c>
      <c r="BC85" s="438">
        <v>73816</v>
      </c>
      <c r="BD85" s="438">
        <v>94</v>
      </c>
      <c r="BE85" s="438">
        <v>0</v>
      </c>
      <c r="BF85" s="438">
        <v>20013809</v>
      </c>
      <c r="BG85" s="438">
        <v>0</v>
      </c>
      <c r="BH85" s="438">
        <v>548.99900000000002</v>
      </c>
      <c r="BI85" s="438">
        <v>150975</v>
      </c>
      <c r="BJ85" s="438">
        <v>12</v>
      </c>
      <c r="BK85" s="438">
        <v>0</v>
      </c>
      <c r="BL85" s="438">
        <v>0</v>
      </c>
      <c r="BM85" s="438">
        <v>0</v>
      </c>
      <c r="BN85" s="438">
        <v>0</v>
      </c>
      <c r="BO85" s="438">
        <v>0</v>
      </c>
      <c r="BP85" s="438">
        <v>0</v>
      </c>
      <c r="BQ85" s="437">
        <v>5392</v>
      </c>
      <c r="BR85" s="438">
        <v>1</v>
      </c>
      <c r="BS85" s="438">
        <v>0</v>
      </c>
      <c r="BT85" s="438">
        <v>0</v>
      </c>
      <c r="BU85" s="438">
        <v>0</v>
      </c>
      <c r="BV85" s="438">
        <v>0</v>
      </c>
      <c r="BW85" s="438">
        <v>0</v>
      </c>
      <c r="BX85" s="438">
        <v>0</v>
      </c>
      <c r="BY85" s="438">
        <v>0</v>
      </c>
      <c r="BZ85" s="438">
        <v>0</v>
      </c>
      <c r="CA85" s="438">
        <v>0</v>
      </c>
      <c r="CB85" s="438">
        <v>0</v>
      </c>
      <c r="CC85" s="438">
        <v>0</v>
      </c>
      <c r="CG85" s="438">
        <v>0</v>
      </c>
      <c r="CH85" s="438">
        <v>75042</v>
      </c>
      <c r="CI85" s="438">
        <v>0</v>
      </c>
      <c r="CJ85" s="438">
        <v>4</v>
      </c>
      <c r="CK85" s="438">
        <v>0</v>
      </c>
      <c r="CL85" s="438">
        <v>0</v>
      </c>
      <c r="CN85" s="438">
        <v>0</v>
      </c>
      <c r="CO85" s="438">
        <v>1</v>
      </c>
      <c r="CP85" s="438">
        <v>0</v>
      </c>
      <c r="CQ85" s="438">
        <v>4.3330000000000002</v>
      </c>
      <c r="CR85" s="438">
        <v>2368.3069999999998</v>
      </c>
      <c r="CS85" s="438">
        <v>0</v>
      </c>
      <c r="CT85" s="438">
        <v>0</v>
      </c>
      <c r="CU85" s="438">
        <v>0</v>
      </c>
      <c r="CV85" s="438">
        <v>0</v>
      </c>
      <c r="CW85" s="438">
        <v>0</v>
      </c>
      <c r="CX85" s="438">
        <v>0</v>
      </c>
      <c r="CY85" s="438">
        <v>0</v>
      </c>
      <c r="CZ85" s="438">
        <v>0</v>
      </c>
      <c r="DA85" s="438">
        <v>1</v>
      </c>
      <c r="DB85" s="438">
        <v>14618242</v>
      </c>
      <c r="DC85" s="438">
        <v>0</v>
      </c>
      <c r="DD85" s="438">
        <v>152.25</v>
      </c>
      <c r="DE85" s="438">
        <v>3229464</v>
      </c>
      <c r="DF85" s="438">
        <v>3229464</v>
      </c>
      <c r="DG85" s="438">
        <v>2467.5</v>
      </c>
      <c r="DH85" s="438">
        <v>0</v>
      </c>
      <c r="DI85" s="438">
        <v>0</v>
      </c>
      <c r="DK85" s="437">
        <v>5392</v>
      </c>
      <c r="DL85" s="438">
        <v>0</v>
      </c>
      <c r="DM85" s="438">
        <v>1031548</v>
      </c>
      <c r="DN85" s="438">
        <v>0</v>
      </c>
      <c r="DO85" s="438">
        <v>0</v>
      </c>
      <c r="DP85" s="438">
        <v>0</v>
      </c>
      <c r="DQ85" s="438">
        <v>0</v>
      </c>
      <c r="DR85" s="438">
        <v>0</v>
      </c>
      <c r="DS85" s="438">
        <v>0</v>
      </c>
      <c r="DT85" s="438">
        <v>0</v>
      </c>
      <c r="DU85" s="438">
        <v>0</v>
      </c>
      <c r="DV85" s="438">
        <v>0</v>
      </c>
      <c r="DW85" s="438">
        <v>0</v>
      </c>
      <c r="DX85" s="438">
        <v>0</v>
      </c>
      <c r="DY85" s="438">
        <v>0</v>
      </c>
      <c r="DZ85" s="438">
        <v>0</v>
      </c>
      <c r="EA85" s="438">
        <v>0</v>
      </c>
      <c r="EB85" s="438">
        <v>0</v>
      </c>
      <c r="EC85" s="438">
        <v>28.766999999999999</v>
      </c>
      <c r="ED85" s="438">
        <v>207076</v>
      </c>
      <c r="EE85" s="438">
        <v>0</v>
      </c>
      <c r="EF85" s="438">
        <v>0</v>
      </c>
      <c r="EG85" s="438">
        <v>0</v>
      </c>
      <c r="EH85" s="438">
        <v>824472</v>
      </c>
      <c r="EI85" s="438">
        <v>0</v>
      </c>
      <c r="EJ85" s="438">
        <v>0</v>
      </c>
      <c r="EK85" s="438">
        <v>38.399000000000001</v>
      </c>
      <c r="EL85" s="438">
        <v>0</v>
      </c>
      <c r="EM85" s="438">
        <v>0.19900000000000001</v>
      </c>
      <c r="EN85" s="438">
        <v>2.0390000000000001</v>
      </c>
      <c r="EO85" s="438">
        <v>0</v>
      </c>
      <c r="EP85" s="438">
        <v>0</v>
      </c>
      <c r="EQ85" s="438">
        <v>40.637</v>
      </c>
      <c r="ER85" s="438">
        <v>0</v>
      </c>
      <c r="ES85" s="438">
        <v>125.989</v>
      </c>
      <c r="ET85" s="438">
        <v>75042</v>
      </c>
      <c r="EU85" s="438">
        <v>740287</v>
      </c>
      <c r="EV85" s="438">
        <v>0</v>
      </c>
      <c r="EW85" s="438">
        <v>0</v>
      </c>
      <c r="EX85" s="438">
        <v>0</v>
      </c>
      <c r="EZ85" s="438">
        <v>20017610</v>
      </c>
      <c r="FA85" s="438">
        <v>0</v>
      </c>
      <c r="FB85" s="438">
        <v>20757897</v>
      </c>
      <c r="FC85" s="438">
        <v>0.97334900000000002</v>
      </c>
      <c r="FD85" s="438">
        <v>0</v>
      </c>
      <c r="FE85" s="438">
        <v>2878075</v>
      </c>
      <c r="FF85" s="438">
        <v>655977</v>
      </c>
      <c r="FG85" s="437">
        <v>5.7854999999999997E-2</v>
      </c>
      <c r="FH85" s="437">
        <v>5.2366000000000003E-2</v>
      </c>
      <c r="FI85" s="438">
        <v>0</v>
      </c>
      <c r="FJ85" s="438">
        <v>0</v>
      </c>
      <c r="FK85" s="438">
        <v>3920.74</v>
      </c>
      <c r="FL85" s="438">
        <v>24366991</v>
      </c>
      <c r="FM85" s="438">
        <v>0</v>
      </c>
      <c r="FN85" s="438">
        <v>0</v>
      </c>
      <c r="FO85" s="438">
        <v>41564</v>
      </c>
      <c r="FP85" s="438">
        <v>3564</v>
      </c>
      <c r="FQ85" s="438">
        <v>45128</v>
      </c>
      <c r="FR85" s="438">
        <v>41564</v>
      </c>
      <c r="FS85" s="438">
        <v>0</v>
      </c>
      <c r="FT85" s="438">
        <v>0</v>
      </c>
      <c r="FU85" s="438">
        <v>0</v>
      </c>
      <c r="FV85" s="438">
        <v>0</v>
      </c>
      <c r="FW85" s="438">
        <v>0</v>
      </c>
      <c r="FX85" s="438">
        <v>0</v>
      </c>
      <c r="FY85" s="438">
        <v>0</v>
      </c>
      <c r="FZ85" s="438">
        <v>0</v>
      </c>
      <c r="GA85" s="438">
        <v>0</v>
      </c>
      <c r="GB85" s="438">
        <v>828941</v>
      </c>
      <c r="GC85" s="438">
        <v>828941</v>
      </c>
      <c r="GD85" s="438">
        <v>93.831000000000003</v>
      </c>
      <c r="GF85" s="438">
        <v>0</v>
      </c>
      <c r="GG85" s="438">
        <v>0</v>
      </c>
      <c r="GH85" s="438">
        <v>0</v>
      </c>
      <c r="GI85" s="438">
        <v>0</v>
      </c>
      <c r="GJ85" s="438">
        <v>0</v>
      </c>
      <c r="GK85" s="438">
        <v>4771.3710000000001</v>
      </c>
      <c r="GL85" s="438">
        <v>7353</v>
      </c>
      <c r="GM85" s="438">
        <v>0</v>
      </c>
      <c r="GN85" s="438">
        <v>0</v>
      </c>
      <c r="GO85" s="438">
        <v>0</v>
      </c>
      <c r="GP85" s="438">
        <v>24291949</v>
      </c>
      <c r="GQ85" s="438">
        <v>24291949</v>
      </c>
      <c r="GR85" s="438">
        <v>0</v>
      </c>
      <c r="GS85" s="438">
        <v>0</v>
      </c>
      <c r="GT85" s="438">
        <v>0</v>
      </c>
      <c r="HB85" s="438">
        <v>0</v>
      </c>
      <c r="HC85" s="437">
        <v>6.0754000000000002E-2</v>
      </c>
      <c r="HD85" s="438">
        <v>0</v>
      </c>
    </row>
    <row r="86" spans="1:212" x14ac:dyDescent="0.2">
      <c r="A86" s="438">
        <v>25836</v>
      </c>
      <c r="B86" s="442">
        <v>71801</v>
      </c>
      <c r="C86" s="438">
        <v>9</v>
      </c>
      <c r="D86" s="438">
        <v>2020</v>
      </c>
      <c r="E86" s="438">
        <v>5392</v>
      </c>
      <c r="F86" s="438">
        <v>0</v>
      </c>
      <c r="G86" s="438">
        <v>824.95299999999997</v>
      </c>
      <c r="H86" s="438">
        <v>820.76499999999999</v>
      </c>
      <c r="I86" s="438">
        <v>820.76499999999999</v>
      </c>
      <c r="J86" s="438">
        <v>824.95299999999997</v>
      </c>
      <c r="K86" s="438">
        <v>0</v>
      </c>
      <c r="L86" s="437">
        <v>6544</v>
      </c>
      <c r="M86" s="438">
        <v>0</v>
      </c>
      <c r="N86" s="438">
        <v>0</v>
      </c>
      <c r="P86" s="438">
        <v>825.33799999999997</v>
      </c>
      <c r="Q86" s="438">
        <v>0</v>
      </c>
      <c r="R86" s="438">
        <v>204343</v>
      </c>
      <c r="S86" s="437">
        <v>247.58699999999999</v>
      </c>
      <c r="U86" s="438">
        <v>0</v>
      </c>
      <c r="V86" s="438">
        <v>181.46700000000001</v>
      </c>
      <c r="W86" s="438">
        <v>118752</v>
      </c>
      <c r="X86" s="438">
        <v>118752</v>
      </c>
      <c r="Z86" s="438">
        <v>0</v>
      </c>
      <c r="AA86" s="438">
        <v>1</v>
      </c>
      <c r="AB86" s="438">
        <v>1</v>
      </c>
      <c r="AC86" s="438">
        <v>0</v>
      </c>
      <c r="AD86" s="438" t="s">
        <v>332</v>
      </c>
      <c r="AE86" s="438">
        <v>0</v>
      </c>
      <c r="AH86" s="438">
        <v>0</v>
      </c>
      <c r="AI86" s="438">
        <v>0</v>
      </c>
      <c r="AJ86" s="437">
        <v>5105</v>
      </c>
      <c r="AK86" s="438" t="s">
        <v>561</v>
      </c>
      <c r="AL86" s="438" t="s">
        <v>89</v>
      </c>
      <c r="AM86" s="438">
        <v>0</v>
      </c>
      <c r="AN86" s="438">
        <v>0</v>
      </c>
      <c r="AO86" s="438">
        <v>0</v>
      </c>
      <c r="AP86" s="438">
        <v>0</v>
      </c>
      <c r="AQ86" s="438">
        <v>0</v>
      </c>
      <c r="AR86" s="438">
        <v>0</v>
      </c>
      <c r="AS86" s="438">
        <v>0</v>
      </c>
      <c r="AT86" s="438">
        <v>0</v>
      </c>
      <c r="AU86" s="438">
        <v>0</v>
      </c>
      <c r="AV86" s="438">
        <v>0</v>
      </c>
      <c r="AW86" s="438">
        <v>7328769</v>
      </c>
      <c r="AX86" s="438">
        <v>7293778</v>
      </c>
      <c r="AY86" s="438">
        <v>0</v>
      </c>
      <c r="AZ86" s="438">
        <v>228105</v>
      </c>
      <c r="BA86" s="438">
        <v>22.082999999999998</v>
      </c>
      <c r="BB86" s="438">
        <v>0</v>
      </c>
      <c r="BC86" s="438">
        <v>0</v>
      </c>
      <c r="BD86" s="438">
        <v>0</v>
      </c>
      <c r="BE86" s="438">
        <v>0</v>
      </c>
      <c r="BF86" s="438">
        <v>6227877</v>
      </c>
      <c r="BG86" s="438">
        <v>0</v>
      </c>
      <c r="BH86" s="438">
        <v>86.409000000000006</v>
      </c>
      <c r="BI86" s="438">
        <v>23762</v>
      </c>
      <c r="BJ86" s="438">
        <v>12</v>
      </c>
      <c r="BK86" s="438">
        <v>0</v>
      </c>
      <c r="BL86" s="438">
        <v>0</v>
      </c>
      <c r="BM86" s="438">
        <v>0</v>
      </c>
      <c r="BN86" s="438">
        <v>0</v>
      </c>
      <c r="BO86" s="438">
        <v>0</v>
      </c>
      <c r="BP86" s="438">
        <v>0</v>
      </c>
      <c r="BQ86" s="437">
        <v>5392</v>
      </c>
      <c r="BR86" s="438">
        <v>1</v>
      </c>
      <c r="BS86" s="438">
        <v>0</v>
      </c>
      <c r="BT86" s="438">
        <v>0</v>
      </c>
      <c r="BU86" s="438">
        <v>0</v>
      </c>
      <c r="BV86" s="438">
        <v>0</v>
      </c>
      <c r="BW86" s="438">
        <v>0</v>
      </c>
      <c r="BX86" s="438">
        <v>0</v>
      </c>
      <c r="BY86" s="438">
        <v>0</v>
      </c>
      <c r="BZ86" s="438">
        <v>0</v>
      </c>
      <c r="CA86" s="438">
        <v>0</v>
      </c>
      <c r="CB86" s="438">
        <v>0</v>
      </c>
      <c r="CC86" s="438">
        <v>0</v>
      </c>
      <c r="CG86" s="438">
        <v>0</v>
      </c>
      <c r="CH86" s="438">
        <v>11229</v>
      </c>
      <c r="CI86" s="438">
        <v>0</v>
      </c>
      <c r="CJ86" s="438">
        <v>4</v>
      </c>
      <c r="CK86" s="438">
        <v>0</v>
      </c>
      <c r="CL86" s="438">
        <v>0</v>
      </c>
      <c r="CN86" s="438">
        <v>0</v>
      </c>
      <c r="CO86" s="438">
        <v>1</v>
      </c>
      <c r="CP86" s="438">
        <v>0</v>
      </c>
      <c r="CQ86" s="438">
        <v>0.75</v>
      </c>
      <c r="CR86" s="438">
        <v>824.95299999999997</v>
      </c>
      <c r="CS86" s="438">
        <v>0</v>
      </c>
      <c r="CT86" s="438">
        <v>0</v>
      </c>
      <c r="CU86" s="438">
        <v>0</v>
      </c>
      <c r="CV86" s="438">
        <v>0</v>
      </c>
      <c r="CW86" s="438">
        <v>0</v>
      </c>
      <c r="CX86" s="438">
        <v>0</v>
      </c>
      <c r="CY86" s="438">
        <v>0</v>
      </c>
      <c r="CZ86" s="438">
        <v>0</v>
      </c>
      <c r="DA86" s="438">
        <v>1</v>
      </c>
      <c r="DB86" s="438">
        <v>5371086</v>
      </c>
      <c r="DC86" s="438">
        <v>0</v>
      </c>
      <c r="DD86" s="438">
        <v>0</v>
      </c>
      <c r="DE86" s="438">
        <v>634990</v>
      </c>
      <c r="DF86" s="438">
        <v>634990</v>
      </c>
      <c r="DG86" s="438">
        <v>485.17</v>
      </c>
      <c r="DH86" s="438">
        <v>0</v>
      </c>
      <c r="DI86" s="438">
        <v>0</v>
      </c>
      <c r="DK86" s="437">
        <v>5392</v>
      </c>
      <c r="DL86" s="438">
        <v>0</v>
      </c>
      <c r="DM86" s="438">
        <v>273570</v>
      </c>
      <c r="DN86" s="438">
        <v>0</v>
      </c>
      <c r="DO86" s="438">
        <v>0</v>
      </c>
      <c r="DP86" s="438">
        <v>0</v>
      </c>
      <c r="DQ86" s="438">
        <v>0</v>
      </c>
      <c r="DR86" s="438">
        <v>0</v>
      </c>
      <c r="DS86" s="438">
        <v>0</v>
      </c>
      <c r="DT86" s="438">
        <v>0</v>
      </c>
      <c r="DU86" s="438">
        <v>0</v>
      </c>
      <c r="DV86" s="438">
        <v>0</v>
      </c>
      <c r="DW86" s="438">
        <v>0</v>
      </c>
      <c r="DX86" s="438">
        <v>0</v>
      </c>
      <c r="DY86" s="438">
        <v>0</v>
      </c>
      <c r="DZ86" s="438">
        <v>0</v>
      </c>
      <c r="EA86" s="438">
        <v>0</v>
      </c>
      <c r="EB86" s="438">
        <v>0</v>
      </c>
      <c r="EC86" s="438">
        <v>24.797000000000001</v>
      </c>
      <c r="ED86" s="438">
        <v>178499</v>
      </c>
      <c r="EE86" s="438">
        <v>0</v>
      </c>
      <c r="EF86" s="438">
        <v>0</v>
      </c>
      <c r="EG86" s="438">
        <v>0</v>
      </c>
      <c r="EH86" s="438">
        <v>95071</v>
      </c>
      <c r="EI86" s="438">
        <v>0</v>
      </c>
      <c r="EJ86" s="438">
        <v>0</v>
      </c>
      <c r="EK86" s="438">
        <v>3.206</v>
      </c>
      <c r="EL86" s="438">
        <v>0</v>
      </c>
      <c r="EM86" s="438">
        <v>0</v>
      </c>
      <c r="EN86" s="438">
        <v>0.98199999999999998</v>
      </c>
      <c r="EO86" s="438">
        <v>0</v>
      </c>
      <c r="EP86" s="438">
        <v>0</v>
      </c>
      <c r="EQ86" s="438">
        <v>4.1879999999999997</v>
      </c>
      <c r="ER86" s="438">
        <v>0</v>
      </c>
      <c r="ES86" s="438">
        <v>14.528</v>
      </c>
      <c r="ET86" s="438">
        <v>11229</v>
      </c>
      <c r="EU86" s="438">
        <v>228105</v>
      </c>
      <c r="EV86" s="438">
        <v>0</v>
      </c>
      <c r="EW86" s="438">
        <v>0</v>
      </c>
      <c r="EX86" s="438">
        <v>0</v>
      </c>
      <c r="EZ86" s="438">
        <v>6194055</v>
      </c>
      <c r="FA86" s="438">
        <v>0</v>
      </c>
      <c r="FB86" s="438">
        <v>6422160</v>
      </c>
      <c r="FC86" s="438">
        <v>0.97334900000000002</v>
      </c>
      <c r="FD86" s="438">
        <v>0</v>
      </c>
      <c r="FE86" s="438">
        <v>895597</v>
      </c>
      <c r="FF86" s="438">
        <v>204126</v>
      </c>
      <c r="FG86" s="437">
        <v>5.7854999999999997E-2</v>
      </c>
      <c r="FH86" s="437">
        <v>5.2366000000000003E-2</v>
      </c>
      <c r="FI86" s="438">
        <v>0</v>
      </c>
      <c r="FJ86" s="438">
        <v>0</v>
      </c>
      <c r="FK86" s="438">
        <v>1220.0519999999999</v>
      </c>
      <c r="FL86" s="438">
        <v>7533112</v>
      </c>
      <c r="FM86" s="438">
        <v>0</v>
      </c>
      <c r="FN86" s="438">
        <v>0</v>
      </c>
      <c r="FO86" s="438">
        <v>0</v>
      </c>
      <c r="FP86" s="438">
        <v>0</v>
      </c>
      <c r="FQ86" s="438">
        <v>0</v>
      </c>
      <c r="FR86" s="438">
        <v>0</v>
      </c>
      <c r="FS86" s="438">
        <v>0</v>
      </c>
      <c r="FT86" s="438">
        <v>0</v>
      </c>
      <c r="FU86" s="438">
        <v>0</v>
      </c>
      <c r="FV86" s="438">
        <v>0</v>
      </c>
      <c r="FW86" s="438">
        <v>0</v>
      </c>
      <c r="FX86" s="438">
        <v>0</v>
      </c>
      <c r="FY86" s="438">
        <v>0</v>
      </c>
      <c r="FZ86" s="438">
        <v>0</v>
      </c>
      <c r="GA86" s="438">
        <v>0</v>
      </c>
      <c r="GB86" s="438">
        <v>0</v>
      </c>
      <c r="GC86" s="438">
        <v>0</v>
      </c>
      <c r="GD86" s="438">
        <v>0</v>
      </c>
      <c r="GF86" s="438">
        <v>0</v>
      </c>
      <c r="GG86" s="438">
        <v>0</v>
      </c>
      <c r="GH86" s="438">
        <v>0</v>
      </c>
      <c r="GI86" s="438">
        <v>0</v>
      </c>
      <c r="GJ86" s="438">
        <v>0</v>
      </c>
      <c r="GK86" s="438">
        <v>4661.1419999999998</v>
      </c>
      <c r="GL86" s="438">
        <v>18482</v>
      </c>
      <c r="GM86" s="438">
        <v>0</v>
      </c>
      <c r="GN86" s="438">
        <v>0</v>
      </c>
      <c r="GO86" s="438">
        <v>0</v>
      </c>
      <c r="GP86" s="438">
        <v>7521883</v>
      </c>
      <c r="GQ86" s="438">
        <v>7521883</v>
      </c>
      <c r="GR86" s="438">
        <v>0</v>
      </c>
      <c r="GS86" s="438">
        <v>0</v>
      </c>
      <c r="GT86" s="438">
        <v>0</v>
      </c>
      <c r="HB86" s="438">
        <v>0</v>
      </c>
      <c r="HC86" s="437">
        <v>6.0754000000000002E-2</v>
      </c>
      <c r="HD86" s="438">
        <v>0</v>
      </c>
    </row>
    <row r="87" spans="1:212" x14ac:dyDescent="0.2">
      <c r="A87" s="438">
        <v>25836</v>
      </c>
      <c r="B87" s="442">
        <v>71803</v>
      </c>
      <c r="C87" s="438">
        <v>9</v>
      </c>
      <c r="D87" s="438">
        <v>2020</v>
      </c>
      <c r="E87" s="438">
        <v>5392</v>
      </c>
      <c r="F87" s="438">
        <v>0</v>
      </c>
      <c r="G87" s="438">
        <v>196.142</v>
      </c>
      <c r="H87" s="438">
        <v>189.99799999999999</v>
      </c>
      <c r="I87" s="438">
        <v>189.99799999999999</v>
      </c>
      <c r="J87" s="438">
        <v>196.142</v>
      </c>
      <c r="K87" s="438">
        <v>0</v>
      </c>
      <c r="L87" s="437">
        <v>6544</v>
      </c>
      <c r="M87" s="438">
        <v>0</v>
      </c>
      <c r="N87" s="438">
        <v>0</v>
      </c>
      <c r="P87" s="438">
        <v>193.34200000000001</v>
      </c>
      <c r="Q87" s="438">
        <v>0</v>
      </c>
      <c r="R87" s="438">
        <v>47869</v>
      </c>
      <c r="S87" s="437">
        <v>247.58699999999999</v>
      </c>
      <c r="U87" s="438">
        <v>0</v>
      </c>
      <c r="V87" s="438">
        <v>42.558</v>
      </c>
      <c r="W87" s="438">
        <v>27850</v>
      </c>
      <c r="X87" s="438">
        <v>27850</v>
      </c>
      <c r="Z87" s="438">
        <v>0</v>
      </c>
      <c r="AA87" s="438">
        <v>1</v>
      </c>
      <c r="AB87" s="438">
        <v>1</v>
      </c>
      <c r="AC87" s="438">
        <v>0</v>
      </c>
      <c r="AD87" s="438" t="s">
        <v>332</v>
      </c>
      <c r="AE87" s="438">
        <v>0</v>
      </c>
      <c r="AH87" s="438">
        <v>0</v>
      </c>
      <c r="AI87" s="438">
        <v>0</v>
      </c>
      <c r="AJ87" s="437">
        <v>5105</v>
      </c>
      <c r="AK87" s="438" t="s">
        <v>561</v>
      </c>
      <c r="AL87" s="438" t="s">
        <v>356</v>
      </c>
      <c r="AM87" s="438">
        <v>0</v>
      </c>
      <c r="AN87" s="438">
        <v>0</v>
      </c>
      <c r="AO87" s="438">
        <v>0</v>
      </c>
      <c r="AP87" s="438">
        <v>0</v>
      </c>
      <c r="AQ87" s="438">
        <v>0</v>
      </c>
      <c r="AR87" s="438">
        <v>0</v>
      </c>
      <c r="AS87" s="438">
        <v>0</v>
      </c>
      <c r="AT87" s="438">
        <v>0</v>
      </c>
      <c r="AU87" s="438">
        <v>0</v>
      </c>
      <c r="AV87" s="438">
        <v>0</v>
      </c>
      <c r="AW87" s="438">
        <v>2046633</v>
      </c>
      <c r="AX87" s="438">
        <v>1986131</v>
      </c>
      <c r="AY87" s="438">
        <v>0</v>
      </c>
      <c r="AZ87" s="438">
        <v>101808</v>
      </c>
      <c r="BA87" s="438">
        <v>7.25</v>
      </c>
      <c r="BB87" s="438">
        <v>0</v>
      </c>
      <c r="BC87" s="438">
        <v>0</v>
      </c>
      <c r="BD87" s="438">
        <v>0</v>
      </c>
      <c r="BE87" s="438">
        <v>0</v>
      </c>
      <c r="BF87" s="438">
        <v>1689423</v>
      </c>
      <c r="BG87" s="438">
        <v>0</v>
      </c>
      <c r="BH87" s="438">
        <v>244.44200000000001</v>
      </c>
      <c r="BI87" s="438">
        <v>53939</v>
      </c>
      <c r="BJ87" s="438">
        <v>12</v>
      </c>
      <c r="BK87" s="438">
        <v>0</v>
      </c>
      <c r="BL87" s="438">
        <v>0</v>
      </c>
      <c r="BM87" s="438">
        <v>0</v>
      </c>
      <c r="BN87" s="438">
        <v>0</v>
      </c>
      <c r="BO87" s="438">
        <v>0</v>
      </c>
      <c r="BP87" s="438">
        <v>0</v>
      </c>
      <c r="BQ87" s="437">
        <v>5392</v>
      </c>
      <c r="BR87" s="438">
        <v>1</v>
      </c>
      <c r="BS87" s="438">
        <v>0</v>
      </c>
      <c r="BT87" s="438">
        <v>0</v>
      </c>
      <c r="BU87" s="438">
        <v>0</v>
      </c>
      <c r="BV87" s="438">
        <v>0</v>
      </c>
      <c r="BW87" s="438">
        <v>0</v>
      </c>
      <c r="BX87" s="438">
        <v>0</v>
      </c>
      <c r="BY87" s="438">
        <v>0</v>
      </c>
      <c r="BZ87" s="438">
        <v>0</v>
      </c>
      <c r="CA87" s="438">
        <v>0</v>
      </c>
      <c r="CB87" s="438">
        <v>0</v>
      </c>
      <c r="CC87" s="438">
        <v>0</v>
      </c>
      <c r="CG87" s="438">
        <v>0</v>
      </c>
      <c r="CH87" s="438">
        <v>6563</v>
      </c>
      <c r="CI87" s="438">
        <v>0</v>
      </c>
      <c r="CJ87" s="438">
        <v>4</v>
      </c>
      <c r="CK87" s="438">
        <v>0</v>
      </c>
      <c r="CL87" s="438">
        <v>0</v>
      </c>
      <c r="CN87" s="438">
        <v>0</v>
      </c>
      <c r="CO87" s="438">
        <v>1</v>
      </c>
      <c r="CP87" s="438">
        <v>1.155</v>
      </c>
      <c r="CQ87" s="438">
        <v>11.75</v>
      </c>
      <c r="CR87" s="438">
        <v>196.142</v>
      </c>
      <c r="CS87" s="438">
        <v>0</v>
      </c>
      <c r="CT87" s="438">
        <v>0</v>
      </c>
      <c r="CU87" s="438">
        <v>0</v>
      </c>
      <c r="CV87" s="438">
        <v>0</v>
      </c>
      <c r="CW87" s="438">
        <v>0</v>
      </c>
      <c r="CX87" s="438">
        <v>0</v>
      </c>
      <c r="CY87" s="438">
        <v>0</v>
      </c>
      <c r="CZ87" s="438">
        <v>0</v>
      </c>
      <c r="DA87" s="438">
        <v>1</v>
      </c>
      <c r="DB87" s="438">
        <v>1243347</v>
      </c>
      <c r="DC87" s="438">
        <v>0</v>
      </c>
      <c r="DD87" s="438">
        <v>0</v>
      </c>
      <c r="DE87" s="438">
        <v>274416</v>
      </c>
      <c r="DF87" s="438">
        <v>292632</v>
      </c>
      <c r="DG87" s="438">
        <v>209.67</v>
      </c>
      <c r="DH87" s="438">
        <v>0</v>
      </c>
      <c r="DI87" s="438">
        <v>18216</v>
      </c>
      <c r="DK87" s="437">
        <v>5392</v>
      </c>
      <c r="DL87" s="438">
        <v>0</v>
      </c>
      <c r="DM87" s="438">
        <v>120028</v>
      </c>
      <c r="DN87" s="438">
        <v>0</v>
      </c>
      <c r="DO87" s="438">
        <v>0</v>
      </c>
      <c r="DP87" s="438">
        <v>0</v>
      </c>
      <c r="DQ87" s="438">
        <v>0</v>
      </c>
      <c r="DR87" s="438">
        <v>0</v>
      </c>
      <c r="DS87" s="438">
        <v>0</v>
      </c>
      <c r="DT87" s="438">
        <v>0</v>
      </c>
      <c r="DU87" s="438">
        <v>0</v>
      </c>
      <c r="DV87" s="438">
        <v>0</v>
      </c>
      <c r="DW87" s="438">
        <v>0</v>
      </c>
      <c r="DX87" s="438">
        <v>0</v>
      </c>
      <c r="DY87" s="438">
        <v>0</v>
      </c>
      <c r="DZ87" s="438">
        <v>0</v>
      </c>
      <c r="EA87" s="438">
        <v>0.14799999999999999</v>
      </c>
      <c r="EB87" s="438">
        <v>0</v>
      </c>
      <c r="EC87" s="438">
        <v>15.647</v>
      </c>
      <c r="ED87" s="438">
        <v>112633</v>
      </c>
      <c r="EE87" s="438">
        <v>0</v>
      </c>
      <c r="EF87" s="438">
        <v>0</v>
      </c>
      <c r="EG87" s="438">
        <v>0</v>
      </c>
      <c r="EH87" s="438">
        <v>7395</v>
      </c>
      <c r="EI87" s="438">
        <v>0</v>
      </c>
      <c r="EJ87" s="438">
        <v>0</v>
      </c>
      <c r="EK87" s="438">
        <v>0.13</v>
      </c>
      <c r="EL87" s="438">
        <v>0</v>
      </c>
      <c r="EM87" s="438">
        <v>0</v>
      </c>
      <c r="EN87" s="438">
        <v>0</v>
      </c>
      <c r="EO87" s="438">
        <v>0</v>
      </c>
      <c r="EP87" s="438">
        <v>0</v>
      </c>
      <c r="EQ87" s="438">
        <v>0.27800000000000002</v>
      </c>
      <c r="ER87" s="438">
        <v>0</v>
      </c>
      <c r="ES87" s="438">
        <v>1.1299999999999999</v>
      </c>
      <c r="ET87" s="438">
        <v>6563</v>
      </c>
      <c r="EU87" s="438">
        <v>101808</v>
      </c>
      <c r="EV87" s="438">
        <v>0</v>
      </c>
      <c r="EW87" s="438">
        <v>0</v>
      </c>
      <c r="EX87" s="438">
        <v>0</v>
      </c>
      <c r="EZ87" s="438">
        <v>1687811</v>
      </c>
      <c r="FA87" s="438">
        <v>0</v>
      </c>
      <c r="FB87" s="438">
        <v>1789619</v>
      </c>
      <c r="FC87" s="438">
        <v>0.97334900000000002</v>
      </c>
      <c r="FD87" s="438">
        <v>0</v>
      </c>
      <c r="FE87" s="438">
        <v>242947</v>
      </c>
      <c r="FF87" s="438">
        <v>55373</v>
      </c>
      <c r="FG87" s="437">
        <v>5.7854999999999997E-2</v>
      </c>
      <c r="FH87" s="437">
        <v>5.2366000000000003E-2</v>
      </c>
      <c r="FI87" s="438">
        <v>0</v>
      </c>
      <c r="FJ87" s="438">
        <v>0</v>
      </c>
      <c r="FK87" s="438">
        <v>330.96100000000001</v>
      </c>
      <c r="FL87" s="438">
        <v>2094502</v>
      </c>
      <c r="FM87" s="438">
        <v>0</v>
      </c>
      <c r="FN87" s="438">
        <v>0</v>
      </c>
      <c r="FO87" s="438">
        <v>0</v>
      </c>
      <c r="FP87" s="438">
        <v>0</v>
      </c>
      <c r="FQ87" s="438">
        <v>0</v>
      </c>
      <c r="FR87" s="438">
        <v>0</v>
      </c>
      <c r="FS87" s="438">
        <v>0</v>
      </c>
      <c r="FT87" s="438">
        <v>0</v>
      </c>
      <c r="FU87" s="438">
        <v>0</v>
      </c>
      <c r="FV87" s="438">
        <v>0</v>
      </c>
      <c r="FW87" s="438">
        <v>0</v>
      </c>
      <c r="FX87" s="438">
        <v>0</v>
      </c>
      <c r="FY87" s="438">
        <v>0</v>
      </c>
      <c r="FZ87" s="438">
        <v>0</v>
      </c>
      <c r="GA87" s="438">
        <v>0</v>
      </c>
      <c r="GB87" s="438">
        <v>51823</v>
      </c>
      <c r="GC87" s="438">
        <v>51823</v>
      </c>
      <c r="GD87" s="438">
        <v>5.8659999999999997</v>
      </c>
      <c r="GF87" s="438">
        <v>0</v>
      </c>
      <c r="GG87" s="438">
        <v>0</v>
      </c>
      <c r="GH87" s="438">
        <v>0</v>
      </c>
      <c r="GI87" s="438">
        <v>0</v>
      </c>
      <c r="GJ87" s="438">
        <v>0</v>
      </c>
      <c r="GK87" s="438">
        <v>4736.1719999999996</v>
      </c>
      <c r="GL87" s="438">
        <v>6941</v>
      </c>
      <c r="GM87" s="438">
        <v>0</v>
      </c>
      <c r="GN87" s="438">
        <v>0</v>
      </c>
      <c r="GO87" s="438">
        <v>0</v>
      </c>
      <c r="GP87" s="438">
        <v>2087939</v>
      </c>
      <c r="GQ87" s="438">
        <v>2087939</v>
      </c>
      <c r="GR87" s="438">
        <v>0</v>
      </c>
      <c r="GS87" s="438">
        <v>0</v>
      </c>
      <c r="GT87" s="438">
        <v>0</v>
      </c>
      <c r="HB87" s="438">
        <v>0</v>
      </c>
      <c r="HC87" s="437">
        <v>6.0754000000000002E-2</v>
      </c>
      <c r="HD87" s="438">
        <v>0</v>
      </c>
    </row>
    <row r="88" spans="1:212" x14ac:dyDescent="0.2">
      <c r="A88" s="438">
        <v>25836</v>
      </c>
      <c r="B88" s="442">
        <v>71804</v>
      </c>
      <c r="C88" s="438">
        <v>9</v>
      </c>
      <c r="D88" s="438">
        <v>2020</v>
      </c>
      <c r="E88" s="438">
        <v>5392</v>
      </c>
      <c r="F88" s="438">
        <v>0</v>
      </c>
      <c r="G88" s="438">
        <v>288.82499999999999</v>
      </c>
      <c r="H88" s="438">
        <v>276.59100000000001</v>
      </c>
      <c r="I88" s="438">
        <v>276.59100000000001</v>
      </c>
      <c r="J88" s="438">
        <v>288.82499999999999</v>
      </c>
      <c r="K88" s="438">
        <v>0</v>
      </c>
      <c r="L88" s="437">
        <v>6544</v>
      </c>
      <c r="M88" s="438">
        <v>0</v>
      </c>
      <c r="N88" s="438">
        <v>0</v>
      </c>
      <c r="P88" s="438">
        <v>292.858</v>
      </c>
      <c r="Q88" s="438">
        <v>0</v>
      </c>
      <c r="R88" s="438">
        <v>72508</v>
      </c>
      <c r="S88" s="437">
        <v>247.58699999999999</v>
      </c>
      <c r="U88" s="438">
        <v>0</v>
      </c>
      <c r="V88" s="438">
        <v>20.042000000000002</v>
      </c>
      <c r="W88" s="438">
        <v>13115</v>
      </c>
      <c r="X88" s="438">
        <v>13115</v>
      </c>
      <c r="Z88" s="438">
        <v>0</v>
      </c>
      <c r="AA88" s="438">
        <v>1</v>
      </c>
      <c r="AB88" s="438">
        <v>1</v>
      </c>
      <c r="AC88" s="438">
        <v>0</v>
      </c>
      <c r="AD88" s="438" t="s">
        <v>332</v>
      </c>
      <c r="AE88" s="438">
        <v>0</v>
      </c>
      <c r="AH88" s="438">
        <v>0</v>
      </c>
      <c r="AI88" s="438">
        <v>0</v>
      </c>
      <c r="AJ88" s="437">
        <v>5105</v>
      </c>
      <c r="AK88" s="438" t="s">
        <v>561</v>
      </c>
      <c r="AL88" s="438" t="s">
        <v>26</v>
      </c>
      <c r="AM88" s="438">
        <v>0</v>
      </c>
      <c r="AN88" s="438">
        <v>0</v>
      </c>
      <c r="AO88" s="438">
        <v>0</v>
      </c>
      <c r="AP88" s="438">
        <v>0</v>
      </c>
      <c r="AQ88" s="438">
        <v>0</v>
      </c>
      <c r="AR88" s="438">
        <v>0</v>
      </c>
      <c r="AS88" s="438">
        <v>0</v>
      </c>
      <c r="AT88" s="438">
        <v>0</v>
      </c>
      <c r="AU88" s="438">
        <v>0</v>
      </c>
      <c r="AV88" s="438">
        <v>0</v>
      </c>
      <c r="AW88" s="438">
        <v>2937968</v>
      </c>
      <c r="AX88" s="438">
        <v>2853249</v>
      </c>
      <c r="AY88" s="438">
        <v>0</v>
      </c>
      <c r="AZ88" s="438">
        <v>151935</v>
      </c>
      <c r="BA88" s="438">
        <v>10.583</v>
      </c>
      <c r="BB88" s="438">
        <v>0</v>
      </c>
      <c r="BC88" s="438">
        <v>0</v>
      </c>
      <c r="BD88" s="438">
        <v>0</v>
      </c>
      <c r="BE88" s="438">
        <v>0</v>
      </c>
      <c r="BF88" s="438">
        <v>2430109</v>
      </c>
      <c r="BG88" s="438">
        <v>0</v>
      </c>
      <c r="BH88" s="438">
        <v>380.351</v>
      </c>
      <c r="BI88" s="438">
        <v>79427</v>
      </c>
      <c r="BJ88" s="438">
        <v>12</v>
      </c>
      <c r="BK88" s="438">
        <v>0</v>
      </c>
      <c r="BL88" s="438">
        <v>0</v>
      </c>
      <c r="BM88" s="438">
        <v>0</v>
      </c>
      <c r="BN88" s="438">
        <v>0</v>
      </c>
      <c r="BO88" s="438">
        <v>0</v>
      </c>
      <c r="BP88" s="438">
        <v>0</v>
      </c>
      <c r="BQ88" s="437">
        <v>5392</v>
      </c>
      <c r="BR88" s="438">
        <v>1</v>
      </c>
      <c r="BS88" s="438">
        <v>0</v>
      </c>
      <c r="BT88" s="438">
        <v>0</v>
      </c>
      <c r="BU88" s="438">
        <v>0</v>
      </c>
      <c r="BV88" s="438">
        <v>0</v>
      </c>
      <c r="BW88" s="438">
        <v>0</v>
      </c>
      <c r="BX88" s="438">
        <v>0</v>
      </c>
      <c r="BY88" s="438">
        <v>0</v>
      </c>
      <c r="BZ88" s="438">
        <v>0</v>
      </c>
      <c r="CA88" s="438">
        <v>0</v>
      </c>
      <c r="CB88" s="438">
        <v>0</v>
      </c>
      <c r="CC88" s="438">
        <v>0</v>
      </c>
      <c r="CG88" s="438">
        <v>0</v>
      </c>
      <c r="CH88" s="438">
        <v>5292</v>
      </c>
      <c r="CI88" s="438">
        <v>0</v>
      </c>
      <c r="CJ88" s="438">
        <v>4</v>
      </c>
      <c r="CK88" s="438">
        <v>0</v>
      </c>
      <c r="CL88" s="438">
        <v>0</v>
      </c>
      <c r="CN88" s="438">
        <v>0</v>
      </c>
      <c r="CO88" s="438">
        <v>1</v>
      </c>
      <c r="CP88" s="438">
        <v>1.93</v>
      </c>
      <c r="CQ88" s="438">
        <v>0</v>
      </c>
      <c r="CR88" s="438">
        <v>288.82499999999999</v>
      </c>
      <c r="CS88" s="438">
        <v>0</v>
      </c>
      <c r="CT88" s="438">
        <v>0</v>
      </c>
      <c r="CU88" s="438">
        <v>0</v>
      </c>
      <c r="CV88" s="438">
        <v>0</v>
      </c>
      <c r="CW88" s="438">
        <v>0</v>
      </c>
      <c r="CX88" s="438">
        <v>0</v>
      </c>
      <c r="CY88" s="438">
        <v>0</v>
      </c>
      <c r="CZ88" s="438">
        <v>0</v>
      </c>
      <c r="DA88" s="438">
        <v>1</v>
      </c>
      <c r="DB88" s="438">
        <v>1810012</v>
      </c>
      <c r="DC88" s="438">
        <v>0</v>
      </c>
      <c r="DD88" s="438">
        <v>10.583</v>
      </c>
      <c r="DE88" s="438">
        <v>343128</v>
      </c>
      <c r="DF88" s="438">
        <v>373566</v>
      </c>
      <c r="DG88" s="438">
        <v>262.17</v>
      </c>
      <c r="DH88" s="438">
        <v>0</v>
      </c>
      <c r="DI88" s="438">
        <v>30438</v>
      </c>
      <c r="DK88" s="437">
        <v>5392</v>
      </c>
      <c r="DL88" s="438">
        <v>0</v>
      </c>
      <c r="DM88" s="438">
        <v>193596</v>
      </c>
      <c r="DN88" s="438">
        <v>0</v>
      </c>
      <c r="DO88" s="438">
        <v>0</v>
      </c>
      <c r="DP88" s="438">
        <v>0</v>
      </c>
      <c r="DQ88" s="438">
        <v>0</v>
      </c>
      <c r="DR88" s="438">
        <v>0</v>
      </c>
      <c r="DS88" s="438">
        <v>0</v>
      </c>
      <c r="DT88" s="438">
        <v>0</v>
      </c>
      <c r="DU88" s="438">
        <v>0</v>
      </c>
      <c r="DV88" s="438">
        <v>0</v>
      </c>
      <c r="DW88" s="438">
        <v>0</v>
      </c>
      <c r="DX88" s="438">
        <v>0</v>
      </c>
      <c r="DY88" s="438">
        <v>0</v>
      </c>
      <c r="DZ88" s="438">
        <v>0</v>
      </c>
      <c r="EA88" s="438">
        <v>0.19500000000000001</v>
      </c>
      <c r="EB88" s="438">
        <v>0</v>
      </c>
      <c r="EC88" s="438">
        <v>26.007999999999999</v>
      </c>
      <c r="ED88" s="438">
        <v>187216</v>
      </c>
      <c r="EE88" s="438">
        <v>0</v>
      </c>
      <c r="EF88" s="438">
        <v>0</v>
      </c>
      <c r="EG88" s="438">
        <v>0</v>
      </c>
      <c r="EH88" s="438">
        <v>6380</v>
      </c>
      <c r="EI88" s="438">
        <v>0</v>
      </c>
      <c r="EJ88" s="438">
        <v>0</v>
      </c>
      <c r="EK88" s="438">
        <v>0</v>
      </c>
      <c r="EL88" s="438">
        <v>0</v>
      </c>
      <c r="EM88" s="438">
        <v>0</v>
      </c>
      <c r="EN88" s="438">
        <v>0</v>
      </c>
      <c r="EO88" s="438">
        <v>0</v>
      </c>
      <c r="EP88" s="438">
        <v>0</v>
      </c>
      <c r="EQ88" s="438">
        <v>0.19500000000000001</v>
      </c>
      <c r="ER88" s="438">
        <v>0</v>
      </c>
      <c r="ES88" s="438">
        <v>0.97499999999999998</v>
      </c>
      <c r="ET88" s="438">
        <v>5292</v>
      </c>
      <c r="EU88" s="438">
        <v>151935</v>
      </c>
      <c r="EV88" s="438">
        <v>0</v>
      </c>
      <c r="EW88" s="438">
        <v>0</v>
      </c>
      <c r="EX88" s="438">
        <v>0</v>
      </c>
      <c r="EZ88" s="438">
        <v>2424138</v>
      </c>
      <c r="FA88" s="438">
        <v>0</v>
      </c>
      <c r="FB88" s="438">
        <v>2576073</v>
      </c>
      <c r="FC88" s="438">
        <v>0.97334900000000002</v>
      </c>
      <c r="FD88" s="438">
        <v>0</v>
      </c>
      <c r="FE88" s="438">
        <v>349461</v>
      </c>
      <c r="FF88" s="438">
        <v>79650</v>
      </c>
      <c r="FG88" s="437">
        <v>5.7854999999999997E-2</v>
      </c>
      <c r="FH88" s="437">
        <v>5.2366000000000003E-2</v>
      </c>
      <c r="FI88" s="438">
        <v>0</v>
      </c>
      <c r="FJ88" s="438">
        <v>0</v>
      </c>
      <c r="FK88" s="438">
        <v>476.06299999999999</v>
      </c>
      <c r="FL88" s="438">
        <v>3010476</v>
      </c>
      <c r="FM88" s="438">
        <v>0</v>
      </c>
      <c r="FN88" s="438">
        <v>0</v>
      </c>
      <c r="FO88" s="438">
        <v>0</v>
      </c>
      <c r="FP88" s="438">
        <v>0</v>
      </c>
      <c r="FQ88" s="438">
        <v>0</v>
      </c>
      <c r="FR88" s="438">
        <v>0</v>
      </c>
      <c r="FS88" s="438">
        <v>0</v>
      </c>
      <c r="FT88" s="438">
        <v>0</v>
      </c>
      <c r="FU88" s="438">
        <v>0</v>
      </c>
      <c r="FV88" s="438">
        <v>0</v>
      </c>
      <c r="FW88" s="438">
        <v>0</v>
      </c>
      <c r="FX88" s="438">
        <v>0</v>
      </c>
      <c r="FY88" s="438">
        <v>0</v>
      </c>
      <c r="FZ88" s="438">
        <v>0</v>
      </c>
      <c r="GA88" s="438">
        <v>0</v>
      </c>
      <c r="GB88" s="438">
        <v>106357</v>
      </c>
      <c r="GC88" s="438">
        <v>106357</v>
      </c>
      <c r="GD88" s="438">
        <v>12.039</v>
      </c>
      <c r="GF88" s="438">
        <v>0</v>
      </c>
      <c r="GG88" s="438">
        <v>0</v>
      </c>
      <c r="GH88" s="438">
        <v>0</v>
      </c>
      <c r="GI88" s="438">
        <v>0</v>
      </c>
      <c r="GJ88" s="438">
        <v>0</v>
      </c>
      <c r="GK88" s="438">
        <v>4776.9290000000001</v>
      </c>
      <c r="GL88" s="438">
        <v>13575</v>
      </c>
      <c r="GM88" s="438">
        <v>0</v>
      </c>
      <c r="GN88" s="438">
        <v>0</v>
      </c>
      <c r="GO88" s="438">
        <v>0</v>
      </c>
      <c r="GP88" s="438">
        <v>3005184</v>
      </c>
      <c r="GQ88" s="438">
        <v>3005184</v>
      </c>
      <c r="GR88" s="438">
        <v>0</v>
      </c>
      <c r="GS88" s="438">
        <v>0</v>
      </c>
      <c r="GT88" s="438">
        <v>0</v>
      </c>
      <c r="HB88" s="438">
        <v>0</v>
      </c>
      <c r="HC88" s="437">
        <v>6.0754000000000002E-2</v>
      </c>
      <c r="HD88" s="438">
        <v>0</v>
      </c>
    </row>
    <row r="89" spans="1:212" x14ac:dyDescent="0.2">
      <c r="A89" s="438">
        <v>25836</v>
      </c>
      <c r="B89" s="442">
        <v>71806</v>
      </c>
      <c r="C89" s="438">
        <v>9</v>
      </c>
      <c r="D89" s="438">
        <v>2020</v>
      </c>
      <c r="E89" s="438">
        <v>5392</v>
      </c>
      <c r="F89" s="438">
        <v>0</v>
      </c>
      <c r="G89" s="438">
        <v>3341.6350000000002</v>
      </c>
      <c r="H89" s="438">
        <v>3170.8870000000002</v>
      </c>
      <c r="I89" s="438">
        <v>3170.8870000000002</v>
      </c>
      <c r="J89" s="438">
        <v>3341.6350000000002</v>
      </c>
      <c r="K89" s="438">
        <v>0</v>
      </c>
      <c r="L89" s="437">
        <v>6544</v>
      </c>
      <c r="M89" s="438">
        <v>0</v>
      </c>
      <c r="N89" s="438">
        <v>0</v>
      </c>
      <c r="P89" s="438">
        <v>3358.3850000000002</v>
      </c>
      <c r="Q89" s="438">
        <v>0</v>
      </c>
      <c r="R89" s="438">
        <v>831492</v>
      </c>
      <c r="S89" s="437">
        <v>247.58699999999999</v>
      </c>
      <c r="U89" s="438">
        <v>0</v>
      </c>
      <c r="V89" s="438">
        <v>695.39499999999998</v>
      </c>
      <c r="W89" s="438">
        <v>455066</v>
      </c>
      <c r="X89" s="438">
        <v>455066</v>
      </c>
      <c r="Z89" s="438">
        <v>0</v>
      </c>
      <c r="AA89" s="438">
        <v>1</v>
      </c>
      <c r="AB89" s="438">
        <v>1</v>
      </c>
      <c r="AC89" s="438">
        <v>0</v>
      </c>
      <c r="AD89" s="438" t="s">
        <v>332</v>
      </c>
      <c r="AE89" s="438">
        <v>0</v>
      </c>
      <c r="AH89" s="438">
        <v>0</v>
      </c>
      <c r="AI89" s="438">
        <v>0</v>
      </c>
      <c r="AJ89" s="437">
        <v>5105</v>
      </c>
      <c r="AK89" s="438" t="s">
        <v>561</v>
      </c>
      <c r="AL89" s="438" t="s">
        <v>27</v>
      </c>
      <c r="AM89" s="438">
        <v>0</v>
      </c>
      <c r="AN89" s="438">
        <v>0</v>
      </c>
      <c r="AO89" s="438">
        <v>0</v>
      </c>
      <c r="AP89" s="438">
        <v>0</v>
      </c>
      <c r="AQ89" s="438">
        <v>0</v>
      </c>
      <c r="AR89" s="438">
        <v>0</v>
      </c>
      <c r="AS89" s="438">
        <v>0</v>
      </c>
      <c r="AT89" s="438">
        <v>0</v>
      </c>
      <c r="AU89" s="438">
        <v>0</v>
      </c>
      <c r="AV89" s="438">
        <v>0</v>
      </c>
      <c r="AW89" s="438">
        <v>31943268</v>
      </c>
      <c r="AX89" s="438">
        <v>31729805</v>
      </c>
      <c r="AY89" s="438">
        <v>0</v>
      </c>
      <c r="AZ89" s="438">
        <v>1004288</v>
      </c>
      <c r="BA89" s="438">
        <v>81.332999999999998</v>
      </c>
      <c r="BB89" s="438">
        <v>131142</v>
      </c>
      <c r="BC89" s="438">
        <v>131142</v>
      </c>
      <c r="BD89" s="438">
        <v>167</v>
      </c>
      <c r="BE89" s="438">
        <v>0</v>
      </c>
      <c r="BF89" s="438">
        <v>27045142</v>
      </c>
      <c r="BG89" s="438">
        <v>0</v>
      </c>
      <c r="BH89" s="438">
        <v>628.35</v>
      </c>
      <c r="BI89" s="438">
        <v>172796</v>
      </c>
      <c r="BJ89" s="438">
        <v>12</v>
      </c>
      <c r="BK89" s="438">
        <v>0</v>
      </c>
      <c r="BL89" s="438">
        <v>0</v>
      </c>
      <c r="BM89" s="438">
        <v>0</v>
      </c>
      <c r="BN89" s="438">
        <v>0</v>
      </c>
      <c r="BO89" s="438">
        <v>0</v>
      </c>
      <c r="BP89" s="438">
        <v>0</v>
      </c>
      <c r="BQ89" s="437">
        <v>5392</v>
      </c>
      <c r="BR89" s="438">
        <v>1</v>
      </c>
      <c r="BS89" s="438">
        <v>0</v>
      </c>
      <c r="BT89" s="438">
        <v>0</v>
      </c>
      <c r="BU89" s="438">
        <v>0</v>
      </c>
      <c r="BV89" s="438">
        <v>0</v>
      </c>
      <c r="BW89" s="438">
        <v>0</v>
      </c>
      <c r="BX89" s="438">
        <v>0</v>
      </c>
      <c r="BY89" s="438">
        <v>0</v>
      </c>
      <c r="BZ89" s="438">
        <v>0</v>
      </c>
      <c r="CA89" s="438">
        <v>0</v>
      </c>
      <c r="CB89" s="438">
        <v>0</v>
      </c>
      <c r="CC89" s="438">
        <v>0</v>
      </c>
      <c r="CG89" s="438">
        <v>0</v>
      </c>
      <c r="CH89" s="438">
        <v>40667</v>
      </c>
      <c r="CI89" s="438">
        <v>0</v>
      </c>
      <c r="CJ89" s="438">
        <v>4</v>
      </c>
      <c r="CK89" s="438">
        <v>0</v>
      </c>
      <c r="CL89" s="438">
        <v>0</v>
      </c>
      <c r="CN89" s="438">
        <v>0</v>
      </c>
      <c r="CO89" s="438">
        <v>1</v>
      </c>
      <c r="CP89" s="438">
        <v>0</v>
      </c>
      <c r="CQ89" s="438">
        <v>0</v>
      </c>
      <c r="CR89" s="438">
        <v>3341.6350000000002</v>
      </c>
      <c r="CS89" s="438">
        <v>0</v>
      </c>
      <c r="CT89" s="438">
        <v>0</v>
      </c>
      <c r="CU89" s="438">
        <v>0</v>
      </c>
      <c r="CV89" s="438">
        <v>0</v>
      </c>
      <c r="CW89" s="438">
        <v>0</v>
      </c>
      <c r="CX89" s="438">
        <v>0</v>
      </c>
      <c r="CY89" s="438">
        <v>0</v>
      </c>
      <c r="CZ89" s="438">
        <v>0</v>
      </c>
      <c r="DA89" s="438">
        <v>1</v>
      </c>
      <c r="DB89" s="438">
        <v>20750285</v>
      </c>
      <c r="DC89" s="438">
        <v>0</v>
      </c>
      <c r="DD89" s="438">
        <v>81.332999999999998</v>
      </c>
      <c r="DE89" s="438">
        <v>3267642</v>
      </c>
      <c r="DF89" s="438">
        <v>3267642</v>
      </c>
      <c r="DG89" s="438">
        <v>2496.67</v>
      </c>
      <c r="DH89" s="438">
        <v>0</v>
      </c>
      <c r="DI89" s="438">
        <v>0</v>
      </c>
      <c r="DK89" s="437">
        <v>5392</v>
      </c>
      <c r="DL89" s="438">
        <v>0</v>
      </c>
      <c r="DM89" s="438">
        <v>2419209</v>
      </c>
      <c r="DN89" s="438">
        <v>0</v>
      </c>
      <c r="DO89" s="438">
        <v>0</v>
      </c>
      <c r="DP89" s="438">
        <v>0</v>
      </c>
      <c r="DQ89" s="438">
        <v>0</v>
      </c>
      <c r="DR89" s="438">
        <v>0</v>
      </c>
      <c r="DS89" s="438">
        <v>0</v>
      </c>
      <c r="DT89" s="438">
        <v>0</v>
      </c>
      <c r="DU89" s="438">
        <v>0</v>
      </c>
      <c r="DV89" s="438">
        <v>0</v>
      </c>
      <c r="DW89" s="438">
        <v>0</v>
      </c>
      <c r="DX89" s="438">
        <v>0</v>
      </c>
      <c r="DY89" s="438">
        <v>0</v>
      </c>
      <c r="DZ89" s="438">
        <v>0</v>
      </c>
      <c r="EA89" s="438">
        <v>0.16700000000000001</v>
      </c>
      <c r="EB89" s="438">
        <v>0</v>
      </c>
      <c r="EC89" s="438">
        <v>92.596000000000004</v>
      </c>
      <c r="ED89" s="438">
        <v>666543</v>
      </c>
      <c r="EE89" s="438">
        <v>0</v>
      </c>
      <c r="EF89" s="438">
        <v>0</v>
      </c>
      <c r="EG89" s="438">
        <v>0</v>
      </c>
      <c r="EH89" s="438">
        <v>1752666</v>
      </c>
      <c r="EI89" s="438">
        <v>0</v>
      </c>
      <c r="EJ89" s="438">
        <v>0</v>
      </c>
      <c r="EK89" s="438">
        <v>60.116</v>
      </c>
      <c r="EL89" s="438">
        <v>0</v>
      </c>
      <c r="EM89" s="438">
        <v>17.12</v>
      </c>
      <c r="EN89" s="438">
        <v>7.0570000000000004</v>
      </c>
      <c r="EO89" s="438">
        <v>0</v>
      </c>
      <c r="EP89" s="438">
        <v>0</v>
      </c>
      <c r="EQ89" s="438">
        <v>84.46</v>
      </c>
      <c r="ER89" s="438">
        <v>0</v>
      </c>
      <c r="ES89" s="438">
        <v>267.82799999999997</v>
      </c>
      <c r="ET89" s="438">
        <v>40667</v>
      </c>
      <c r="EU89" s="438">
        <v>1004288</v>
      </c>
      <c r="EV89" s="438">
        <v>0</v>
      </c>
      <c r="EW89" s="438">
        <v>0</v>
      </c>
      <c r="EX89" s="438">
        <v>0</v>
      </c>
      <c r="EZ89" s="438">
        <v>26954155</v>
      </c>
      <c r="FA89" s="438">
        <v>0</v>
      </c>
      <c r="FB89" s="438">
        <v>27958443</v>
      </c>
      <c r="FC89" s="438">
        <v>0.97334900000000002</v>
      </c>
      <c r="FD89" s="438">
        <v>0</v>
      </c>
      <c r="FE89" s="438">
        <v>3889213</v>
      </c>
      <c r="FF89" s="438">
        <v>886437</v>
      </c>
      <c r="FG89" s="437">
        <v>5.7854999999999997E-2</v>
      </c>
      <c r="FH89" s="437">
        <v>5.2366000000000003E-2</v>
      </c>
      <c r="FI89" s="438">
        <v>0</v>
      </c>
      <c r="FJ89" s="438">
        <v>0</v>
      </c>
      <c r="FK89" s="438">
        <v>5298.1909999999998</v>
      </c>
      <c r="FL89" s="438">
        <v>32774760</v>
      </c>
      <c r="FM89" s="438">
        <v>0</v>
      </c>
      <c r="FN89" s="438">
        <v>0</v>
      </c>
      <c r="FO89" s="438">
        <v>0</v>
      </c>
      <c r="FP89" s="438">
        <v>0</v>
      </c>
      <c r="FQ89" s="438">
        <v>0</v>
      </c>
      <c r="FR89" s="438">
        <v>0</v>
      </c>
      <c r="FS89" s="438">
        <v>0</v>
      </c>
      <c r="FT89" s="438">
        <v>0</v>
      </c>
      <c r="FU89" s="438">
        <v>0</v>
      </c>
      <c r="FV89" s="438">
        <v>0</v>
      </c>
      <c r="FW89" s="438">
        <v>0</v>
      </c>
      <c r="FX89" s="438">
        <v>0</v>
      </c>
      <c r="FY89" s="438">
        <v>0</v>
      </c>
      <c r="FZ89" s="438">
        <v>0</v>
      </c>
      <c r="GA89" s="438">
        <v>0</v>
      </c>
      <c r="GB89" s="438">
        <v>762303</v>
      </c>
      <c r="GC89" s="438">
        <v>762303</v>
      </c>
      <c r="GD89" s="438">
        <v>86.287999999999997</v>
      </c>
      <c r="GF89" s="438">
        <v>0</v>
      </c>
      <c r="GG89" s="438">
        <v>0</v>
      </c>
      <c r="GH89" s="438">
        <v>0</v>
      </c>
      <c r="GI89" s="438">
        <v>0</v>
      </c>
      <c r="GJ89" s="438">
        <v>0</v>
      </c>
      <c r="GK89" s="438">
        <v>4725.0559999999996</v>
      </c>
      <c r="GL89" s="438">
        <v>17619</v>
      </c>
      <c r="GM89" s="438">
        <v>0</v>
      </c>
      <c r="GN89" s="438">
        <v>0</v>
      </c>
      <c r="GO89" s="438">
        <v>0</v>
      </c>
      <c r="GP89" s="438">
        <v>32734093</v>
      </c>
      <c r="GQ89" s="438">
        <v>32734093</v>
      </c>
      <c r="GR89" s="438">
        <v>0</v>
      </c>
      <c r="GS89" s="438">
        <v>0</v>
      </c>
      <c r="GT89" s="438">
        <v>0</v>
      </c>
      <c r="HB89" s="438">
        <v>0</v>
      </c>
      <c r="HC89" s="437">
        <v>6.0754000000000002E-2</v>
      </c>
      <c r="HD89" s="438">
        <v>0</v>
      </c>
    </row>
    <row r="90" spans="1:212" x14ac:dyDescent="0.2">
      <c r="A90" s="438">
        <v>25836</v>
      </c>
      <c r="B90" s="442">
        <v>71807</v>
      </c>
      <c r="C90" s="438">
        <v>9</v>
      </c>
      <c r="D90" s="438">
        <v>2020</v>
      </c>
      <c r="E90" s="438">
        <v>5392</v>
      </c>
      <c r="F90" s="438">
        <v>0</v>
      </c>
      <c r="G90" s="438">
        <v>205.892</v>
      </c>
      <c r="H90" s="438">
        <v>204.35599999999999</v>
      </c>
      <c r="I90" s="438">
        <v>204.35599999999999</v>
      </c>
      <c r="J90" s="438">
        <v>205.892</v>
      </c>
      <c r="K90" s="438">
        <v>0</v>
      </c>
      <c r="L90" s="437">
        <v>6544</v>
      </c>
      <c r="M90" s="438">
        <v>0</v>
      </c>
      <c r="N90" s="438">
        <v>0</v>
      </c>
      <c r="P90" s="438">
        <v>206.227</v>
      </c>
      <c r="Q90" s="438">
        <v>0</v>
      </c>
      <c r="R90" s="438">
        <v>51059</v>
      </c>
      <c r="S90" s="437">
        <v>247.58699999999999</v>
      </c>
      <c r="U90" s="438">
        <v>0</v>
      </c>
      <c r="V90" s="438">
        <v>157.22300000000001</v>
      </c>
      <c r="W90" s="438">
        <v>102887</v>
      </c>
      <c r="X90" s="438">
        <v>102887</v>
      </c>
      <c r="Z90" s="438">
        <v>0</v>
      </c>
      <c r="AA90" s="438">
        <v>1</v>
      </c>
      <c r="AB90" s="438">
        <v>1</v>
      </c>
      <c r="AC90" s="438">
        <v>0</v>
      </c>
      <c r="AD90" s="438" t="s">
        <v>332</v>
      </c>
      <c r="AE90" s="438">
        <v>0</v>
      </c>
      <c r="AH90" s="438">
        <v>0</v>
      </c>
      <c r="AI90" s="438">
        <v>0</v>
      </c>
      <c r="AJ90" s="437">
        <v>5105</v>
      </c>
      <c r="AK90" s="438" t="s">
        <v>561</v>
      </c>
      <c r="AL90" s="438" t="s">
        <v>68</v>
      </c>
      <c r="AM90" s="438">
        <v>0</v>
      </c>
      <c r="AN90" s="438">
        <v>0</v>
      </c>
      <c r="AO90" s="438">
        <v>0</v>
      </c>
      <c r="AP90" s="438">
        <v>0</v>
      </c>
      <c r="AQ90" s="438">
        <v>0</v>
      </c>
      <c r="AR90" s="438">
        <v>0</v>
      </c>
      <c r="AS90" s="438">
        <v>0</v>
      </c>
      <c r="AT90" s="438">
        <v>0</v>
      </c>
      <c r="AU90" s="438">
        <v>0</v>
      </c>
      <c r="AV90" s="438">
        <v>0</v>
      </c>
      <c r="AW90" s="438">
        <v>2049169</v>
      </c>
      <c r="AX90" s="438">
        <v>2049169</v>
      </c>
      <c r="AY90" s="438">
        <v>0</v>
      </c>
      <c r="AZ90" s="438">
        <v>51059</v>
      </c>
      <c r="BA90" s="438">
        <v>0</v>
      </c>
      <c r="BB90" s="438">
        <v>0</v>
      </c>
      <c r="BC90" s="438">
        <v>0</v>
      </c>
      <c r="BD90" s="438">
        <v>0</v>
      </c>
      <c r="BE90" s="438">
        <v>0</v>
      </c>
      <c r="BF90" s="438">
        <v>1744432</v>
      </c>
      <c r="BG90" s="438">
        <v>0</v>
      </c>
      <c r="BH90" s="438">
        <v>0</v>
      </c>
      <c r="BI90" s="438">
        <v>0</v>
      </c>
      <c r="BJ90" s="438">
        <v>12</v>
      </c>
      <c r="BK90" s="438">
        <v>0</v>
      </c>
      <c r="BL90" s="438">
        <v>0</v>
      </c>
      <c r="BM90" s="438">
        <v>0</v>
      </c>
      <c r="BN90" s="438">
        <v>0</v>
      </c>
      <c r="BO90" s="438">
        <v>0</v>
      </c>
      <c r="BP90" s="438">
        <v>0</v>
      </c>
      <c r="BQ90" s="437">
        <v>5392</v>
      </c>
      <c r="BR90" s="438">
        <v>1</v>
      </c>
      <c r="BS90" s="438">
        <v>0</v>
      </c>
      <c r="BT90" s="438">
        <v>0</v>
      </c>
      <c r="BU90" s="438">
        <v>0</v>
      </c>
      <c r="BV90" s="438">
        <v>0</v>
      </c>
      <c r="BW90" s="438">
        <v>0</v>
      </c>
      <c r="BX90" s="438">
        <v>0</v>
      </c>
      <c r="BY90" s="438">
        <v>0</v>
      </c>
      <c r="BZ90" s="438">
        <v>0</v>
      </c>
      <c r="CA90" s="438">
        <v>0</v>
      </c>
      <c r="CB90" s="438">
        <v>0</v>
      </c>
      <c r="CC90" s="438">
        <v>0</v>
      </c>
      <c r="CG90" s="438">
        <v>0</v>
      </c>
      <c r="CH90" s="438">
        <v>0</v>
      </c>
      <c r="CI90" s="438">
        <v>0</v>
      </c>
      <c r="CJ90" s="438">
        <v>4</v>
      </c>
      <c r="CK90" s="438">
        <v>0</v>
      </c>
      <c r="CL90" s="438">
        <v>0</v>
      </c>
      <c r="CN90" s="438">
        <v>0</v>
      </c>
      <c r="CO90" s="438">
        <v>1</v>
      </c>
      <c r="CP90" s="438">
        <v>0</v>
      </c>
      <c r="CQ90" s="438">
        <v>0</v>
      </c>
      <c r="CR90" s="438">
        <v>205.892</v>
      </c>
      <c r="CS90" s="438">
        <v>0</v>
      </c>
      <c r="CT90" s="438">
        <v>0</v>
      </c>
      <c r="CU90" s="438">
        <v>0</v>
      </c>
      <c r="CV90" s="438">
        <v>0</v>
      </c>
      <c r="CW90" s="438">
        <v>0</v>
      </c>
      <c r="CX90" s="438">
        <v>0</v>
      </c>
      <c r="CY90" s="438">
        <v>0</v>
      </c>
      <c r="CZ90" s="438">
        <v>0</v>
      </c>
      <c r="DA90" s="438">
        <v>1</v>
      </c>
      <c r="DB90" s="438">
        <v>1337306</v>
      </c>
      <c r="DC90" s="438">
        <v>0</v>
      </c>
      <c r="DD90" s="438">
        <v>0</v>
      </c>
      <c r="DE90" s="438">
        <v>319125</v>
      </c>
      <c r="DF90" s="438">
        <v>319125</v>
      </c>
      <c r="DG90" s="438">
        <v>243.83</v>
      </c>
      <c r="DH90" s="438">
        <v>0</v>
      </c>
      <c r="DI90" s="438">
        <v>0</v>
      </c>
      <c r="DK90" s="437">
        <v>5392</v>
      </c>
      <c r="DL90" s="438">
        <v>0</v>
      </c>
      <c r="DM90" s="438">
        <v>32877</v>
      </c>
      <c r="DN90" s="438">
        <v>0</v>
      </c>
      <c r="DO90" s="438">
        <v>0</v>
      </c>
      <c r="DP90" s="438">
        <v>0</v>
      </c>
      <c r="DQ90" s="438">
        <v>0</v>
      </c>
      <c r="DR90" s="438">
        <v>0</v>
      </c>
      <c r="DS90" s="438">
        <v>0</v>
      </c>
      <c r="DT90" s="438">
        <v>0</v>
      </c>
      <c r="DU90" s="438">
        <v>0</v>
      </c>
      <c r="DV90" s="438">
        <v>0</v>
      </c>
      <c r="DW90" s="438">
        <v>0</v>
      </c>
      <c r="DX90" s="438">
        <v>0</v>
      </c>
      <c r="DY90" s="438">
        <v>0</v>
      </c>
      <c r="DZ90" s="438">
        <v>0</v>
      </c>
      <c r="EA90" s="438">
        <v>0</v>
      </c>
      <c r="EB90" s="438">
        <v>0</v>
      </c>
      <c r="EC90" s="438">
        <v>0</v>
      </c>
      <c r="ED90" s="438">
        <v>0</v>
      </c>
      <c r="EE90" s="438">
        <v>0</v>
      </c>
      <c r="EF90" s="438">
        <v>0</v>
      </c>
      <c r="EG90" s="438">
        <v>0</v>
      </c>
      <c r="EH90" s="438">
        <v>32877</v>
      </c>
      <c r="EI90" s="438">
        <v>0</v>
      </c>
      <c r="EJ90" s="438">
        <v>0</v>
      </c>
      <c r="EK90" s="438">
        <v>1.3280000000000001</v>
      </c>
      <c r="EL90" s="438">
        <v>0</v>
      </c>
      <c r="EM90" s="438">
        <v>0</v>
      </c>
      <c r="EN90" s="438">
        <v>0.20799999999999999</v>
      </c>
      <c r="EO90" s="438">
        <v>0</v>
      </c>
      <c r="EP90" s="438">
        <v>0</v>
      </c>
      <c r="EQ90" s="438">
        <v>1.536</v>
      </c>
      <c r="ER90" s="438">
        <v>0</v>
      </c>
      <c r="ES90" s="438">
        <v>5.024</v>
      </c>
      <c r="ET90" s="438">
        <v>0</v>
      </c>
      <c r="EU90" s="438">
        <v>51059</v>
      </c>
      <c r="EV90" s="438">
        <v>0</v>
      </c>
      <c r="EW90" s="438">
        <v>0</v>
      </c>
      <c r="EX90" s="438">
        <v>0</v>
      </c>
      <c r="EZ90" s="438">
        <v>1741136</v>
      </c>
      <c r="FA90" s="438">
        <v>0</v>
      </c>
      <c r="FB90" s="438">
        <v>1792195</v>
      </c>
      <c r="FC90" s="438">
        <v>0.97334900000000002</v>
      </c>
      <c r="FD90" s="438">
        <v>0</v>
      </c>
      <c r="FE90" s="438">
        <v>250857</v>
      </c>
      <c r="FF90" s="438">
        <v>57176</v>
      </c>
      <c r="FG90" s="437">
        <v>5.7854999999999997E-2</v>
      </c>
      <c r="FH90" s="437">
        <v>5.2366000000000003E-2</v>
      </c>
      <c r="FI90" s="438">
        <v>0</v>
      </c>
      <c r="FJ90" s="438">
        <v>0</v>
      </c>
      <c r="FK90" s="438">
        <v>341.73700000000002</v>
      </c>
      <c r="FL90" s="438">
        <v>2100228</v>
      </c>
      <c r="FM90" s="438">
        <v>0</v>
      </c>
      <c r="FN90" s="438">
        <v>0</v>
      </c>
      <c r="FO90" s="438">
        <v>0</v>
      </c>
      <c r="FP90" s="438">
        <v>0</v>
      </c>
      <c r="FQ90" s="438">
        <v>0</v>
      </c>
      <c r="FR90" s="438">
        <v>0</v>
      </c>
      <c r="FS90" s="438">
        <v>0</v>
      </c>
      <c r="FT90" s="438">
        <v>0</v>
      </c>
      <c r="FU90" s="438">
        <v>0</v>
      </c>
      <c r="FV90" s="438">
        <v>0</v>
      </c>
      <c r="FW90" s="438">
        <v>0</v>
      </c>
      <c r="FX90" s="438">
        <v>0</v>
      </c>
      <c r="FY90" s="438">
        <v>0</v>
      </c>
      <c r="FZ90" s="438">
        <v>0</v>
      </c>
      <c r="GA90" s="438">
        <v>0</v>
      </c>
      <c r="GB90" s="438">
        <v>0</v>
      </c>
      <c r="GC90" s="438">
        <v>0</v>
      </c>
      <c r="GD90" s="438">
        <v>0</v>
      </c>
      <c r="GF90" s="438">
        <v>0</v>
      </c>
      <c r="GG90" s="438">
        <v>0</v>
      </c>
      <c r="GH90" s="438">
        <v>0</v>
      </c>
      <c r="GI90" s="438">
        <v>0</v>
      </c>
      <c r="GJ90" s="438">
        <v>0</v>
      </c>
      <c r="GK90" s="438">
        <v>4604.6369999999997</v>
      </c>
      <c r="GL90" s="438">
        <v>3525</v>
      </c>
      <c r="GM90" s="438">
        <v>0</v>
      </c>
      <c r="GN90" s="438">
        <v>0</v>
      </c>
      <c r="GO90" s="438">
        <v>0</v>
      </c>
      <c r="GP90" s="438">
        <v>2100228</v>
      </c>
      <c r="GQ90" s="438">
        <v>2100228</v>
      </c>
      <c r="GR90" s="438">
        <v>0</v>
      </c>
      <c r="GS90" s="438">
        <v>0</v>
      </c>
      <c r="GT90" s="438">
        <v>0</v>
      </c>
      <c r="HB90" s="438">
        <v>0</v>
      </c>
      <c r="HC90" s="437">
        <v>6.0754000000000002E-2</v>
      </c>
      <c r="HD90" s="438">
        <v>0</v>
      </c>
    </row>
    <row r="91" spans="1:212" x14ac:dyDescent="0.2">
      <c r="A91" s="438">
        <v>25836</v>
      </c>
      <c r="B91" s="442">
        <v>71809</v>
      </c>
      <c r="C91" s="438">
        <v>9</v>
      </c>
      <c r="D91" s="438">
        <v>2020</v>
      </c>
      <c r="E91" s="438">
        <v>5392</v>
      </c>
      <c r="F91" s="438">
        <v>0</v>
      </c>
      <c r="G91" s="438">
        <v>341.08300000000003</v>
      </c>
      <c r="H91" s="438">
        <v>339.08199999999999</v>
      </c>
      <c r="I91" s="438">
        <v>339.08199999999999</v>
      </c>
      <c r="J91" s="438">
        <v>341.08300000000003</v>
      </c>
      <c r="K91" s="438">
        <v>0</v>
      </c>
      <c r="L91" s="437">
        <v>6544</v>
      </c>
      <c r="M91" s="438">
        <v>0</v>
      </c>
      <c r="N91" s="438">
        <v>0</v>
      </c>
      <c r="P91" s="438">
        <v>350.66500000000002</v>
      </c>
      <c r="Q91" s="438">
        <v>0</v>
      </c>
      <c r="R91" s="438">
        <v>86820</v>
      </c>
      <c r="S91" s="437">
        <v>247.58699999999999</v>
      </c>
      <c r="U91" s="438">
        <v>0</v>
      </c>
      <c r="V91" s="438">
        <v>77.344999999999999</v>
      </c>
      <c r="W91" s="438">
        <v>50615</v>
      </c>
      <c r="X91" s="438">
        <v>50615</v>
      </c>
      <c r="Z91" s="438">
        <v>0</v>
      </c>
      <c r="AA91" s="438">
        <v>1</v>
      </c>
      <c r="AB91" s="438">
        <v>1</v>
      </c>
      <c r="AC91" s="438">
        <v>0</v>
      </c>
      <c r="AD91" s="438" t="s">
        <v>332</v>
      </c>
      <c r="AE91" s="438">
        <v>0</v>
      </c>
      <c r="AH91" s="438">
        <v>0</v>
      </c>
      <c r="AI91" s="438">
        <v>0</v>
      </c>
      <c r="AJ91" s="437">
        <v>5105</v>
      </c>
      <c r="AK91" s="438" t="s">
        <v>561</v>
      </c>
      <c r="AL91" s="438" t="s">
        <v>357</v>
      </c>
      <c r="AM91" s="438">
        <v>0</v>
      </c>
      <c r="AN91" s="438">
        <v>0</v>
      </c>
      <c r="AO91" s="438">
        <v>0</v>
      </c>
      <c r="AP91" s="438">
        <v>0</v>
      </c>
      <c r="AQ91" s="438">
        <v>0</v>
      </c>
      <c r="AR91" s="438">
        <v>0</v>
      </c>
      <c r="AS91" s="438">
        <v>0</v>
      </c>
      <c r="AT91" s="438">
        <v>0</v>
      </c>
      <c r="AU91" s="438">
        <v>0</v>
      </c>
      <c r="AV91" s="438">
        <v>0</v>
      </c>
      <c r="AW91" s="438">
        <v>2962499</v>
      </c>
      <c r="AX91" s="438">
        <v>2956874</v>
      </c>
      <c r="AY91" s="438">
        <v>0</v>
      </c>
      <c r="AZ91" s="438">
        <v>86820</v>
      </c>
      <c r="BA91" s="438">
        <v>11.25</v>
      </c>
      <c r="BB91" s="438">
        <v>0</v>
      </c>
      <c r="BC91" s="438">
        <v>0</v>
      </c>
      <c r="BD91" s="438">
        <v>0</v>
      </c>
      <c r="BE91" s="438">
        <v>0</v>
      </c>
      <c r="BF91" s="438">
        <v>2528067</v>
      </c>
      <c r="BG91" s="438">
        <v>0</v>
      </c>
      <c r="BH91" s="438">
        <v>0</v>
      </c>
      <c r="BI91" s="438">
        <v>0</v>
      </c>
      <c r="BJ91" s="438">
        <v>12</v>
      </c>
      <c r="BK91" s="438">
        <v>0</v>
      </c>
      <c r="BL91" s="438">
        <v>0</v>
      </c>
      <c r="BM91" s="438">
        <v>0</v>
      </c>
      <c r="BN91" s="438">
        <v>0</v>
      </c>
      <c r="BO91" s="438">
        <v>0</v>
      </c>
      <c r="BP91" s="438">
        <v>0</v>
      </c>
      <c r="BQ91" s="437">
        <v>5392</v>
      </c>
      <c r="BR91" s="438">
        <v>1</v>
      </c>
      <c r="BS91" s="438">
        <v>0</v>
      </c>
      <c r="BT91" s="438">
        <v>0</v>
      </c>
      <c r="BU91" s="438">
        <v>0</v>
      </c>
      <c r="BV91" s="438">
        <v>0</v>
      </c>
      <c r="BW91" s="438">
        <v>0</v>
      </c>
      <c r="BX91" s="438">
        <v>0</v>
      </c>
      <c r="BY91" s="438">
        <v>0</v>
      </c>
      <c r="BZ91" s="438">
        <v>0</v>
      </c>
      <c r="CA91" s="438">
        <v>0</v>
      </c>
      <c r="CB91" s="438">
        <v>0</v>
      </c>
      <c r="CC91" s="438">
        <v>0</v>
      </c>
      <c r="CG91" s="438">
        <v>0</v>
      </c>
      <c r="CH91" s="438">
        <v>5625</v>
      </c>
      <c r="CI91" s="438">
        <v>0</v>
      </c>
      <c r="CJ91" s="438">
        <v>4</v>
      </c>
      <c r="CK91" s="438">
        <v>0</v>
      </c>
      <c r="CL91" s="438">
        <v>0</v>
      </c>
      <c r="CN91" s="438">
        <v>0</v>
      </c>
      <c r="CO91" s="438">
        <v>1</v>
      </c>
      <c r="CP91" s="438">
        <v>0</v>
      </c>
      <c r="CQ91" s="438">
        <v>0</v>
      </c>
      <c r="CR91" s="438">
        <v>341.08300000000003</v>
      </c>
      <c r="CS91" s="438">
        <v>0</v>
      </c>
      <c r="CT91" s="438">
        <v>0</v>
      </c>
      <c r="CU91" s="438">
        <v>0</v>
      </c>
      <c r="CV91" s="438">
        <v>0</v>
      </c>
      <c r="CW91" s="438">
        <v>0</v>
      </c>
      <c r="CX91" s="438">
        <v>0</v>
      </c>
      <c r="CY91" s="438">
        <v>0</v>
      </c>
      <c r="CZ91" s="438">
        <v>0</v>
      </c>
      <c r="DA91" s="438">
        <v>1</v>
      </c>
      <c r="DB91" s="438">
        <v>2218953</v>
      </c>
      <c r="DC91" s="438">
        <v>0</v>
      </c>
      <c r="DD91" s="438">
        <v>0</v>
      </c>
      <c r="DE91" s="438">
        <v>240597</v>
      </c>
      <c r="DF91" s="438">
        <v>240597</v>
      </c>
      <c r="DG91" s="438">
        <v>183.83</v>
      </c>
      <c r="DH91" s="438">
        <v>0</v>
      </c>
      <c r="DI91" s="438">
        <v>0</v>
      </c>
      <c r="DK91" s="437">
        <v>5392</v>
      </c>
      <c r="DL91" s="438">
        <v>0</v>
      </c>
      <c r="DM91" s="438">
        <v>87121</v>
      </c>
      <c r="DN91" s="438">
        <v>0</v>
      </c>
      <c r="DO91" s="438">
        <v>0</v>
      </c>
      <c r="DP91" s="438">
        <v>0</v>
      </c>
      <c r="DQ91" s="438">
        <v>0</v>
      </c>
      <c r="DR91" s="438">
        <v>0</v>
      </c>
      <c r="DS91" s="438">
        <v>0</v>
      </c>
      <c r="DT91" s="438">
        <v>0</v>
      </c>
      <c r="DU91" s="438">
        <v>0</v>
      </c>
      <c r="DV91" s="438">
        <v>0</v>
      </c>
      <c r="DW91" s="438">
        <v>0</v>
      </c>
      <c r="DX91" s="438">
        <v>0</v>
      </c>
      <c r="DY91" s="438">
        <v>0</v>
      </c>
      <c r="DZ91" s="438">
        <v>0</v>
      </c>
      <c r="EA91" s="438">
        <v>0</v>
      </c>
      <c r="EB91" s="438">
        <v>0</v>
      </c>
      <c r="EC91" s="438">
        <v>5.5819999999999999</v>
      </c>
      <c r="ED91" s="438">
        <v>40181</v>
      </c>
      <c r="EE91" s="438">
        <v>0</v>
      </c>
      <c r="EF91" s="438">
        <v>0</v>
      </c>
      <c r="EG91" s="438">
        <v>0</v>
      </c>
      <c r="EH91" s="438">
        <v>46940</v>
      </c>
      <c r="EI91" s="438">
        <v>0</v>
      </c>
      <c r="EJ91" s="438">
        <v>0</v>
      </c>
      <c r="EK91" s="438">
        <v>1.4159999999999999</v>
      </c>
      <c r="EL91" s="438">
        <v>0</v>
      </c>
      <c r="EM91" s="438">
        <v>0</v>
      </c>
      <c r="EN91" s="438">
        <v>0.58499999999999996</v>
      </c>
      <c r="EO91" s="438">
        <v>0</v>
      </c>
      <c r="EP91" s="438">
        <v>0</v>
      </c>
      <c r="EQ91" s="438">
        <v>2.0009999999999999</v>
      </c>
      <c r="ER91" s="438">
        <v>0</v>
      </c>
      <c r="ES91" s="438">
        <v>7.173</v>
      </c>
      <c r="ET91" s="438">
        <v>5625</v>
      </c>
      <c r="EU91" s="438">
        <v>86820</v>
      </c>
      <c r="EV91" s="438">
        <v>0</v>
      </c>
      <c r="EW91" s="438">
        <v>0</v>
      </c>
      <c r="EX91" s="438">
        <v>0</v>
      </c>
      <c r="EZ91" s="438">
        <v>2510466</v>
      </c>
      <c r="FA91" s="438">
        <v>0</v>
      </c>
      <c r="FB91" s="438">
        <v>2597286</v>
      </c>
      <c r="FC91" s="438">
        <v>0.97334900000000002</v>
      </c>
      <c r="FD91" s="438">
        <v>0</v>
      </c>
      <c r="FE91" s="438">
        <v>363548</v>
      </c>
      <c r="FF91" s="438">
        <v>82860</v>
      </c>
      <c r="FG91" s="437">
        <v>5.7854999999999997E-2</v>
      </c>
      <c r="FH91" s="437">
        <v>5.2366000000000003E-2</v>
      </c>
      <c r="FI91" s="438">
        <v>0</v>
      </c>
      <c r="FJ91" s="438">
        <v>0</v>
      </c>
      <c r="FK91" s="438">
        <v>495.25299999999999</v>
      </c>
      <c r="FL91" s="438">
        <v>3049319</v>
      </c>
      <c r="FM91" s="438">
        <v>0</v>
      </c>
      <c r="FN91" s="438">
        <v>0</v>
      </c>
      <c r="FO91" s="438">
        <v>0</v>
      </c>
      <c r="FP91" s="438">
        <v>0</v>
      </c>
      <c r="FQ91" s="438">
        <v>0</v>
      </c>
      <c r="FR91" s="438">
        <v>0</v>
      </c>
      <c r="FS91" s="438">
        <v>0</v>
      </c>
      <c r="FT91" s="438">
        <v>0</v>
      </c>
      <c r="FU91" s="438">
        <v>0</v>
      </c>
      <c r="FV91" s="438">
        <v>0</v>
      </c>
      <c r="FW91" s="438">
        <v>0</v>
      </c>
      <c r="FX91" s="438">
        <v>0</v>
      </c>
      <c r="FY91" s="438">
        <v>0</v>
      </c>
      <c r="FZ91" s="438">
        <v>0</v>
      </c>
      <c r="GA91" s="438">
        <v>0</v>
      </c>
      <c r="GB91" s="438">
        <v>0</v>
      </c>
      <c r="GC91" s="438">
        <v>0</v>
      </c>
      <c r="GD91" s="438">
        <v>0</v>
      </c>
      <c r="GF91" s="438">
        <v>0</v>
      </c>
      <c r="GG91" s="438">
        <v>0</v>
      </c>
      <c r="GH91" s="438">
        <v>0</v>
      </c>
      <c r="GI91" s="438">
        <v>0</v>
      </c>
      <c r="GJ91" s="438">
        <v>0</v>
      </c>
      <c r="GK91" s="438">
        <v>4604.6369999999997</v>
      </c>
      <c r="GL91" s="438">
        <v>0</v>
      </c>
      <c r="GM91" s="438">
        <v>0</v>
      </c>
      <c r="GN91" s="438">
        <v>0</v>
      </c>
      <c r="GO91" s="438">
        <v>0</v>
      </c>
      <c r="GP91" s="438">
        <v>3043694</v>
      </c>
      <c r="GQ91" s="438">
        <v>3043694</v>
      </c>
      <c r="GR91" s="438">
        <v>0</v>
      </c>
      <c r="GS91" s="438">
        <v>0</v>
      </c>
      <c r="GT91" s="438">
        <v>0</v>
      </c>
      <c r="HB91" s="438">
        <v>0</v>
      </c>
      <c r="HC91" s="437">
        <v>6.0754000000000002E-2</v>
      </c>
      <c r="HD91" s="438">
        <v>0</v>
      </c>
    </row>
    <row r="92" spans="1:212" x14ac:dyDescent="0.2">
      <c r="A92" s="438">
        <v>25836</v>
      </c>
      <c r="B92" s="442">
        <v>71810</v>
      </c>
      <c r="C92" s="438">
        <v>9</v>
      </c>
      <c r="D92" s="438">
        <v>2020</v>
      </c>
      <c r="E92" s="438">
        <v>5392</v>
      </c>
      <c r="F92" s="438">
        <v>0</v>
      </c>
      <c r="G92" s="438">
        <v>196.98500000000001</v>
      </c>
      <c r="H92" s="438">
        <v>195.66200000000001</v>
      </c>
      <c r="I92" s="438">
        <v>195.66200000000001</v>
      </c>
      <c r="J92" s="438">
        <v>196.98500000000001</v>
      </c>
      <c r="K92" s="438">
        <v>0</v>
      </c>
      <c r="L92" s="437">
        <v>6544</v>
      </c>
      <c r="M92" s="438">
        <v>0</v>
      </c>
      <c r="N92" s="438">
        <v>0</v>
      </c>
      <c r="P92" s="438">
        <v>197.77</v>
      </c>
      <c r="Q92" s="438">
        <v>0</v>
      </c>
      <c r="R92" s="438">
        <v>48965</v>
      </c>
      <c r="S92" s="437">
        <v>247.58699999999999</v>
      </c>
      <c r="U92" s="438">
        <v>0</v>
      </c>
      <c r="V92" s="438">
        <v>68.441999999999993</v>
      </c>
      <c r="W92" s="438">
        <v>44788</v>
      </c>
      <c r="X92" s="438">
        <v>44788</v>
      </c>
      <c r="Z92" s="438">
        <v>0</v>
      </c>
      <c r="AA92" s="438">
        <v>1</v>
      </c>
      <c r="AB92" s="438">
        <v>1</v>
      </c>
      <c r="AC92" s="438">
        <v>0</v>
      </c>
      <c r="AD92" s="438" t="s">
        <v>332</v>
      </c>
      <c r="AE92" s="438">
        <v>0</v>
      </c>
      <c r="AH92" s="438">
        <v>0</v>
      </c>
      <c r="AI92" s="438">
        <v>0</v>
      </c>
      <c r="AJ92" s="437">
        <v>5105</v>
      </c>
      <c r="AK92" s="438" t="s">
        <v>561</v>
      </c>
      <c r="AL92" s="438" t="s">
        <v>358</v>
      </c>
      <c r="AM92" s="438">
        <v>0</v>
      </c>
      <c r="AN92" s="438">
        <v>0</v>
      </c>
      <c r="AO92" s="438">
        <v>0</v>
      </c>
      <c r="AP92" s="438">
        <v>0</v>
      </c>
      <c r="AQ92" s="438">
        <v>0</v>
      </c>
      <c r="AR92" s="438">
        <v>0</v>
      </c>
      <c r="AS92" s="438">
        <v>0</v>
      </c>
      <c r="AT92" s="438">
        <v>0</v>
      </c>
      <c r="AU92" s="438">
        <v>0</v>
      </c>
      <c r="AV92" s="438">
        <v>0</v>
      </c>
      <c r="AW92" s="438">
        <v>1939200</v>
      </c>
      <c r="AX92" s="438">
        <v>1939200</v>
      </c>
      <c r="AY92" s="438">
        <v>0</v>
      </c>
      <c r="AZ92" s="438">
        <v>48965</v>
      </c>
      <c r="BA92" s="438">
        <v>0</v>
      </c>
      <c r="BB92" s="438">
        <v>3141</v>
      </c>
      <c r="BC92" s="438">
        <v>3141</v>
      </c>
      <c r="BD92" s="438">
        <v>4</v>
      </c>
      <c r="BE92" s="438">
        <v>0</v>
      </c>
      <c r="BF92" s="438">
        <v>1648366</v>
      </c>
      <c r="BG92" s="438">
        <v>0</v>
      </c>
      <c r="BH92" s="438">
        <v>0</v>
      </c>
      <c r="BI92" s="438">
        <v>0</v>
      </c>
      <c r="BJ92" s="438">
        <v>12</v>
      </c>
      <c r="BK92" s="438">
        <v>0</v>
      </c>
      <c r="BL92" s="438">
        <v>0</v>
      </c>
      <c r="BM92" s="438">
        <v>0</v>
      </c>
      <c r="BN92" s="438">
        <v>0</v>
      </c>
      <c r="BO92" s="438">
        <v>0</v>
      </c>
      <c r="BP92" s="438">
        <v>0</v>
      </c>
      <c r="BQ92" s="437">
        <v>5392</v>
      </c>
      <c r="BR92" s="438">
        <v>1</v>
      </c>
      <c r="BS92" s="438">
        <v>0</v>
      </c>
      <c r="BT92" s="438">
        <v>0</v>
      </c>
      <c r="BU92" s="438">
        <v>0</v>
      </c>
      <c r="BV92" s="438">
        <v>0</v>
      </c>
      <c r="BW92" s="438">
        <v>0</v>
      </c>
      <c r="BX92" s="438">
        <v>0</v>
      </c>
      <c r="BY92" s="438">
        <v>0</v>
      </c>
      <c r="BZ92" s="438">
        <v>0</v>
      </c>
      <c r="CA92" s="438">
        <v>0</v>
      </c>
      <c r="CB92" s="438">
        <v>0</v>
      </c>
      <c r="CC92" s="438">
        <v>0</v>
      </c>
      <c r="CG92" s="438">
        <v>0</v>
      </c>
      <c r="CH92" s="438">
        <v>0</v>
      </c>
      <c r="CI92" s="438">
        <v>0</v>
      </c>
      <c r="CJ92" s="438">
        <v>5</v>
      </c>
      <c r="CK92" s="438">
        <v>0</v>
      </c>
      <c r="CL92" s="438">
        <v>0</v>
      </c>
      <c r="CN92" s="438">
        <v>0</v>
      </c>
      <c r="CO92" s="438">
        <v>1</v>
      </c>
      <c r="CP92" s="438">
        <v>0</v>
      </c>
      <c r="CQ92" s="438">
        <v>0</v>
      </c>
      <c r="CR92" s="438">
        <v>196.98500000000001</v>
      </c>
      <c r="CS92" s="438">
        <v>0</v>
      </c>
      <c r="CT92" s="438">
        <v>0</v>
      </c>
      <c r="CU92" s="438">
        <v>0</v>
      </c>
      <c r="CV92" s="438">
        <v>0</v>
      </c>
      <c r="CW92" s="438">
        <v>0</v>
      </c>
      <c r="CX92" s="438">
        <v>0</v>
      </c>
      <c r="CY92" s="438">
        <v>0</v>
      </c>
      <c r="CZ92" s="438">
        <v>0</v>
      </c>
      <c r="DA92" s="438">
        <v>1</v>
      </c>
      <c r="DB92" s="438">
        <v>1280412</v>
      </c>
      <c r="DC92" s="438">
        <v>0</v>
      </c>
      <c r="DD92" s="438">
        <v>0</v>
      </c>
      <c r="DE92" s="438">
        <v>237547</v>
      </c>
      <c r="DF92" s="438">
        <v>237547</v>
      </c>
      <c r="DG92" s="438">
        <v>181.5</v>
      </c>
      <c r="DH92" s="438">
        <v>0</v>
      </c>
      <c r="DI92" s="438">
        <v>0</v>
      </c>
      <c r="DK92" s="437">
        <v>5392</v>
      </c>
      <c r="DL92" s="438">
        <v>0</v>
      </c>
      <c r="DM92" s="438">
        <v>127611</v>
      </c>
      <c r="DN92" s="438">
        <v>0</v>
      </c>
      <c r="DO92" s="438">
        <v>0</v>
      </c>
      <c r="DP92" s="438">
        <v>0</v>
      </c>
      <c r="DQ92" s="438">
        <v>0</v>
      </c>
      <c r="DR92" s="438">
        <v>0</v>
      </c>
      <c r="DS92" s="438">
        <v>0</v>
      </c>
      <c r="DT92" s="438">
        <v>0</v>
      </c>
      <c r="DU92" s="438">
        <v>0</v>
      </c>
      <c r="DV92" s="438">
        <v>0</v>
      </c>
      <c r="DW92" s="438">
        <v>0</v>
      </c>
      <c r="DX92" s="438">
        <v>0</v>
      </c>
      <c r="DY92" s="438">
        <v>0</v>
      </c>
      <c r="DZ92" s="438">
        <v>0</v>
      </c>
      <c r="EA92" s="438">
        <v>0</v>
      </c>
      <c r="EB92" s="438">
        <v>0</v>
      </c>
      <c r="EC92" s="438">
        <v>13.685</v>
      </c>
      <c r="ED92" s="438">
        <v>98510</v>
      </c>
      <c r="EE92" s="438">
        <v>0</v>
      </c>
      <c r="EF92" s="438">
        <v>0</v>
      </c>
      <c r="EG92" s="438">
        <v>0</v>
      </c>
      <c r="EH92" s="438">
        <v>29101</v>
      </c>
      <c r="EI92" s="438">
        <v>0</v>
      </c>
      <c r="EJ92" s="438">
        <v>0</v>
      </c>
      <c r="EK92" s="438">
        <v>0.153</v>
      </c>
      <c r="EL92" s="438">
        <v>0</v>
      </c>
      <c r="EM92" s="438">
        <v>0.93100000000000005</v>
      </c>
      <c r="EN92" s="438">
        <v>0.23899999999999999</v>
      </c>
      <c r="EO92" s="438">
        <v>0</v>
      </c>
      <c r="EP92" s="438">
        <v>0</v>
      </c>
      <c r="EQ92" s="438">
        <v>1.323</v>
      </c>
      <c r="ER92" s="438">
        <v>0</v>
      </c>
      <c r="ES92" s="438">
        <v>4.4470000000000001</v>
      </c>
      <c r="ET92" s="438">
        <v>0</v>
      </c>
      <c r="EU92" s="438">
        <v>48965</v>
      </c>
      <c r="EV92" s="438">
        <v>0</v>
      </c>
      <c r="EW92" s="438">
        <v>0</v>
      </c>
      <c r="EX92" s="438">
        <v>0</v>
      </c>
      <c r="EZ92" s="438">
        <v>1648130</v>
      </c>
      <c r="FA92" s="438">
        <v>0</v>
      </c>
      <c r="FB92" s="438">
        <v>1697095</v>
      </c>
      <c r="FC92" s="438">
        <v>0.97334900000000002</v>
      </c>
      <c r="FD92" s="438">
        <v>0</v>
      </c>
      <c r="FE92" s="438">
        <v>237043</v>
      </c>
      <c r="FF92" s="438">
        <v>54027</v>
      </c>
      <c r="FG92" s="437">
        <v>5.7854999999999997E-2</v>
      </c>
      <c r="FH92" s="437">
        <v>5.2366000000000003E-2</v>
      </c>
      <c r="FI92" s="438">
        <v>0</v>
      </c>
      <c r="FJ92" s="438">
        <v>0</v>
      </c>
      <c r="FK92" s="438">
        <v>322.91800000000001</v>
      </c>
      <c r="FL92" s="438">
        <v>1988165</v>
      </c>
      <c r="FM92" s="438">
        <v>0</v>
      </c>
      <c r="FN92" s="438">
        <v>0</v>
      </c>
      <c r="FO92" s="438">
        <v>3596</v>
      </c>
      <c r="FP92" s="438">
        <v>0</v>
      </c>
      <c r="FQ92" s="438">
        <v>3596</v>
      </c>
      <c r="FR92" s="438">
        <v>3596</v>
      </c>
      <c r="FS92" s="438">
        <v>0</v>
      </c>
      <c r="FT92" s="438">
        <v>0</v>
      </c>
      <c r="FU92" s="438">
        <v>0</v>
      </c>
      <c r="FV92" s="438">
        <v>0</v>
      </c>
      <c r="FW92" s="438">
        <v>0</v>
      </c>
      <c r="FX92" s="438">
        <v>0</v>
      </c>
      <c r="FY92" s="438">
        <v>0</v>
      </c>
      <c r="FZ92" s="438">
        <v>0</v>
      </c>
      <c r="GA92" s="438">
        <v>0</v>
      </c>
      <c r="GB92" s="438">
        <v>0</v>
      </c>
      <c r="GC92" s="438">
        <v>0</v>
      </c>
      <c r="GD92" s="438">
        <v>0</v>
      </c>
      <c r="GF92" s="438">
        <v>0</v>
      </c>
      <c r="GG92" s="438">
        <v>0</v>
      </c>
      <c r="GH92" s="438">
        <v>0</v>
      </c>
      <c r="GI92" s="438">
        <v>0</v>
      </c>
      <c r="GJ92" s="438">
        <v>0</v>
      </c>
      <c r="GK92" s="438">
        <v>4604.6369999999997</v>
      </c>
      <c r="GL92" s="438">
        <v>0</v>
      </c>
      <c r="GM92" s="438">
        <v>0</v>
      </c>
      <c r="GN92" s="438">
        <v>0</v>
      </c>
      <c r="GO92" s="438">
        <v>0</v>
      </c>
      <c r="GP92" s="438">
        <v>1988165</v>
      </c>
      <c r="GQ92" s="438">
        <v>1988165</v>
      </c>
      <c r="GR92" s="438">
        <v>0</v>
      </c>
      <c r="GS92" s="438">
        <v>0</v>
      </c>
      <c r="GT92" s="438">
        <v>0</v>
      </c>
      <c r="HB92" s="438">
        <v>0</v>
      </c>
      <c r="HC92" s="437">
        <v>6.0754000000000002E-2</v>
      </c>
      <c r="HD92" s="438">
        <v>0</v>
      </c>
    </row>
    <row r="93" spans="1:212" x14ac:dyDescent="0.2">
      <c r="A93" s="438">
        <v>25836</v>
      </c>
      <c r="B93" s="442">
        <v>72801</v>
      </c>
      <c r="C93" s="438">
        <v>9</v>
      </c>
      <c r="D93" s="438">
        <v>2020</v>
      </c>
      <c r="E93" s="438">
        <v>5392</v>
      </c>
      <c r="F93" s="438">
        <v>0</v>
      </c>
      <c r="G93" s="438">
        <v>4460.857</v>
      </c>
      <c r="H93" s="438">
        <v>4138.018</v>
      </c>
      <c r="I93" s="438">
        <v>4138.018</v>
      </c>
      <c r="J93" s="438">
        <v>4460.857</v>
      </c>
      <c r="K93" s="438">
        <v>0</v>
      </c>
      <c r="L93" s="437">
        <v>6544</v>
      </c>
      <c r="M93" s="438">
        <v>0</v>
      </c>
      <c r="N93" s="438">
        <v>0</v>
      </c>
      <c r="P93" s="438">
        <v>4438.5730000000003</v>
      </c>
      <c r="Q93" s="438">
        <v>0</v>
      </c>
      <c r="R93" s="438">
        <v>1098933</v>
      </c>
      <c r="S93" s="437">
        <v>247.58699999999999</v>
      </c>
      <c r="U93" s="438">
        <v>0</v>
      </c>
      <c r="V93" s="438">
        <v>747.58299999999997</v>
      </c>
      <c r="W93" s="438">
        <v>489218</v>
      </c>
      <c r="X93" s="438">
        <v>489218</v>
      </c>
      <c r="Z93" s="438">
        <v>0</v>
      </c>
      <c r="AA93" s="438">
        <v>1</v>
      </c>
      <c r="AB93" s="438">
        <v>1</v>
      </c>
      <c r="AC93" s="438">
        <v>0</v>
      </c>
      <c r="AD93" s="438" t="s">
        <v>332</v>
      </c>
      <c r="AE93" s="438">
        <v>0</v>
      </c>
      <c r="AH93" s="438">
        <v>0</v>
      </c>
      <c r="AI93" s="438">
        <v>0</v>
      </c>
      <c r="AJ93" s="437">
        <v>5105</v>
      </c>
      <c r="AK93" s="438" t="s">
        <v>561</v>
      </c>
      <c r="AL93" s="438" t="s">
        <v>105</v>
      </c>
      <c r="AM93" s="438">
        <v>0</v>
      </c>
      <c r="AN93" s="438">
        <v>0</v>
      </c>
      <c r="AO93" s="438">
        <v>0</v>
      </c>
      <c r="AP93" s="438">
        <v>0</v>
      </c>
      <c r="AQ93" s="438">
        <v>0</v>
      </c>
      <c r="AR93" s="438">
        <v>0</v>
      </c>
      <c r="AS93" s="438">
        <v>0</v>
      </c>
      <c r="AT93" s="438">
        <v>0</v>
      </c>
      <c r="AU93" s="438">
        <v>0</v>
      </c>
      <c r="AV93" s="438">
        <v>0</v>
      </c>
      <c r="AW93" s="438">
        <v>46248521</v>
      </c>
      <c r="AX93" s="438">
        <v>44982035</v>
      </c>
      <c r="AY93" s="438">
        <v>0</v>
      </c>
      <c r="AZ93" s="438">
        <v>2325669</v>
      </c>
      <c r="BA93" s="438">
        <v>76</v>
      </c>
      <c r="BB93" s="438">
        <v>0</v>
      </c>
      <c r="BC93" s="438">
        <v>0</v>
      </c>
      <c r="BD93" s="438">
        <v>0</v>
      </c>
      <c r="BE93" s="438">
        <v>0</v>
      </c>
      <c r="BF93" s="438">
        <v>38238417</v>
      </c>
      <c r="BG93" s="438">
        <v>0</v>
      </c>
      <c r="BH93" s="438">
        <v>7202.1689999999999</v>
      </c>
      <c r="BI93" s="438">
        <v>1226736</v>
      </c>
      <c r="BJ93" s="438">
        <v>12</v>
      </c>
      <c r="BK93" s="438">
        <v>0</v>
      </c>
      <c r="BL93" s="438">
        <v>0</v>
      </c>
      <c r="BM93" s="438">
        <v>0</v>
      </c>
      <c r="BN93" s="438">
        <v>0</v>
      </c>
      <c r="BO93" s="438">
        <v>0</v>
      </c>
      <c r="BP93" s="438">
        <v>0</v>
      </c>
      <c r="BQ93" s="437">
        <v>5392</v>
      </c>
      <c r="BR93" s="438">
        <v>1</v>
      </c>
      <c r="BS93" s="438">
        <v>0</v>
      </c>
      <c r="BT93" s="438">
        <v>0</v>
      </c>
      <c r="BU93" s="438">
        <v>0</v>
      </c>
      <c r="BV93" s="438">
        <v>0</v>
      </c>
      <c r="BW93" s="438">
        <v>0</v>
      </c>
      <c r="BX93" s="438">
        <v>0</v>
      </c>
      <c r="BY93" s="438">
        <v>0</v>
      </c>
      <c r="BZ93" s="438">
        <v>0</v>
      </c>
      <c r="CA93" s="438">
        <v>0</v>
      </c>
      <c r="CB93" s="438">
        <v>0</v>
      </c>
      <c r="CC93" s="438">
        <v>0</v>
      </c>
      <c r="CG93" s="438">
        <v>0</v>
      </c>
      <c r="CH93" s="438">
        <v>39750</v>
      </c>
      <c r="CI93" s="438">
        <v>0</v>
      </c>
      <c r="CJ93" s="438">
        <v>4</v>
      </c>
      <c r="CK93" s="438">
        <v>0</v>
      </c>
      <c r="CL93" s="438">
        <v>0</v>
      </c>
      <c r="CN93" s="438">
        <v>0</v>
      </c>
      <c r="CO93" s="438">
        <v>1</v>
      </c>
      <c r="CP93" s="438">
        <v>0</v>
      </c>
      <c r="CQ93" s="438">
        <v>7</v>
      </c>
      <c r="CR93" s="438">
        <v>4460.857</v>
      </c>
      <c r="CS93" s="438">
        <v>0</v>
      </c>
      <c r="CT93" s="438">
        <v>0</v>
      </c>
      <c r="CU93" s="438">
        <v>0</v>
      </c>
      <c r="CV93" s="438">
        <v>0</v>
      </c>
      <c r="CW93" s="438">
        <v>0</v>
      </c>
      <c r="CX93" s="438">
        <v>0</v>
      </c>
      <c r="CY93" s="438">
        <v>0</v>
      </c>
      <c r="CZ93" s="438">
        <v>0</v>
      </c>
      <c r="DA93" s="438">
        <v>1</v>
      </c>
      <c r="DB93" s="438">
        <v>27079190</v>
      </c>
      <c r="DC93" s="438">
        <v>0</v>
      </c>
      <c r="DD93" s="438">
        <v>83</v>
      </c>
      <c r="DE93" s="438">
        <v>4672194</v>
      </c>
      <c r="DF93" s="438">
        <v>4672194</v>
      </c>
      <c r="DG93" s="438">
        <v>3569.83</v>
      </c>
      <c r="DH93" s="438">
        <v>0</v>
      </c>
      <c r="DI93" s="438">
        <v>0</v>
      </c>
      <c r="DK93" s="437">
        <v>5392</v>
      </c>
      <c r="DL93" s="438">
        <v>0</v>
      </c>
      <c r="DM93" s="438">
        <v>5713645</v>
      </c>
      <c r="DN93" s="438">
        <v>0</v>
      </c>
      <c r="DO93" s="438">
        <v>0</v>
      </c>
      <c r="DP93" s="438">
        <v>0</v>
      </c>
      <c r="DQ93" s="438">
        <v>0</v>
      </c>
      <c r="DR93" s="438">
        <v>0</v>
      </c>
      <c r="DS93" s="438">
        <v>0</v>
      </c>
      <c r="DT93" s="438">
        <v>0</v>
      </c>
      <c r="DU93" s="438">
        <v>0</v>
      </c>
      <c r="DV93" s="438">
        <v>0</v>
      </c>
      <c r="DW93" s="438">
        <v>0</v>
      </c>
      <c r="DX93" s="438">
        <v>0</v>
      </c>
      <c r="DY93" s="438">
        <v>0</v>
      </c>
      <c r="DZ93" s="438">
        <v>0</v>
      </c>
      <c r="EA93" s="438">
        <v>0</v>
      </c>
      <c r="EB93" s="438">
        <v>2.2519999999999998</v>
      </c>
      <c r="EC93" s="438">
        <v>321.3</v>
      </c>
      <c r="ED93" s="438">
        <v>2312846</v>
      </c>
      <c r="EE93" s="438">
        <v>0</v>
      </c>
      <c r="EF93" s="438">
        <v>0</v>
      </c>
      <c r="EG93" s="438">
        <v>0</v>
      </c>
      <c r="EH93" s="438">
        <v>3319365</v>
      </c>
      <c r="EI93" s="438">
        <v>81434</v>
      </c>
      <c r="EJ93" s="438">
        <v>3.1110000000000002</v>
      </c>
      <c r="EK93" s="438">
        <v>159.81100000000001</v>
      </c>
      <c r="EL93" s="438">
        <v>0</v>
      </c>
      <c r="EM93" s="438">
        <v>6.9429999999999996</v>
      </c>
      <c r="EN93" s="438">
        <v>4.3999999999999997E-2</v>
      </c>
      <c r="EO93" s="438">
        <v>0</v>
      </c>
      <c r="EP93" s="438">
        <v>0</v>
      </c>
      <c r="EQ93" s="438">
        <v>172.161</v>
      </c>
      <c r="ER93" s="438">
        <v>0</v>
      </c>
      <c r="ES93" s="438">
        <v>507.238</v>
      </c>
      <c r="ET93" s="438">
        <v>39750</v>
      </c>
      <c r="EU93" s="438">
        <v>2325669</v>
      </c>
      <c r="EV93" s="438">
        <v>0</v>
      </c>
      <c r="EW93" s="438">
        <v>0</v>
      </c>
      <c r="EX93" s="438">
        <v>0</v>
      </c>
      <c r="EZ93" s="438">
        <v>38229870</v>
      </c>
      <c r="FA93" s="438">
        <v>0</v>
      </c>
      <c r="FB93" s="438">
        <v>40555539</v>
      </c>
      <c r="FC93" s="438">
        <v>0.97334900000000002</v>
      </c>
      <c r="FD93" s="438">
        <v>0</v>
      </c>
      <c r="FE93" s="438">
        <v>5498855</v>
      </c>
      <c r="FF93" s="438">
        <v>1253310</v>
      </c>
      <c r="FG93" s="437">
        <v>5.7854999999999997E-2</v>
      </c>
      <c r="FH93" s="437">
        <v>5.2366000000000003E-2</v>
      </c>
      <c r="FI93" s="438">
        <v>0</v>
      </c>
      <c r="FJ93" s="438">
        <v>0</v>
      </c>
      <c r="FK93" s="438">
        <v>7490.973</v>
      </c>
      <c r="FL93" s="438">
        <v>47347454</v>
      </c>
      <c r="FM93" s="438">
        <v>0</v>
      </c>
      <c r="FN93" s="438">
        <v>0</v>
      </c>
      <c r="FO93" s="438">
        <v>43406</v>
      </c>
      <c r="FP93" s="438">
        <v>0</v>
      </c>
      <c r="FQ93" s="438">
        <v>43406</v>
      </c>
      <c r="FR93" s="438">
        <v>43406</v>
      </c>
      <c r="FS93" s="438">
        <v>0</v>
      </c>
      <c r="FT93" s="438">
        <v>0</v>
      </c>
      <c r="FU93" s="438">
        <v>0</v>
      </c>
      <c r="FV93" s="438">
        <v>0</v>
      </c>
      <c r="FW93" s="438">
        <v>0</v>
      </c>
      <c r="FX93" s="438">
        <v>0</v>
      </c>
      <c r="FY93" s="438">
        <v>0</v>
      </c>
      <c r="FZ93" s="438">
        <v>0</v>
      </c>
      <c r="GA93" s="438">
        <v>0</v>
      </c>
      <c r="GB93" s="438">
        <v>1331150</v>
      </c>
      <c r="GC93" s="438">
        <v>1331150</v>
      </c>
      <c r="GD93" s="438">
        <v>150.678</v>
      </c>
      <c r="GF93" s="438">
        <v>0</v>
      </c>
      <c r="GG93" s="438">
        <v>0</v>
      </c>
      <c r="GH93" s="438">
        <v>0</v>
      </c>
      <c r="GI93" s="438">
        <v>0</v>
      </c>
      <c r="GJ93" s="438">
        <v>0</v>
      </c>
      <c r="GK93" s="438">
        <v>4767.6660000000002</v>
      </c>
      <c r="GL93" s="438">
        <v>7444</v>
      </c>
      <c r="GM93" s="438">
        <v>0</v>
      </c>
      <c r="GN93" s="438">
        <v>0</v>
      </c>
      <c r="GO93" s="438">
        <v>0</v>
      </c>
      <c r="GP93" s="438">
        <v>47307704</v>
      </c>
      <c r="GQ93" s="438">
        <v>47307704</v>
      </c>
      <c r="GR93" s="438">
        <v>0</v>
      </c>
      <c r="GS93" s="438">
        <v>0</v>
      </c>
      <c r="GT93" s="438">
        <v>0</v>
      </c>
      <c r="HB93" s="438">
        <v>0</v>
      </c>
      <c r="HC93" s="437">
        <v>6.0754000000000002E-2</v>
      </c>
      <c r="HD93" s="438">
        <v>0</v>
      </c>
    </row>
    <row r="94" spans="1:212" x14ac:dyDescent="0.2">
      <c r="A94" s="438">
        <v>25836</v>
      </c>
      <c r="B94" s="442">
        <v>72802</v>
      </c>
      <c r="C94" s="438">
        <v>9</v>
      </c>
      <c r="D94" s="438">
        <v>2020</v>
      </c>
      <c r="E94" s="438">
        <v>5392</v>
      </c>
      <c r="F94" s="438">
        <v>0</v>
      </c>
      <c r="G94" s="438">
        <v>109.06699999999999</v>
      </c>
      <c r="H94" s="438">
        <v>96.091999999999999</v>
      </c>
      <c r="I94" s="438">
        <v>96.091999999999999</v>
      </c>
      <c r="J94" s="438">
        <v>109.06699999999999</v>
      </c>
      <c r="K94" s="438">
        <v>0</v>
      </c>
      <c r="L94" s="437">
        <v>6544</v>
      </c>
      <c r="M94" s="438">
        <v>0</v>
      </c>
      <c r="N94" s="438">
        <v>0</v>
      </c>
      <c r="P94" s="438">
        <v>106.18300000000001</v>
      </c>
      <c r="Q94" s="438">
        <v>0</v>
      </c>
      <c r="R94" s="438">
        <v>26290</v>
      </c>
      <c r="S94" s="437">
        <v>247.58699999999999</v>
      </c>
      <c r="U94" s="438">
        <v>0</v>
      </c>
      <c r="V94" s="438">
        <v>5.3</v>
      </c>
      <c r="W94" s="438">
        <v>3468</v>
      </c>
      <c r="X94" s="438">
        <v>3468</v>
      </c>
      <c r="Z94" s="438">
        <v>0</v>
      </c>
      <c r="AA94" s="438">
        <v>1</v>
      </c>
      <c r="AB94" s="438">
        <v>1</v>
      </c>
      <c r="AC94" s="438">
        <v>0</v>
      </c>
      <c r="AD94" s="438" t="s">
        <v>332</v>
      </c>
      <c r="AE94" s="438">
        <v>0</v>
      </c>
      <c r="AH94" s="438">
        <v>0</v>
      </c>
      <c r="AI94" s="438">
        <v>0</v>
      </c>
      <c r="AJ94" s="437">
        <v>5105</v>
      </c>
      <c r="AK94" s="438" t="s">
        <v>561</v>
      </c>
      <c r="AL94" s="438" t="s">
        <v>359</v>
      </c>
      <c r="AM94" s="438">
        <v>0</v>
      </c>
      <c r="AN94" s="438">
        <v>0</v>
      </c>
      <c r="AO94" s="438">
        <v>0</v>
      </c>
      <c r="AP94" s="438">
        <v>0</v>
      </c>
      <c r="AQ94" s="438">
        <v>0</v>
      </c>
      <c r="AR94" s="438">
        <v>0</v>
      </c>
      <c r="AS94" s="438">
        <v>0</v>
      </c>
      <c r="AT94" s="438">
        <v>0</v>
      </c>
      <c r="AU94" s="438">
        <v>0</v>
      </c>
      <c r="AV94" s="438">
        <v>0</v>
      </c>
      <c r="AW94" s="438">
        <v>1058375</v>
      </c>
      <c r="AX94" s="438">
        <v>1023632</v>
      </c>
      <c r="AY94" s="438">
        <v>0</v>
      </c>
      <c r="AZ94" s="438">
        <v>56283</v>
      </c>
      <c r="BA94" s="438">
        <v>9</v>
      </c>
      <c r="BB94" s="438">
        <v>0</v>
      </c>
      <c r="BC94" s="438">
        <v>0</v>
      </c>
      <c r="BD94" s="438">
        <v>0</v>
      </c>
      <c r="BE94" s="438">
        <v>0</v>
      </c>
      <c r="BF94" s="438">
        <v>872057</v>
      </c>
      <c r="BG94" s="438">
        <v>0</v>
      </c>
      <c r="BH94" s="438">
        <v>126.77500000000001</v>
      </c>
      <c r="BI94" s="438">
        <v>29993</v>
      </c>
      <c r="BJ94" s="438">
        <v>12</v>
      </c>
      <c r="BK94" s="438">
        <v>0</v>
      </c>
      <c r="BL94" s="438">
        <v>0</v>
      </c>
      <c r="BM94" s="438">
        <v>0</v>
      </c>
      <c r="BN94" s="438">
        <v>0</v>
      </c>
      <c r="BO94" s="438">
        <v>0</v>
      </c>
      <c r="BP94" s="438">
        <v>0</v>
      </c>
      <c r="BQ94" s="437">
        <v>5392</v>
      </c>
      <c r="BR94" s="438">
        <v>1</v>
      </c>
      <c r="BS94" s="438">
        <v>0</v>
      </c>
      <c r="BT94" s="438">
        <v>0</v>
      </c>
      <c r="BU94" s="438">
        <v>0</v>
      </c>
      <c r="BV94" s="438">
        <v>0</v>
      </c>
      <c r="BW94" s="438">
        <v>0</v>
      </c>
      <c r="BX94" s="438">
        <v>0</v>
      </c>
      <c r="BY94" s="438">
        <v>0</v>
      </c>
      <c r="BZ94" s="438">
        <v>0</v>
      </c>
      <c r="CA94" s="438">
        <v>0</v>
      </c>
      <c r="CB94" s="438">
        <v>0</v>
      </c>
      <c r="CC94" s="438">
        <v>0</v>
      </c>
      <c r="CG94" s="438">
        <v>0</v>
      </c>
      <c r="CH94" s="438">
        <v>4750</v>
      </c>
      <c r="CI94" s="438">
        <v>0</v>
      </c>
      <c r="CJ94" s="438">
        <v>4</v>
      </c>
      <c r="CK94" s="438">
        <v>0</v>
      </c>
      <c r="CL94" s="438">
        <v>0</v>
      </c>
      <c r="CN94" s="438">
        <v>0</v>
      </c>
      <c r="CO94" s="438">
        <v>1</v>
      </c>
      <c r="CP94" s="438">
        <v>0.56000000000000005</v>
      </c>
      <c r="CQ94" s="438">
        <v>1</v>
      </c>
      <c r="CR94" s="438">
        <v>109.06699999999999</v>
      </c>
      <c r="CS94" s="438">
        <v>0</v>
      </c>
      <c r="CT94" s="438">
        <v>0</v>
      </c>
      <c r="CU94" s="438">
        <v>0</v>
      </c>
      <c r="CV94" s="438">
        <v>0</v>
      </c>
      <c r="CW94" s="438">
        <v>0</v>
      </c>
      <c r="CX94" s="438">
        <v>0</v>
      </c>
      <c r="CY94" s="438">
        <v>0</v>
      </c>
      <c r="CZ94" s="438">
        <v>0</v>
      </c>
      <c r="DA94" s="438">
        <v>1</v>
      </c>
      <c r="DB94" s="438">
        <v>628826</v>
      </c>
      <c r="DC94" s="438">
        <v>0</v>
      </c>
      <c r="DD94" s="438">
        <v>10</v>
      </c>
      <c r="DE94" s="438">
        <v>68490</v>
      </c>
      <c r="DF94" s="438">
        <v>77322</v>
      </c>
      <c r="DG94" s="438">
        <v>52.33</v>
      </c>
      <c r="DH94" s="438">
        <v>0</v>
      </c>
      <c r="DI94" s="438">
        <v>8832</v>
      </c>
      <c r="DK94" s="437">
        <v>5392</v>
      </c>
      <c r="DL94" s="438">
        <v>0</v>
      </c>
      <c r="DM94" s="438">
        <v>101888</v>
      </c>
      <c r="DN94" s="438">
        <v>0</v>
      </c>
      <c r="DO94" s="438">
        <v>0</v>
      </c>
      <c r="DP94" s="438">
        <v>0</v>
      </c>
      <c r="DQ94" s="438">
        <v>0</v>
      </c>
      <c r="DR94" s="438">
        <v>0</v>
      </c>
      <c r="DS94" s="438">
        <v>0</v>
      </c>
      <c r="DT94" s="438">
        <v>0</v>
      </c>
      <c r="DU94" s="438">
        <v>0</v>
      </c>
      <c r="DV94" s="438">
        <v>0</v>
      </c>
      <c r="DW94" s="438">
        <v>0</v>
      </c>
      <c r="DX94" s="438">
        <v>0</v>
      </c>
      <c r="DY94" s="438">
        <v>0</v>
      </c>
      <c r="DZ94" s="438">
        <v>0</v>
      </c>
      <c r="EA94" s="438">
        <v>0</v>
      </c>
      <c r="EB94" s="438">
        <v>0</v>
      </c>
      <c r="EC94" s="438">
        <v>2.1669999999999998</v>
      </c>
      <c r="ED94" s="438">
        <v>15599</v>
      </c>
      <c r="EE94" s="438">
        <v>0</v>
      </c>
      <c r="EF94" s="438">
        <v>0</v>
      </c>
      <c r="EG94" s="438">
        <v>0</v>
      </c>
      <c r="EH94" s="438">
        <v>10326</v>
      </c>
      <c r="EI94" s="438">
        <v>75963</v>
      </c>
      <c r="EJ94" s="438">
        <v>2.9020000000000001</v>
      </c>
      <c r="EK94" s="438">
        <v>0.501</v>
      </c>
      <c r="EL94" s="438">
        <v>0</v>
      </c>
      <c r="EM94" s="438">
        <v>0</v>
      </c>
      <c r="EN94" s="438">
        <v>1.4999999999999999E-2</v>
      </c>
      <c r="EO94" s="438">
        <v>0</v>
      </c>
      <c r="EP94" s="438">
        <v>0</v>
      </c>
      <c r="EQ94" s="438">
        <v>3.4180000000000001</v>
      </c>
      <c r="ER94" s="438">
        <v>0</v>
      </c>
      <c r="ES94" s="438">
        <v>1.5780000000000001</v>
      </c>
      <c r="ET94" s="438">
        <v>4750</v>
      </c>
      <c r="EU94" s="438">
        <v>56283</v>
      </c>
      <c r="EV94" s="438">
        <v>0</v>
      </c>
      <c r="EW94" s="438">
        <v>0</v>
      </c>
      <c r="EX94" s="438">
        <v>0</v>
      </c>
      <c r="EZ94" s="438">
        <v>869644</v>
      </c>
      <c r="FA94" s="438">
        <v>0</v>
      </c>
      <c r="FB94" s="438">
        <v>925927</v>
      </c>
      <c r="FC94" s="438">
        <v>0.97334900000000002</v>
      </c>
      <c r="FD94" s="438">
        <v>0</v>
      </c>
      <c r="FE94" s="438">
        <v>125405</v>
      </c>
      <c r="FF94" s="438">
        <v>28583</v>
      </c>
      <c r="FG94" s="437">
        <v>5.7854999999999997E-2</v>
      </c>
      <c r="FH94" s="437">
        <v>5.2366000000000003E-2</v>
      </c>
      <c r="FI94" s="438">
        <v>0</v>
      </c>
      <c r="FJ94" s="438">
        <v>0</v>
      </c>
      <c r="FK94" s="438">
        <v>170.83699999999999</v>
      </c>
      <c r="FL94" s="438">
        <v>1084665</v>
      </c>
      <c r="FM94" s="438">
        <v>0</v>
      </c>
      <c r="FN94" s="438">
        <v>0</v>
      </c>
      <c r="FO94" s="438">
        <v>0</v>
      </c>
      <c r="FP94" s="438">
        <v>0</v>
      </c>
      <c r="FQ94" s="438">
        <v>0</v>
      </c>
      <c r="FR94" s="438">
        <v>0</v>
      </c>
      <c r="FS94" s="438">
        <v>0</v>
      </c>
      <c r="FT94" s="438">
        <v>0</v>
      </c>
      <c r="FU94" s="438">
        <v>0</v>
      </c>
      <c r="FV94" s="438">
        <v>0</v>
      </c>
      <c r="FW94" s="438">
        <v>0</v>
      </c>
      <c r="FX94" s="438">
        <v>0</v>
      </c>
      <c r="FY94" s="438">
        <v>0</v>
      </c>
      <c r="FZ94" s="438">
        <v>0</v>
      </c>
      <c r="GA94" s="438">
        <v>0</v>
      </c>
      <c r="GB94" s="438">
        <v>84430</v>
      </c>
      <c r="GC94" s="438">
        <v>84430</v>
      </c>
      <c r="GD94" s="438">
        <v>9.5570000000000004</v>
      </c>
      <c r="GF94" s="438">
        <v>0</v>
      </c>
      <c r="GG94" s="438">
        <v>0</v>
      </c>
      <c r="GH94" s="438">
        <v>0</v>
      </c>
      <c r="GI94" s="438">
        <v>0</v>
      </c>
      <c r="GJ94" s="438">
        <v>0</v>
      </c>
      <c r="GK94" s="438">
        <v>4797.308</v>
      </c>
      <c r="GL94" s="438">
        <v>5851</v>
      </c>
      <c r="GM94" s="438">
        <v>0</v>
      </c>
      <c r="GN94" s="438">
        <v>0</v>
      </c>
      <c r="GO94" s="438">
        <v>0</v>
      </c>
      <c r="GP94" s="438">
        <v>1079915</v>
      </c>
      <c r="GQ94" s="438">
        <v>1079915</v>
      </c>
      <c r="GR94" s="438">
        <v>0</v>
      </c>
      <c r="GS94" s="438">
        <v>0</v>
      </c>
      <c r="GT94" s="438">
        <v>0</v>
      </c>
      <c r="HB94" s="438">
        <v>0</v>
      </c>
      <c r="HC94" s="437">
        <v>6.0754000000000002E-2</v>
      </c>
      <c r="HD94" s="438">
        <v>0</v>
      </c>
    </row>
    <row r="95" spans="1:212" x14ac:dyDescent="0.2">
      <c r="A95" s="438">
        <v>25836</v>
      </c>
      <c r="B95" s="442">
        <v>84802</v>
      </c>
      <c r="C95" s="438">
        <v>9</v>
      </c>
      <c r="D95" s="438">
        <v>2020</v>
      </c>
      <c r="E95" s="438">
        <v>5392</v>
      </c>
      <c r="F95" s="438">
        <v>0</v>
      </c>
      <c r="G95" s="438">
        <v>1018.3049999999999</v>
      </c>
      <c r="H95" s="438">
        <v>955.01900000000001</v>
      </c>
      <c r="I95" s="438">
        <v>955.01900000000001</v>
      </c>
      <c r="J95" s="438">
        <v>1018.3049999999999</v>
      </c>
      <c r="K95" s="438">
        <v>0</v>
      </c>
      <c r="L95" s="437">
        <v>6544</v>
      </c>
      <c r="M95" s="438">
        <v>0</v>
      </c>
      <c r="N95" s="438">
        <v>0</v>
      </c>
      <c r="P95" s="438">
        <v>1020.218</v>
      </c>
      <c r="Q95" s="438">
        <v>0</v>
      </c>
      <c r="R95" s="438">
        <v>252593</v>
      </c>
      <c r="S95" s="437">
        <v>247.58699999999999</v>
      </c>
      <c r="U95" s="438">
        <v>0</v>
      </c>
      <c r="V95" s="438">
        <v>204.81700000000001</v>
      </c>
      <c r="W95" s="438">
        <v>134032</v>
      </c>
      <c r="X95" s="438">
        <v>134032</v>
      </c>
      <c r="Z95" s="438">
        <v>0</v>
      </c>
      <c r="AA95" s="438">
        <v>1</v>
      </c>
      <c r="AB95" s="438">
        <v>1</v>
      </c>
      <c r="AC95" s="438">
        <v>0</v>
      </c>
      <c r="AD95" s="438" t="s">
        <v>332</v>
      </c>
      <c r="AE95" s="438">
        <v>0</v>
      </c>
      <c r="AH95" s="438">
        <v>0</v>
      </c>
      <c r="AI95" s="438">
        <v>0</v>
      </c>
      <c r="AJ95" s="437">
        <v>5105</v>
      </c>
      <c r="AK95" s="438" t="s">
        <v>561</v>
      </c>
      <c r="AL95" s="438" t="s">
        <v>360</v>
      </c>
      <c r="AM95" s="438">
        <v>0</v>
      </c>
      <c r="AN95" s="438">
        <v>0</v>
      </c>
      <c r="AO95" s="438">
        <v>0</v>
      </c>
      <c r="AP95" s="438">
        <v>0</v>
      </c>
      <c r="AQ95" s="438">
        <v>0</v>
      </c>
      <c r="AR95" s="438">
        <v>0</v>
      </c>
      <c r="AS95" s="438">
        <v>0</v>
      </c>
      <c r="AT95" s="438">
        <v>0</v>
      </c>
      <c r="AU95" s="438">
        <v>0</v>
      </c>
      <c r="AV95" s="438">
        <v>0</v>
      </c>
      <c r="AW95" s="438">
        <v>9981041</v>
      </c>
      <c r="AX95" s="438">
        <v>9922429</v>
      </c>
      <c r="AY95" s="438">
        <v>0</v>
      </c>
      <c r="AZ95" s="438">
        <v>287705</v>
      </c>
      <c r="BA95" s="438">
        <v>46</v>
      </c>
      <c r="BB95" s="438">
        <v>39983</v>
      </c>
      <c r="BC95" s="438">
        <v>39983</v>
      </c>
      <c r="BD95" s="438">
        <v>50.914999999999999</v>
      </c>
      <c r="BE95" s="438">
        <v>0</v>
      </c>
      <c r="BF95" s="438">
        <v>8451289</v>
      </c>
      <c r="BG95" s="438">
        <v>0</v>
      </c>
      <c r="BH95" s="438">
        <v>127.68</v>
      </c>
      <c r="BI95" s="438">
        <v>35112</v>
      </c>
      <c r="BJ95" s="438">
        <v>12</v>
      </c>
      <c r="BK95" s="438">
        <v>0</v>
      </c>
      <c r="BL95" s="438">
        <v>0</v>
      </c>
      <c r="BM95" s="438">
        <v>0</v>
      </c>
      <c r="BN95" s="438">
        <v>0</v>
      </c>
      <c r="BO95" s="438">
        <v>0</v>
      </c>
      <c r="BP95" s="438">
        <v>0</v>
      </c>
      <c r="BQ95" s="437">
        <v>5392</v>
      </c>
      <c r="BR95" s="438">
        <v>1</v>
      </c>
      <c r="BS95" s="438">
        <v>0</v>
      </c>
      <c r="BT95" s="438">
        <v>0</v>
      </c>
      <c r="BU95" s="438">
        <v>0</v>
      </c>
      <c r="BV95" s="438">
        <v>0</v>
      </c>
      <c r="BW95" s="438">
        <v>0</v>
      </c>
      <c r="BX95" s="438">
        <v>0</v>
      </c>
      <c r="BY95" s="438">
        <v>0</v>
      </c>
      <c r="BZ95" s="438">
        <v>0</v>
      </c>
      <c r="CA95" s="438">
        <v>0</v>
      </c>
      <c r="CB95" s="438">
        <v>0</v>
      </c>
      <c r="CC95" s="438">
        <v>0</v>
      </c>
      <c r="CG95" s="438">
        <v>0</v>
      </c>
      <c r="CH95" s="438">
        <v>23500</v>
      </c>
      <c r="CI95" s="438">
        <v>0</v>
      </c>
      <c r="CJ95" s="438">
        <v>4</v>
      </c>
      <c r="CK95" s="438">
        <v>0</v>
      </c>
      <c r="CL95" s="438">
        <v>0</v>
      </c>
      <c r="CN95" s="438">
        <v>0</v>
      </c>
      <c r="CO95" s="438">
        <v>1</v>
      </c>
      <c r="CP95" s="438">
        <v>0.27800000000000002</v>
      </c>
      <c r="CQ95" s="438">
        <v>2</v>
      </c>
      <c r="CR95" s="438">
        <v>1018.3049999999999</v>
      </c>
      <c r="CS95" s="438">
        <v>0</v>
      </c>
      <c r="CT95" s="438">
        <v>0</v>
      </c>
      <c r="CU95" s="438">
        <v>0</v>
      </c>
      <c r="CV95" s="438">
        <v>0</v>
      </c>
      <c r="CW95" s="438">
        <v>0</v>
      </c>
      <c r="CX95" s="438">
        <v>0</v>
      </c>
      <c r="CY95" s="438">
        <v>0</v>
      </c>
      <c r="CZ95" s="438">
        <v>0</v>
      </c>
      <c r="DA95" s="438">
        <v>1</v>
      </c>
      <c r="DB95" s="438">
        <v>6249644</v>
      </c>
      <c r="DC95" s="438">
        <v>0</v>
      </c>
      <c r="DD95" s="438">
        <v>0</v>
      </c>
      <c r="DE95" s="438">
        <v>1150435</v>
      </c>
      <c r="DF95" s="438">
        <v>1154819</v>
      </c>
      <c r="DG95" s="438">
        <v>879</v>
      </c>
      <c r="DH95" s="438">
        <v>0</v>
      </c>
      <c r="DI95" s="438">
        <v>4384</v>
      </c>
      <c r="DK95" s="437">
        <v>5392</v>
      </c>
      <c r="DL95" s="438">
        <v>0</v>
      </c>
      <c r="DM95" s="438">
        <v>745180</v>
      </c>
      <c r="DN95" s="438">
        <v>0</v>
      </c>
      <c r="DO95" s="438">
        <v>0</v>
      </c>
      <c r="DP95" s="438">
        <v>0</v>
      </c>
      <c r="DQ95" s="438">
        <v>0</v>
      </c>
      <c r="DR95" s="438">
        <v>0</v>
      </c>
      <c r="DS95" s="438">
        <v>0</v>
      </c>
      <c r="DT95" s="438">
        <v>0</v>
      </c>
      <c r="DU95" s="438">
        <v>0</v>
      </c>
      <c r="DV95" s="438">
        <v>0</v>
      </c>
      <c r="DW95" s="438">
        <v>0</v>
      </c>
      <c r="DX95" s="438">
        <v>0</v>
      </c>
      <c r="DY95" s="438">
        <v>0</v>
      </c>
      <c r="DZ95" s="438">
        <v>0</v>
      </c>
      <c r="EA95" s="438">
        <v>0</v>
      </c>
      <c r="EB95" s="438">
        <v>0</v>
      </c>
      <c r="EC95" s="438">
        <v>39.133000000000003</v>
      </c>
      <c r="ED95" s="438">
        <v>281695</v>
      </c>
      <c r="EE95" s="438">
        <v>0</v>
      </c>
      <c r="EF95" s="438">
        <v>0</v>
      </c>
      <c r="EG95" s="438">
        <v>0</v>
      </c>
      <c r="EH95" s="438">
        <v>463485</v>
      </c>
      <c r="EI95" s="438">
        <v>0</v>
      </c>
      <c r="EJ95" s="438">
        <v>0</v>
      </c>
      <c r="EK95" s="438">
        <v>20.895</v>
      </c>
      <c r="EL95" s="438">
        <v>0</v>
      </c>
      <c r="EM95" s="438">
        <v>0.307</v>
      </c>
      <c r="EN95" s="438">
        <v>1.444</v>
      </c>
      <c r="EO95" s="438">
        <v>0</v>
      </c>
      <c r="EP95" s="438">
        <v>0</v>
      </c>
      <c r="EQ95" s="438">
        <v>22.646000000000001</v>
      </c>
      <c r="ER95" s="438">
        <v>0</v>
      </c>
      <c r="ES95" s="438">
        <v>70.825999999999993</v>
      </c>
      <c r="ET95" s="438">
        <v>23500</v>
      </c>
      <c r="EU95" s="438">
        <v>287705</v>
      </c>
      <c r="EV95" s="438">
        <v>0</v>
      </c>
      <c r="EW95" s="438">
        <v>0</v>
      </c>
      <c r="EX95" s="438">
        <v>0</v>
      </c>
      <c r="EZ95" s="438">
        <v>8430095</v>
      </c>
      <c r="FA95" s="438">
        <v>0</v>
      </c>
      <c r="FB95" s="438">
        <v>8717800</v>
      </c>
      <c r="FC95" s="438">
        <v>0.97334900000000002</v>
      </c>
      <c r="FD95" s="438">
        <v>0</v>
      </c>
      <c r="FE95" s="438">
        <v>1215333</v>
      </c>
      <c r="FF95" s="438">
        <v>277001</v>
      </c>
      <c r="FG95" s="437">
        <v>5.7854999999999997E-2</v>
      </c>
      <c r="FH95" s="437">
        <v>5.2366000000000003E-2</v>
      </c>
      <c r="FI95" s="438">
        <v>0</v>
      </c>
      <c r="FJ95" s="438">
        <v>0</v>
      </c>
      <c r="FK95" s="438">
        <v>1655.6220000000001</v>
      </c>
      <c r="FL95" s="438">
        <v>10233634</v>
      </c>
      <c r="FM95" s="438">
        <v>0</v>
      </c>
      <c r="FN95" s="438">
        <v>0</v>
      </c>
      <c r="FO95" s="438">
        <v>0</v>
      </c>
      <c r="FP95" s="438">
        <v>0</v>
      </c>
      <c r="FQ95" s="438">
        <v>0</v>
      </c>
      <c r="FR95" s="438">
        <v>0</v>
      </c>
      <c r="FS95" s="438">
        <v>0</v>
      </c>
      <c r="FT95" s="438">
        <v>0</v>
      </c>
      <c r="FU95" s="438">
        <v>0</v>
      </c>
      <c r="FV95" s="438">
        <v>0</v>
      </c>
      <c r="FW95" s="438">
        <v>0</v>
      </c>
      <c r="FX95" s="438">
        <v>0</v>
      </c>
      <c r="FY95" s="438">
        <v>0</v>
      </c>
      <c r="FZ95" s="438">
        <v>0</v>
      </c>
      <c r="GA95" s="438">
        <v>0</v>
      </c>
      <c r="GB95" s="438">
        <v>359030</v>
      </c>
      <c r="GC95" s="438">
        <v>359030</v>
      </c>
      <c r="GD95" s="438">
        <v>40.64</v>
      </c>
      <c r="GF95" s="438">
        <v>0</v>
      </c>
      <c r="GG95" s="438">
        <v>0</v>
      </c>
      <c r="GH95" s="438">
        <v>0</v>
      </c>
      <c r="GI95" s="438">
        <v>0</v>
      </c>
      <c r="GJ95" s="438">
        <v>0</v>
      </c>
      <c r="GK95" s="438">
        <v>4924.2110000000002</v>
      </c>
      <c r="GL95" s="438">
        <v>10631</v>
      </c>
      <c r="GM95" s="438">
        <v>0</v>
      </c>
      <c r="GN95" s="438">
        <v>0</v>
      </c>
      <c r="GO95" s="438">
        <v>0</v>
      </c>
      <c r="GP95" s="438">
        <v>10210134</v>
      </c>
      <c r="GQ95" s="438">
        <v>10210134</v>
      </c>
      <c r="GR95" s="438">
        <v>0</v>
      </c>
      <c r="GS95" s="438">
        <v>0</v>
      </c>
      <c r="GT95" s="438">
        <v>0</v>
      </c>
      <c r="HB95" s="438">
        <v>0</v>
      </c>
      <c r="HC95" s="437">
        <v>6.0754000000000002E-2</v>
      </c>
      <c r="HD95" s="438">
        <v>0</v>
      </c>
    </row>
    <row r="96" spans="1:212" x14ac:dyDescent="0.2">
      <c r="A96" s="438">
        <v>25836</v>
      </c>
      <c r="B96" s="442">
        <v>84804</v>
      </c>
      <c r="C96" s="438">
        <v>9</v>
      </c>
      <c r="D96" s="438">
        <v>2020</v>
      </c>
      <c r="E96" s="438">
        <v>5392</v>
      </c>
      <c r="F96" s="438">
        <v>0</v>
      </c>
      <c r="G96" s="438">
        <v>259.14800000000002</v>
      </c>
      <c r="H96" s="438">
        <v>256.30399999999997</v>
      </c>
      <c r="I96" s="438">
        <v>256.30399999999997</v>
      </c>
      <c r="J96" s="438">
        <v>259.14800000000002</v>
      </c>
      <c r="K96" s="438">
        <v>0</v>
      </c>
      <c r="L96" s="437">
        <v>6544</v>
      </c>
      <c r="M96" s="438">
        <v>0</v>
      </c>
      <c r="N96" s="438">
        <v>0</v>
      </c>
      <c r="P96" s="438">
        <v>260.947</v>
      </c>
      <c r="Q96" s="438">
        <v>0</v>
      </c>
      <c r="R96" s="438">
        <v>64607</v>
      </c>
      <c r="S96" s="437">
        <v>247.58699999999999</v>
      </c>
      <c r="U96" s="438">
        <v>0</v>
      </c>
      <c r="V96" s="438">
        <v>0</v>
      </c>
      <c r="W96" s="438">
        <v>0</v>
      </c>
      <c r="X96" s="438">
        <v>0</v>
      </c>
      <c r="Z96" s="438">
        <v>0</v>
      </c>
      <c r="AA96" s="438">
        <v>1</v>
      </c>
      <c r="AB96" s="438">
        <v>1</v>
      </c>
      <c r="AC96" s="438">
        <v>0</v>
      </c>
      <c r="AD96" s="438" t="s">
        <v>332</v>
      </c>
      <c r="AE96" s="438">
        <v>0</v>
      </c>
      <c r="AH96" s="438">
        <v>0</v>
      </c>
      <c r="AI96" s="438">
        <v>0</v>
      </c>
      <c r="AJ96" s="437">
        <v>5105</v>
      </c>
      <c r="AK96" s="438" t="s">
        <v>561</v>
      </c>
      <c r="AL96" s="438" t="s">
        <v>69</v>
      </c>
      <c r="AM96" s="438">
        <v>0</v>
      </c>
      <c r="AN96" s="438">
        <v>0</v>
      </c>
      <c r="AO96" s="438">
        <v>0</v>
      </c>
      <c r="AP96" s="438">
        <v>0</v>
      </c>
      <c r="AQ96" s="438">
        <v>0</v>
      </c>
      <c r="AR96" s="438">
        <v>0</v>
      </c>
      <c r="AS96" s="438">
        <v>0</v>
      </c>
      <c r="AT96" s="438">
        <v>0</v>
      </c>
      <c r="AU96" s="438">
        <v>0</v>
      </c>
      <c r="AV96" s="438">
        <v>0</v>
      </c>
      <c r="AW96" s="438">
        <v>2367681</v>
      </c>
      <c r="AX96" s="438">
        <v>2367681</v>
      </c>
      <c r="AY96" s="438">
        <v>0</v>
      </c>
      <c r="AZ96" s="438">
        <v>64607</v>
      </c>
      <c r="BA96" s="438">
        <v>0</v>
      </c>
      <c r="BB96" s="438">
        <v>10175</v>
      </c>
      <c r="BC96" s="438">
        <v>10175</v>
      </c>
      <c r="BD96" s="438">
        <v>12.957000000000001</v>
      </c>
      <c r="BE96" s="438">
        <v>0</v>
      </c>
      <c r="BF96" s="438">
        <v>2020238</v>
      </c>
      <c r="BG96" s="438">
        <v>0</v>
      </c>
      <c r="BH96" s="438">
        <v>0</v>
      </c>
      <c r="BI96" s="438">
        <v>0</v>
      </c>
      <c r="BJ96" s="438">
        <v>12</v>
      </c>
      <c r="BK96" s="438">
        <v>0</v>
      </c>
      <c r="BL96" s="438">
        <v>0</v>
      </c>
      <c r="BM96" s="438">
        <v>0</v>
      </c>
      <c r="BN96" s="438">
        <v>0</v>
      </c>
      <c r="BO96" s="438">
        <v>0</v>
      </c>
      <c r="BP96" s="438">
        <v>0</v>
      </c>
      <c r="BQ96" s="437">
        <v>5392</v>
      </c>
      <c r="BR96" s="438">
        <v>1</v>
      </c>
      <c r="BS96" s="438">
        <v>0</v>
      </c>
      <c r="BT96" s="438">
        <v>0</v>
      </c>
      <c r="BU96" s="438">
        <v>0</v>
      </c>
      <c r="BV96" s="438">
        <v>0</v>
      </c>
      <c r="BW96" s="438">
        <v>0</v>
      </c>
      <c r="BX96" s="438">
        <v>0</v>
      </c>
      <c r="BY96" s="438">
        <v>0</v>
      </c>
      <c r="BZ96" s="438">
        <v>0</v>
      </c>
      <c r="CA96" s="438">
        <v>0</v>
      </c>
      <c r="CB96" s="438">
        <v>0</v>
      </c>
      <c r="CC96" s="438">
        <v>0</v>
      </c>
      <c r="CG96" s="438">
        <v>0</v>
      </c>
      <c r="CH96" s="438">
        <v>0</v>
      </c>
      <c r="CI96" s="438">
        <v>0</v>
      </c>
      <c r="CJ96" s="438">
        <v>4</v>
      </c>
      <c r="CK96" s="438">
        <v>0</v>
      </c>
      <c r="CL96" s="438">
        <v>0</v>
      </c>
      <c r="CN96" s="438">
        <v>0</v>
      </c>
      <c r="CO96" s="438">
        <v>1</v>
      </c>
      <c r="CP96" s="438">
        <v>0</v>
      </c>
      <c r="CQ96" s="438">
        <v>0</v>
      </c>
      <c r="CR96" s="438">
        <v>259.14800000000002</v>
      </c>
      <c r="CS96" s="438">
        <v>0</v>
      </c>
      <c r="CT96" s="438">
        <v>0</v>
      </c>
      <c r="CU96" s="438">
        <v>0</v>
      </c>
      <c r="CV96" s="438">
        <v>0</v>
      </c>
      <c r="CW96" s="438">
        <v>0</v>
      </c>
      <c r="CX96" s="438">
        <v>0</v>
      </c>
      <c r="CY96" s="438">
        <v>0</v>
      </c>
      <c r="CZ96" s="438">
        <v>0</v>
      </c>
      <c r="DA96" s="438">
        <v>1</v>
      </c>
      <c r="DB96" s="438">
        <v>1677253</v>
      </c>
      <c r="DC96" s="438">
        <v>0</v>
      </c>
      <c r="DD96" s="438">
        <v>0</v>
      </c>
      <c r="DE96" s="438">
        <v>330472</v>
      </c>
      <c r="DF96" s="438">
        <v>330472</v>
      </c>
      <c r="DG96" s="438">
        <v>252.5</v>
      </c>
      <c r="DH96" s="438">
        <v>0</v>
      </c>
      <c r="DI96" s="438">
        <v>0</v>
      </c>
      <c r="DK96" s="437">
        <v>5392</v>
      </c>
      <c r="DL96" s="438">
        <v>0</v>
      </c>
      <c r="DM96" s="438">
        <v>57653</v>
      </c>
      <c r="DN96" s="438">
        <v>0</v>
      </c>
      <c r="DO96" s="438">
        <v>0</v>
      </c>
      <c r="DP96" s="438">
        <v>0</v>
      </c>
      <c r="DQ96" s="438">
        <v>0</v>
      </c>
      <c r="DR96" s="438">
        <v>0</v>
      </c>
      <c r="DS96" s="438">
        <v>0</v>
      </c>
      <c r="DT96" s="438">
        <v>0</v>
      </c>
      <c r="DU96" s="438">
        <v>0</v>
      </c>
      <c r="DV96" s="438">
        <v>0</v>
      </c>
      <c r="DW96" s="438">
        <v>0</v>
      </c>
      <c r="DX96" s="438">
        <v>0</v>
      </c>
      <c r="DY96" s="438">
        <v>0</v>
      </c>
      <c r="DZ96" s="438">
        <v>0</v>
      </c>
      <c r="EA96" s="438">
        <v>0</v>
      </c>
      <c r="EB96" s="438">
        <v>0</v>
      </c>
      <c r="EC96" s="438">
        <v>0</v>
      </c>
      <c r="ED96" s="438">
        <v>0</v>
      </c>
      <c r="EE96" s="438">
        <v>0</v>
      </c>
      <c r="EF96" s="438">
        <v>0</v>
      </c>
      <c r="EG96" s="438">
        <v>0</v>
      </c>
      <c r="EH96" s="438">
        <v>57653</v>
      </c>
      <c r="EI96" s="438">
        <v>0</v>
      </c>
      <c r="EJ96" s="438">
        <v>0</v>
      </c>
      <c r="EK96" s="438">
        <v>2.7050000000000001</v>
      </c>
      <c r="EL96" s="438">
        <v>0</v>
      </c>
      <c r="EM96" s="438">
        <v>0</v>
      </c>
      <c r="EN96" s="438">
        <v>0.13900000000000001</v>
      </c>
      <c r="EO96" s="438">
        <v>0</v>
      </c>
      <c r="EP96" s="438">
        <v>0</v>
      </c>
      <c r="EQ96" s="438">
        <v>2.8439999999999999</v>
      </c>
      <c r="ER96" s="438">
        <v>0</v>
      </c>
      <c r="ES96" s="438">
        <v>8.81</v>
      </c>
      <c r="ET96" s="438">
        <v>0</v>
      </c>
      <c r="EU96" s="438">
        <v>64607</v>
      </c>
      <c r="EV96" s="438">
        <v>0</v>
      </c>
      <c r="EW96" s="438">
        <v>0</v>
      </c>
      <c r="EX96" s="438">
        <v>0</v>
      </c>
      <c r="EZ96" s="438">
        <v>2010946</v>
      </c>
      <c r="FA96" s="438">
        <v>0</v>
      </c>
      <c r="FB96" s="438">
        <v>2075553</v>
      </c>
      <c r="FC96" s="438">
        <v>0.97334900000000002</v>
      </c>
      <c r="FD96" s="438">
        <v>0</v>
      </c>
      <c r="FE96" s="438">
        <v>290519</v>
      </c>
      <c r="FF96" s="438">
        <v>66216</v>
      </c>
      <c r="FG96" s="437">
        <v>5.7854999999999997E-2</v>
      </c>
      <c r="FH96" s="437">
        <v>5.2366000000000003E-2</v>
      </c>
      <c r="FI96" s="438">
        <v>0</v>
      </c>
      <c r="FJ96" s="438">
        <v>0</v>
      </c>
      <c r="FK96" s="438">
        <v>395.76799999999997</v>
      </c>
      <c r="FL96" s="438">
        <v>2432288</v>
      </c>
      <c r="FM96" s="438">
        <v>0</v>
      </c>
      <c r="FN96" s="438">
        <v>0</v>
      </c>
      <c r="FO96" s="438">
        <v>0</v>
      </c>
      <c r="FP96" s="438">
        <v>0</v>
      </c>
      <c r="FQ96" s="438">
        <v>0</v>
      </c>
      <c r="FR96" s="438">
        <v>0</v>
      </c>
      <c r="FS96" s="438">
        <v>0</v>
      </c>
      <c r="FT96" s="438">
        <v>0</v>
      </c>
      <c r="FU96" s="438">
        <v>0</v>
      </c>
      <c r="FV96" s="438">
        <v>0</v>
      </c>
      <c r="FW96" s="438">
        <v>0</v>
      </c>
      <c r="FX96" s="438">
        <v>0</v>
      </c>
      <c r="FY96" s="438">
        <v>0</v>
      </c>
      <c r="FZ96" s="438">
        <v>0</v>
      </c>
      <c r="GA96" s="438">
        <v>0</v>
      </c>
      <c r="GB96" s="438">
        <v>0</v>
      </c>
      <c r="GC96" s="438">
        <v>0</v>
      </c>
      <c r="GD96" s="438">
        <v>0</v>
      </c>
      <c r="GF96" s="438">
        <v>0</v>
      </c>
      <c r="GG96" s="438">
        <v>0</v>
      </c>
      <c r="GH96" s="438">
        <v>0</v>
      </c>
      <c r="GI96" s="438">
        <v>0</v>
      </c>
      <c r="GJ96" s="438">
        <v>0</v>
      </c>
      <c r="GK96" s="438">
        <v>4604.6369999999997</v>
      </c>
      <c r="GL96" s="438">
        <v>4223</v>
      </c>
      <c r="GM96" s="438">
        <v>0</v>
      </c>
      <c r="GN96" s="438">
        <v>0</v>
      </c>
      <c r="GO96" s="438">
        <v>0</v>
      </c>
      <c r="GP96" s="438">
        <v>2432288</v>
      </c>
      <c r="GQ96" s="438">
        <v>2432288</v>
      </c>
      <c r="GR96" s="438">
        <v>0</v>
      </c>
      <c r="GS96" s="438">
        <v>0</v>
      </c>
      <c r="GT96" s="438">
        <v>0</v>
      </c>
      <c r="HB96" s="438">
        <v>0</v>
      </c>
      <c r="HC96" s="437">
        <v>6.0754000000000002E-2</v>
      </c>
      <c r="HD96" s="438">
        <v>0</v>
      </c>
    </row>
    <row r="97" spans="1:212" x14ac:dyDescent="0.2">
      <c r="A97" s="438">
        <v>25836</v>
      </c>
      <c r="B97" s="442">
        <v>86024</v>
      </c>
      <c r="C97" s="438">
        <v>9</v>
      </c>
      <c r="D97" s="438">
        <v>2020</v>
      </c>
      <c r="E97" s="438">
        <v>4932</v>
      </c>
      <c r="F97" s="438">
        <v>0</v>
      </c>
      <c r="G97" s="438">
        <v>16.66</v>
      </c>
      <c r="H97" s="438">
        <v>16.66</v>
      </c>
      <c r="I97" s="438">
        <v>75</v>
      </c>
      <c r="J97" s="438">
        <v>16.66</v>
      </c>
      <c r="K97" s="438">
        <v>0</v>
      </c>
      <c r="L97" s="437">
        <v>7188</v>
      </c>
      <c r="M97" s="438">
        <v>0</v>
      </c>
      <c r="N97" s="438">
        <v>0</v>
      </c>
      <c r="P97" s="438">
        <v>10.987</v>
      </c>
      <c r="Q97" s="438">
        <v>0</v>
      </c>
      <c r="R97" s="438">
        <v>2720</v>
      </c>
      <c r="S97" s="437">
        <v>247.58699999999999</v>
      </c>
      <c r="U97" s="438">
        <v>0</v>
      </c>
      <c r="V97" s="438">
        <v>0</v>
      </c>
      <c r="W97" s="438">
        <v>0</v>
      </c>
      <c r="X97" s="438">
        <v>0</v>
      </c>
      <c r="Z97" s="438">
        <v>0</v>
      </c>
      <c r="AA97" s="438">
        <v>1.05</v>
      </c>
      <c r="AB97" s="438">
        <v>1.05</v>
      </c>
      <c r="AC97" s="438">
        <v>0</v>
      </c>
      <c r="AD97" s="438" t="s">
        <v>636</v>
      </c>
      <c r="AE97" s="438">
        <v>0</v>
      </c>
      <c r="AH97" s="438">
        <v>49054218</v>
      </c>
      <c r="AI97" s="438">
        <v>0</v>
      </c>
      <c r="AJ97" s="437">
        <v>4763</v>
      </c>
      <c r="AK97" s="438" t="s">
        <v>561</v>
      </c>
      <c r="AL97" s="438" t="s">
        <v>649</v>
      </c>
      <c r="AM97" s="438">
        <v>0</v>
      </c>
      <c r="AN97" s="438">
        <v>0</v>
      </c>
      <c r="AO97" s="438">
        <v>0</v>
      </c>
      <c r="AP97" s="438">
        <v>0</v>
      </c>
      <c r="AQ97" s="438">
        <v>0</v>
      </c>
      <c r="AR97" s="438">
        <v>0</v>
      </c>
      <c r="AS97" s="438">
        <v>0</v>
      </c>
      <c r="AT97" s="438">
        <v>0</v>
      </c>
      <c r="AU97" s="438">
        <v>1</v>
      </c>
      <c r="AV97" s="438">
        <v>0</v>
      </c>
      <c r="AW97" s="438">
        <v>83066</v>
      </c>
      <c r="AX97" s="438">
        <v>81795</v>
      </c>
      <c r="AY97" s="438">
        <v>0</v>
      </c>
      <c r="AZ97" s="438">
        <v>457305</v>
      </c>
      <c r="BA97" s="438">
        <v>2</v>
      </c>
      <c r="BB97" s="438">
        <v>0</v>
      </c>
      <c r="BC97" s="438">
        <v>0</v>
      </c>
      <c r="BD97" s="438">
        <v>0</v>
      </c>
      <c r="BE97" s="438">
        <v>0</v>
      </c>
      <c r="BF97" s="438">
        <v>529877</v>
      </c>
      <c r="BG97" s="438">
        <v>0</v>
      </c>
      <c r="BH97" s="438">
        <v>0</v>
      </c>
      <c r="BI97" s="438">
        <v>0</v>
      </c>
      <c r="BJ97" s="438">
        <v>8</v>
      </c>
      <c r="BK97" s="438">
        <v>0</v>
      </c>
      <c r="BL97" s="438">
        <v>0</v>
      </c>
      <c r="BM97" s="438">
        <v>0</v>
      </c>
      <c r="BN97" s="438">
        <v>0</v>
      </c>
      <c r="BO97" s="438">
        <v>0</v>
      </c>
      <c r="BP97" s="438">
        <v>0</v>
      </c>
      <c r="BQ97" s="437">
        <v>0</v>
      </c>
      <c r="BR97" s="438">
        <v>2</v>
      </c>
      <c r="BS97" s="438">
        <v>0</v>
      </c>
      <c r="BT97" s="438">
        <v>486446</v>
      </c>
      <c r="BU97" s="438">
        <v>0</v>
      </c>
      <c r="BV97" s="438">
        <v>0</v>
      </c>
      <c r="BW97" s="438">
        <v>1</v>
      </c>
      <c r="BX97" s="438">
        <v>0.92669999999999997</v>
      </c>
      <c r="BY97" s="438">
        <v>0</v>
      </c>
      <c r="BZ97" s="438">
        <v>0</v>
      </c>
      <c r="CA97" s="438">
        <v>0</v>
      </c>
      <c r="CB97" s="438">
        <v>0</v>
      </c>
      <c r="CC97" s="438">
        <v>0</v>
      </c>
      <c r="CD97" s="438">
        <v>0</v>
      </c>
      <c r="CF97" s="438">
        <v>0</v>
      </c>
      <c r="CG97" s="438">
        <v>0</v>
      </c>
      <c r="CH97" s="438">
        <v>1271</v>
      </c>
      <c r="CI97" s="438">
        <v>17</v>
      </c>
      <c r="CJ97" s="438">
        <v>3</v>
      </c>
      <c r="CK97" s="438">
        <v>0</v>
      </c>
      <c r="CL97" s="438">
        <v>0</v>
      </c>
      <c r="CN97" s="438">
        <v>0</v>
      </c>
      <c r="CO97" s="438">
        <v>0</v>
      </c>
      <c r="CP97" s="438">
        <v>0</v>
      </c>
      <c r="CQ97" s="438">
        <v>1.083</v>
      </c>
      <c r="CR97" s="438">
        <v>10.987</v>
      </c>
      <c r="CS97" s="438">
        <v>49054218</v>
      </c>
      <c r="CT97" s="438">
        <v>0</v>
      </c>
      <c r="CU97" s="438">
        <v>486446</v>
      </c>
      <c r="CV97" s="438">
        <v>0.92669999999999997</v>
      </c>
      <c r="CW97" s="438">
        <v>457528</v>
      </c>
      <c r="CX97" s="438">
        <v>0</v>
      </c>
      <c r="CY97" s="438">
        <v>49054218</v>
      </c>
      <c r="CZ97" s="438">
        <v>0</v>
      </c>
      <c r="DA97" s="438">
        <v>1</v>
      </c>
      <c r="DB97" s="438">
        <v>539100</v>
      </c>
      <c r="DC97" s="438">
        <v>0</v>
      </c>
      <c r="DD97" s="438">
        <v>3.0830000000000002</v>
      </c>
      <c r="DE97" s="438">
        <v>0</v>
      </c>
      <c r="DF97" s="438">
        <v>0</v>
      </c>
      <c r="DG97" s="438">
        <v>0</v>
      </c>
      <c r="DH97" s="438">
        <v>0</v>
      </c>
      <c r="DI97" s="438">
        <v>0</v>
      </c>
      <c r="DK97" s="437">
        <v>7188</v>
      </c>
      <c r="DL97" s="438">
        <v>0</v>
      </c>
      <c r="DM97" s="438">
        <v>0</v>
      </c>
      <c r="DN97" s="438">
        <v>0</v>
      </c>
      <c r="DO97" s="438">
        <v>0</v>
      </c>
      <c r="DP97" s="438">
        <v>0</v>
      </c>
      <c r="DQ97" s="438">
        <v>0</v>
      </c>
      <c r="DR97" s="438">
        <v>0</v>
      </c>
      <c r="DS97" s="438">
        <v>0</v>
      </c>
      <c r="DT97" s="438">
        <v>0</v>
      </c>
      <c r="DU97" s="438">
        <v>0</v>
      </c>
      <c r="DV97" s="438">
        <v>0</v>
      </c>
      <c r="DW97" s="438">
        <v>0</v>
      </c>
      <c r="DX97" s="438">
        <v>0</v>
      </c>
      <c r="DY97" s="438">
        <v>0</v>
      </c>
      <c r="DZ97" s="438">
        <v>0</v>
      </c>
      <c r="EA97" s="438">
        <v>0</v>
      </c>
      <c r="EB97" s="438">
        <v>0</v>
      </c>
      <c r="EC97" s="438">
        <v>0</v>
      </c>
      <c r="ED97" s="438">
        <v>0</v>
      </c>
      <c r="EE97" s="438">
        <v>0</v>
      </c>
      <c r="EF97" s="438">
        <v>0</v>
      </c>
      <c r="EG97" s="438">
        <v>0</v>
      </c>
      <c r="EH97" s="438">
        <v>0</v>
      </c>
      <c r="EI97" s="438">
        <v>0</v>
      </c>
      <c r="EJ97" s="438">
        <v>0</v>
      </c>
      <c r="EK97" s="438">
        <v>0</v>
      </c>
      <c r="EL97" s="438">
        <v>0</v>
      </c>
      <c r="EM97" s="438">
        <v>0</v>
      </c>
      <c r="EN97" s="438">
        <v>0</v>
      </c>
      <c r="EO97" s="438">
        <v>0</v>
      </c>
      <c r="EP97" s="438">
        <v>0</v>
      </c>
      <c r="EQ97" s="438">
        <v>0</v>
      </c>
      <c r="ER97" s="438">
        <v>0</v>
      </c>
      <c r="ES97" s="438">
        <v>0</v>
      </c>
      <c r="ET97" s="438">
        <v>1271</v>
      </c>
      <c r="EU97" s="438">
        <v>2720</v>
      </c>
      <c r="EV97" s="438">
        <v>0</v>
      </c>
      <c r="EW97" s="438">
        <v>0</v>
      </c>
      <c r="EX97" s="438">
        <v>0</v>
      </c>
      <c r="EZ97" s="438">
        <v>81795</v>
      </c>
      <c r="FA97" s="438">
        <v>454585</v>
      </c>
      <c r="FB97" s="438">
        <v>539100</v>
      </c>
      <c r="FC97" s="438">
        <v>0.98289099999999996</v>
      </c>
      <c r="FD97" s="438">
        <v>0</v>
      </c>
      <c r="FE97" s="438">
        <v>0</v>
      </c>
      <c r="FF97" s="438">
        <v>0</v>
      </c>
      <c r="FG97" s="437">
        <v>0</v>
      </c>
      <c r="FH97" s="437">
        <v>0</v>
      </c>
      <c r="FI97" s="438">
        <v>0</v>
      </c>
      <c r="FJ97" s="438">
        <v>0</v>
      </c>
      <c r="FK97" s="438">
        <v>111.24299999999999</v>
      </c>
      <c r="FL97" s="438">
        <v>85786</v>
      </c>
      <c r="FM97" s="438">
        <v>486446</v>
      </c>
      <c r="FN97" s="438">
        <v>0</v>
      </c>
      <c r="FO97" s="438">
        <v>0</v>
      </c>
      <c r="FP97" s="438">
        <v>0</v>
      </c>
      <c r="FQ97" s="438">
        <v>0</v>
      </c>
      <c r="FR97" s="438">
        <v>0</v>
      </c>
      <c r="FS97" s="438">
        <v>0</v>
      </c>
      <c r="FT97" s="438">
        <v>0</v>
      </c>
      <c r="FU97" s="438">
        <v>0</v>
      </c>
      <c r="FV97" s="438">
        <v>0</v>
      </c>
      <c r="FW97" s="438">
        <v>0</v>
      </c>
      <c r="FX97" s="438">
        <v>0</v>
      </c>
      <c r="FY97" s="438">
        <v>0</v>
      </c>
      <c r="FZ97" s="438">
        <v>0</v>
      </c>
      <c r="GA97" s="438">
        <v>0</v>
      </c>
      <c r="GB97" s="438">
        <v>0</v>
      </c>
      <c r="GC97" s="438">
        <v>0</v>
      </c>
      <c r="GD97" s="438">
        <v>0</v>
      </c>
      <c r="GF97" s="438">
        <v>0</v>
      </c>
      <c r="GG97" s="438">
        <v>0</v>
      </c>
      <c r="GH97" s="438">
        <v>0</v>
      </c>
      <c r="GI97" s="438">
        <v>0</v>
      </c>
      <c r="GJ97" s="438">
        <v>1.39</v>
      </c>
      <c r="GK97" s="438">
        <v>4139.79</v>
      </c>
      <c r="GL97" s="438">
        <v>2393</v>
      </c>
      <c r="GM97" s="438">
        <v>0</v>
      </c>
      <c r="GN97" s="438">
        <v>0</v>
      </c>
      <c r="GO97" s="438">
        <v>486446</v>
      </c>
      <c r="GP97" s="438">
        <v>84515</v>
      </c>
      <c r="GQ97" s="438">
        <v>570961</v>
      </c>
      <c r="GR97" s="438">
        <v>49054218</v>
      </c>
      <c r="GS97" s="438">
        <v>486446</v>
      </c>
      <c r="GT97" s="438">
        <v>486446</v>
      </c>
      <c r="HB97" s="438">
        <v>0</v>
      </c>
      <c r="HC97" s="437">
        <v>0</v>
      </c>
      <c r="HD97" s="438">
        <v>0</v>
      </c>
    </row>
    <row r="98" spans="1:212" x14ac:dyDescent="0.2">
      <c r="A98" s="438">
        <v>25836</v>
      </c>
      <c r="B98" s="442">
        <v>92801</v>
      </c>
      <c r="C98" s="438">
        <v>9</v>
      </c>
      <c r="D98" s="438">
        <v>2020</v>
      </c>
      <c r="E98" s="438">
        <v>5392</v>
      </c>
      <c r="F98" s="438">
        <v>0</v>
      </c>
      <c r="G98" s="438">
        <v>130.91200000000001</v>
      </c>
      <c r="H98" s="438">
        <v>95.67</v>
      </c>
      <c r="I98" s="438">
        <v>95.67</v>
      </c>
      <c r="J98" s="438">
        <v>130.91200000000001</v>
      </c>
      <c r="K98" s="438">
        <v>0</v>
      </c>
      <c r="L98" s="437">
        <v>6544</v>
      </c>
      <c r="M98" s="438">
        <v>0</v>
      </c>
      <c r="N98" s="438">
        <v>0</v>
      </c>
      <c r="P98" s="438">
        <v>130.66</v>
      </c>
      <c r="Q98" s="438">
        <v>0</v>
      </c>
      <c r="R98" s="438">
        <v>32350</v>
      </c>
      <c r="S98" s="437">
        <v>247.58699999999999</v>
      </c>
      <c r="U98" s="438">
        <v>0</v>
      </c>
      <c r="V98" s="438">
        <v>0</v>
      </c>
      <c r="W98" s="438">
        <v>0</v>
      </c>
      <c r="X98" s="438">
        <v>0</v>
      </c>
      <c r="Z98" s="438">
        <v>0</v>
      </c>
      <c r="AA98" s="438">
        <v>1</v>
      </c>
      <c r="AB98" s="438">
        <v>1</v>
      </c>
      <c r="AC98" s="438">
        <v>0</v>
      </c>
      <c r="AD98" s="438" t="s">
        <v>332</v>
      </c>
      <c r="AE98" s="438">
        <v>0</v>
      </c>
      <c r="AH98" s="438">
        <v>0</v>
      </c>
      <c r="AI98" s="438">
        <v>0</v>
      </c>
      <c r="AJ98" s="437">
        <v>5105</v>
      </c>
      <c r="AK98" s="438" t="s">
        <v>561</v>
      </c>
      <c r="AL98" s="438" t="s">
        <v>29</v>
      </c>
      <c r="AM98" s="438">
        <v>0</v>
      </c>
      <c r="AN98" s="438">
        <v>0</v>
      </c>
      <c r="AO98" s="438">
        <v>0</v>
      </c>
      <c r="AP98" s="438">
        <v>0</v>
      </c>
      <c r="AQ98" s="438">
        <v>0</v>
      </c>
      <c r="AR98" s="438">
        <v>0</v>
      </c>
      <c r="AS98" s="438">
        <v>0</v>
      </c>
      <c r="AT98" s="438">
        <v>0</v>
      </c>
      <c r="AU98" s="438">
        <v>0</v>
      </c>
      <c r="AV98" s="438">
        <v>0</v>
      </c>
      <c r="AW98" s="438">
        <v>1264673</v>
      </c>
      <c r="AX98" s="438">
        <v>1227672</v>
      </c>
      <c r="AY98" s="438">
        <v>0</v>
      </c>
      <c r="AZ98" s="438">
        <v>68351</v>
      </c>
      <c r="BA98" s="438">
        <v>2</v>
      </c>
      <c r="BB98" s="438">
        <v>0</v>
      </c>
      <c r="BC98" s="438">
        <v>0</v>
      </c>
      <c r="BD98" s="438">
        <v>0</v>
      </c>
      <c r="BE98" s="438">
        <v>0</v>
      </c>
      <c r="BF98" s="438">
        <v>1046564</v>
      </c>
      <c r="BG98" s="438">
        <v>0</v>
      </c>
      <c r="BH98" s="438">
        <v>142.23400000000001</v>
      </c>
      <c r="BI98" s="438">
        <v>36001</v>
      </c>
      <c r="BJ98" s="438">
        <v>12</v>
      </c>
      <c r="BK98" s="438">
        <v>0</v>
      </c>
      <c r="BL98" s="438">
        <v>0</v>
      </c>
      <c r="BM98" s="438">
        <v>0</v>
      </c>
      <c r="BN98" s="438">
        <v>0</v>
      </c>
      <c r="BO98" s="438">
        <v>0</v>
      </c>
      <c r="BP98" s="438">
        <v>0</v>
      </c>
      <c r="BQ98" s="437">
        <v>5392</v>
      </c>
      <c r="BR98" s="438">
        <v>1</v>
      </c>
      <c r="BS98" s="438">
        <v>0</v>
      </c>
      <c r="BT98" s="438">
        <v>0</v>
      </c>
      <c r="BU98" s="438">
        <v>0</v>
      </c>
      <c r="BV98" s="438">
        <v>0</v>
      </c>
      <c r="BW98" s="438">
        <v>0</v>
      </c>
      <c r="BX98" s="438">
        <v>0</v>
      </c>
      <c r="BY98" s="438">
        <v>0</v>
      </c>
      <c r="BZ98" s="438">
        <v>0</v>
      </c>
      <c r="CA98" s="438">
        <v>0</v>
      </c>
      <c r="CB98" s="438">
        <v>0</v>
      </c>
      <c r="CC98" s="438">
        <v>0</v>
      </c>
      <c r="CG98" s="438">
        <v>0</v>
      </c>
      <c r="CH98" s="438">
        <v>1000</v>
      </c>
      <c r="CI98" s="438">
        <v>0</v>
      </c>
      <c r="CJ98" s="438">
        <v>4</v>
      </c>
      <c r="CK98" s="438">
        <v>0</v>
      </c>
      <c r="CL98" s="438">
        <v>0</v>
      </c>
      <c r="CN98" s="438">
        <v>0</v>
      </c>
      <c r="CO98" s="438">
        <v>1</v>
      </c>
      <c r="CP98" s="438">
        <v>0</v>
      </c>
      <c r="CQ98" s="438">
        <v>0</v>
      </c>
      <c r="CR98" s="438">
        <v>130.91200000000001</v>
      </c>
      <c r="CS98" s="438">
        <v>0</v>
      </c>
      <c r="CT98" s="438">
        <v>0</v>
      </c>
      <c r="CU98" s="438">
        <v>0</v>
      </c>
      <c r="CV98" s="438">
        <v>0</v>
      </c>
      <c r="CW98" s="438">
        <v>0</v>
      </c>
      <c r="CX98" s="438">
        <v>0</v>
      </c>
      <c r="CY98" s="438">
        <v>0</v>
      </c>
      <c r="CZ98" s="438">
        <v>0</v>
      </c>
      <c r="DA98" s="438">
        <v>1</v>
      </c>
      <c r="DB98" s="438">
        <v>626064</v>
      </c>
      <c r="DC98" s="438">
        <v>0</v>
      </c>
      <c r="DD98" s="438">
        <v>0</v>
      </c>
      <c r="DE98" s="438">
        <v>58019</v>
      </c>
      <c r="DF98" s="438">
        <v>58019</v>
      </c>
      <c r="DG98" s="438">
        <v>44.33</v>
      </c>
      <c r="DH98" s="438">
        <v>0</v>
      </c>
      <c r="DI98" s="438">
        <v>0</v>
      </c>
      <c r="DK98" s="437">
        <v>5392</v>
      </c>
      <c r="DL98" s="438">
        <v>0</v>
      </c>
      <c r="DM98" s="438">
        <v>79794</v>
      </c>
      <c r="DN98" s="438">
        <v>0</v>
      </c>
      <c r="DO98" s="438">
        <v>0</v>
      </c>
      <c r="DP98" s="438">
        <v>0</v>
      </c>
      <c r="DQ98" s="438">
        <v>0</v>
      </c>
      <c r="DR98" s="438">
        <v>0</v>
      </c>
      <c r="DS98" s="438">
        <v>0</v>
      </c>
      <c r="DT98" s="438">
        <v>0</v>
      </c>
      <c r="DU98" s="438">
        <v>0</v>
      </c>
      <c r="DV98" s="438">
        <v>0</v>
      </c>
      <c r="DW98" s="438">
        <v>0</v>
      </c>
      <c r="DX98" s="438">
        <v>0</v>
      </c>
      <c r="DY98" s="438">
        <v>0</v>
      </c>
      <c r="DZ98" s="438">
        <v>0</v>
      </c>
      <c r="EA98" s="438">
        <v>0</v>
      </c>
      <c r="EB98" s="438">
        <v>0</v>
      </c>
      <c r="EC98" s="438">
        <v>11.085000000000001</v>
      </c>
      <c r="ED98" s="438">
        <v>79794</v>
      </c>
      <c r="EE98" s="438">
        <v>0</v>
      </c>
      <c r="EF98" s="438">
        <v>0</v>
      </c>
      <c r="EG98" s="438">
        <v>0</v>
      </c>
      <c r="EH98" s="438">
        <v>0</v>
      </c>
      <c r="EI98" s="438">
        <v>0</v>
      </c>
      <c r="EJ98" s="438">
        <v>0</v>
      </c>
      <c r="EK98" s="438">
        <v>0</v>
      </c>
      <c r="EL98" s="438">
        <v>0</v>
      </c>
      <c r="EM98" s="438">
        <v>0</v>
      </c>
      <c r="EN98" s="438">
        <v>0</v>
      </c>
      <c r="EO98" s="438">
        <v>0</v>
      </c>
      <c r="EP98" s="438">
        <v>0</v>
      </c>
      <c r="EQ98" s="438">
        <v>0</v>
      </c>
      <c r="ER98" s="438">
        <v>0</v>
      </c>
      <c r="ES98" s="438">
        <v>0</v>
      </c>
      <c r="ET98" s="438">
        <v>1000</v>
      </c>
      <c r="EU98" s="438">
        <v>68351</v>
      </c>
      <c r="EV98" s="438">
        <v>0</v>
      </c>
      <c r="EW98" s="438">
        <v>0</v>
      </c>
      <c r="EX98" s="438">
        <v>0</v>
      </c>
      <c r="EZ98" s="438">
        <v>1042869</v>
      </c>
      <c r="FA98" s="438">
        <v>0</v>
      </c>
      <c r="FB98" s="438">
        <v>1111220</v>
      </c>
      <c r="FC98" s="438">
        <v>0.97334900000000002</v>
      </c>
      <c r="FD98" s="438">
        <v>0</v>
      </c>
      <c r="FE98" s="438">
        <v>150501</v>
      </c>
      <c r="FF98" s="438">
        <v>34302</v>
      </c>
      <c r="FG98" s="437">
        <v>5.7854999999999997E-2</v>
      </c>
      <c r="FH98" s="437">
        <v>5.2366000000000003E-2</v>
      </c>
      <c r="FI98" s="438">
        <v>0</v>
      </c>
      <c r="FJ98" s="438">
        <v>0</v>
      </c>
      <c r="FK98" s="438">
        <v>205.024</v>
      </c>
      <c r="FL98" s="438">
        <v>1297023</v>
      </c>
      <c r="FM98" s="438">
        <v>0</v>
      </c>
      <c r="FN98" s="438">
        <v>0</v>
      </c>
      <c r="FO98" s="438">
        <v>0</v>
      </c>
      <c r="FP98" s="438">
        <v>0</v>
      </c>
      <c r="FQ98" s="438">
        <v>0</v>
      </c>
      <c r="FR98" s="438">
        <v>0</v>
      </c>
      <c r="FS98" s="438">
        <v>0</v>
      </c>
      <c r="FT98" s="438">
        <v>0</v>
      </c>
      <c r="FU98" s="438">
        <v>0</v>
      </c>
      <c r="FV98" s="438">
        <v>0</v>
      </c>
      <c r="FW98" s="438">
        <v>0</v>
      </c>
      <c r="FX98" s="438">
        <v>0</v>
      </c>
      <c r="FY98" s="438">
        <v>0</v>
      </c>
      <c r="FZ98" s="438">
        <v>0</v>
      </c>
      <c r="GA98" s="438">
        <v>0</v>
      </c>
      <c r="GB98" s="438">
        <v>311342</v>
      </c>
      <c r="GC98" s="438">
        <v>311342</v>
      </c>
      <c r="GD98" s="438">
        <v>35.241999999999997</v>
      </c>
      <c r="GF98" s="438">
        <v>0</v>
      </c>
      <c r="GG98" s="438">
        <v>0</v>
      </c>
      <c r="GH98" s="438">
        <v>0</v>
      </c>
      <c r="GI98" s="438">
        <v>0</v>
      </c>
      <c r="GJ98" s="438">
        <v>0</v>
      </c>
      <c r="GK98" s="438">
        <v>4838.991</v>
      </c>
      <c r="GL98" s="438">
        <v>4614</v>
      </c>
      <c r="GM98" s="438">
        <v>0</v>
      </c>
      <c r="GN98" s="438">
        <v>0</v>
      </c>
      <c r="GO98" s="438">
        <v>0</v>
      </c>
      <c r="GP98" s="438">
        <v>1296023</v>
      </c>
      <c r="GQ98" s="438">
        <v>1296023</v>
      </c>
      <c r="GR98" s="438">
        <v>0</v>
      </c>
      <c r="GS98" s="438">
        <v>0</v>
      </c>
      <c r="GT98" s="438">
        <v>0</v>
      </c>
      <c r="HB98" s="438">
        <v>0</v>
      </c>
      <c r="HC98" s="437">
        <v>6.0754000000000002E-2</v>
      </c>
      <c r="HD98" s="438">
        <v>0</v>
      </c>
    </row>
    <row r="99" spans="1:212" x14ac:dyDescent="0.2">
      <c r="A99" s="438">
        <v>25836</v>
      </c>
      <c r="B99" s="442">
        <v>101000</v>
      </c>
      <c r="C99" s="438">
        <v>9</v>
      </c>
      <c r="D99" s="438">
        <v>2020</v>
      </c>
      <c r="E99" s="438">
        <v>0</v>
      </c>
      <c r="F99" s="438">
        <v>0</v>
      </c>
      <c r="G99" s="438">
        <v>0</v>
      </c>
      <c r="H99" s="438">
        <v>0</v>
      </c>
      <c r="I99" s="438">
        <v>0</v>
      </c>
      <c r="J99" s="438">
        <v>0</v>
      </c>
      <c r="K99" s="438">
        <v>0</v>
      </c>
      <c r="L99" s="437">
        <v>0</v>
      </c>
      <c r="M99" s="438">
        <v>0</v>
      </c>
      <c r="N99" s="438">
        <v>0</v>
      </c>
      <c r="P99" s="438">
        <v>0</v>
      </c>
      <c r="Q99" s="438">
        <v>0</v>
      </c>
      <c r="R99" s="438">
        <v>0</v>
      </c>
      <c r="S99" s="437">
        <v>247.58699999999999</v>
      </c>
      <c r="U99" s="438">
        <v>0</v>
      </c>
      <c r="V99" s="438">
        <v>0</v>
      </c>
      <c r="W99" s="438">
        <v>0</v>
      </c>
      <c r="X99" s="438">
        <v>0</v>
      </c>
      <c r="Z99" s="438">
        <v>0</v>
      </c>
      <c r="AA99" s="438">
        <v>0</v>
      </c>
      <c r="AB99" s="438">
        <v>0</v>
      </c>
      <c r="AC99" s="438">
        <v>0</v>
      </c>
      <c r="AD99" s="438" t="s">
        <v>332</v>
      </c>
      <c r="AE99" s="438">
        <v>0</v>
      </c>
      <c r="AH99" s="438">
        <v>0</v>
      </c>
      <c r="AI99" s="438">
        <v>0</v>
      </c>
      <c r="AJ99" s="437">
        <v>5140</v>
      </c>
      <c r="AK99" s="438" t="s">
        <v>561</v>
      </c>
      <c r="AL99" s="438" t="s">
        <v>650</v>
      </c>
      <c r="AM99" s="438">
        <v>0</v>
      </c>
      <c r="AN99" s="438">
        <v>0</v>
      </c>
      <c r="AO99" s="438">
        <v>0</v>
      </c>
      <c r="AP99" s="438">
        <v>0</v>
      </c>
      <c r="AQ99" s="438">
        <v>0</v>
      </c>
      <c r="AR99" s="438">
        <v>0</v>
      </c>
      <c r="AS99" s="438">
        <v>0</v>
      </c>
      <c r="AT99" s="438">
        <v>0</v>
      </c>
      <c r="AU99" s="438">
        <v>0</v>
      </c>
      <c r="AV99" s="438">
        <v>0</v>
      </c>
      <c r="AW99" s="438">
        <v>790192</v>
      </c>
      <c r="AX99" s="438">
        <v>0</v>
      </c>
      <c r="AY99" s="438">
        <v>0</v>
      </c>
      <c r="AZ99" s="438">
        <v>0</v>
      </c>
      <c r="BA99" s="438">
        <v>507.91699999999997</v>
      </c>
      <c r="BB99" s="438">
        <v>0</v>
      </c>
      <c r="BC99" s="438">
        <v>0</v>
      </c>
      <c r="BD99" s="438">
        <v>0</v>
      </c>
      <c r="BE99" s="438">
        <v>0</v>
      </c>
      <c r="BF99" s="438">
        <v>0</v>
      </c>
      <c r="BG99" s="438">
        <v>0</v>
      </c>
      <c r="BH99" s="438">
        <v>0</v>
      </c>
      <c r="BI99" s="438">
        <v>0</v>
      </c>
      <c r="BJ99" s="438">
        <v>0</v>
      </c>
      <c r="BK99" s="438">
        <v>0</v>
      </c>
      <c r="BL99" s="438">
        <v>0</v>
      </c>
      <c r="BM99" s="438">
        <v>0</v>
      </c>
      <c r="BN99" s="438">
        <v>0</v>
      </c>
      <c r="BO99" s="438">
        <v>0</v>
      </c>
      <c r="BP99" s="438">
        <v>0</v>
      </c>
      <c r="BQ99" s="437">
        <v>0</v>
      </c>
      <c r="BR99" s="438">
        <v>1</v>
      </c>
      <c r="BS99" s="438">
        <v>0</v>
      </c>
      <c r="BT99" s="438">
        <v>0</v>
      </c>
      <c r="BU99" s="438">
        <v>0</v>
      </c>
      <c r="BV99" s="438">
        <v>0</v>
      </c>
      <c r="BW99" s="438">
        <v>0</v>
      </c>
      <c r="BX99" s="438">
        <v>0</v>
      </c>
      <c r="BY99" s="438">
        <v>0</v>
      </c>
      <c r="BZ99" s="438">
        <v>0</v>
      </c>
      <c r="CA99" s="438">
        <v>0</v>
      </c>
      <c r="CB99" s="438">
        <v>0</v>
      </c>
      <c r="CC99" s="438">
        <v>0</v>
      </c>
      <c r="CG99" s="438">
        <v>0</v>
      </c>
      <c r="CH99" s="438">
        <v>790192</v>
      </c>
      <c r="CI99" s="438">
        <v>0</v>
      </c>
      <c r="CJ99" s="438">
        <v>1</v>
      </c>
      <c r="CK99" s="438">
        <v>0</v>
      </c>
      <c r="CL99" s="438">
        <v>0</v>
      </c>
      <c r="CN99" s="438">
        <v>0</v>
      </c>
      <c r="CO99" s="438">
        <v>0</v>
      </c>
      <c r="CP99" s="438">
        <v>0</v>
      </c>
      <c r="CQ99" s="438">
        <v>42.832999999999998</v>
      </c>
      <c r="CR99" s="438">
        <v>0</v>
      </c>
      <c r="CS99" s="438">
        <v>0</v>
      </c>
      <c r="CT99" s="438">
        <v>0</v>
      </c>
      <c r="CU99" s="438">
        <v>0</v>
      </c>
      <c r="CV99" s="438">
        <v>0</v>
      </c>
      <c r="CW99" s="438">
        <v>0</v>
      </c>
      <c r="CX99" s="438">
        <v>0</v>
      </c>
      <c r="CY99" s="438">
        <v>0</v>
      </c>
      <c r="CZ99" s="438">
        <v>0</v>
      </c>
      <c r="DA99" s="438">
        <v>1</v>
      </c>
      <c r="DB99" s="438">
        <v>0</v>
      </c>
      <c r="DC99" s="438">
        <v>0</v>
      </c>
      <c r="DD99" s="438">
        <v>1134.6669999999999</v>
      </c>
      <c r="DE99" s="438">
        <v>0</v>
      </c>
      <c r="DF99" s="438">
        <v>0</v>
      </c>
      <c r="DG99" s="438">
        <v>0</v>
      </c>
      <c r="DH99" s="438">
        <v>0</v>
      </c>
      <c r="DI99" s="438">
        <v>0</v>
      </c>
      <c r="DK99" s="437">
        <v>0</v>
      </c>
      <c r="DL99" s="438">
        <v>0</v>
      </c>
      <c r="DM99" s="438">
        <v>0</v>
      </c>
      <c r="DN99" s="438">
        <v>0</v>
      </c>
      <c r="DO99" s="438">
        <v>0</v>
      </c>
      <c r="DP99" s="438">
        <v>0</v>
      </c>
      <c r="DQ99" s="438">
        <v>0</v>
      </c>
      <c r="DR99" s="438">
        <v>0</v>
      </c>
      <c r="DS99" s="438">
        <v>0</v>
      </c>
      <c r="DT99" s="438">
        <v>0</v>
      </c>
      <c r="DU99" s="438">
        <v>0</v>
      </c>
      <c r="DV99" s="438">
        <v>0</v>
      </c>
      <c r="DW99" s="438">
        <v>0</v>
      </c>
      <c r="DX99" s="438">
        <v>0</v>
      </c>
      <c r="DY99" s="438">
        <v>0</v>
      </c>
      <c r="DZ99" s="438">
        <v>0</v>
      </c>
      <c r="EA99" s="438">
        <v>0</v>
      </c>
      <c r="EB99" s="438">
        <v>0</v>
      </c>
      <c r="EC99" s="438">
        <v>0</v>
      </c>
      <c r="ED99" s="438">
        <v>0</v>
      </c>
      <c r="EE99" s="438">
        <v>0</v>
      </c>
      <c r="EF99" s="438">
        <v>0</v>
      </c>
      <c r="EG99" s="438">
        <v>0</v>
      </c>
      <c r="EH99" s="438">
        <v>0</v>
      </c>
      <c r="EI99" s="438">
        <v>0</v>
      </c>
      <c r="EJ99" s="438">
        <v>0</v>
      </c>
      <c r="EK99" s="438">
        <v>0</v>
      </c>
      <c r="EL99" s="438">
        <v>0</v>
      </c>
      <c r="EM99" s="438">
        <v>0</v>
      </c>
      <c r="EN99" s="438">
        <v>0</v>
      </c>
      <c r="EO99" s="438">
        <v>0</v>
      </c>
      <c r="EP99" s="438">
        <v>0</v>
      </c>
      <c r="EQ99" s="438">
        <v>0</v>
      </c>
      <c r="ER99" s="438">
        <v>0</v>
      </c>
      <c r="ES99" s="438">
        <v>0</v>
      </c>
      <c r="ET99" s="438">
        <v>264667</v>
      </c>
      <c r="EU99" s="438">
        <v>0</v>
      </c>
      <c r="EV99" s="438">
        <v>0</v>
      </c>
      <c r="EW99" s="438">
        <v>0</v>
      </c>
      <c r="EX99" s="438">
        <v>0</v>
      </c>
      <c r="EZ99" s="438">
        <v>0</v>
      </c>
      <c r="FA99" s="438">
        <v>0</v>
      </c>
      <c r="FB99" s="438">
        <v>0</v>
      </c>
      <c r="FC99" s="438">
        <v>0</v>
      </c>
      <c r="FD99" s="438">
        <v>0</v>
      </c>
      <c r="FE99" s="438">
        <v>0</v>
      </c>
      <c r="FF99" s="438">
        <v>0</v>
      </c>
      <c r="FG99" s="437">
        <v>0</v>
      </c>
      <c r="FH99" s="437">
        <v>0</v>
      </c>
      <c r="FI99" s="438">
        <v>0</v>
      </c>
      <c r="FJ99" s="438">
        <v>0</v>
      </c>
      <c r="FK99" s="438">
        <v>0</v>
      </c>
      <c r="FL99" s="438">
        <v>790192</v>
      </c>
      <c r="FM99" s="438">
        <v>0</v>
      </c>
      <c r="FN99" s="438">
        <v>0</v>
      </c>
      <c r="FO99" s="438">
        <v>0</v>
      </c>
      <c r="FP99" s="438">
        <v>0</v>
      </c>
      <c r="FQ99" s="438">
        <v>0</v>
      </c>
      <c r="FR99" s="438">
        <v>0</v>
      </c>
      <c r="FS99" s="438">
        <v>0</v>
      </c>
      <c r="FT99" s="438">
        <v>525525</v>
      </c>
      <c r="FU99" s="438">
        <v>0</v>
      </c>
      <c r="FV99" s="438">
        <v>0</v>
      </c>
      <c r="FW99" s="438">
        <v>0</v>
      </c>
      <c r="FX99" s="438">
        <v>0</v>
      </c>
      <c r="FY99" s="438">
        <v>0</v>
      </c>
      <c r="FZ99" s="438">
        <v>0</v>
      </c>
      <c r="GA99" s="438">
        <v>0</v>
      </c>
      <c r="GB99" s="438">
        <v>0</v>
      </c>
      <c r="GC99" s="438">
        <v>0</v>
      </c>
      <c r="GD99" s="438">
        <v>0</v>
      </c>
      <c r="GF99" s="438">
        <v>0</v>
      </c>
      <c r="GG99" s="438">
        <v>0</v>
      </c>
      <c r="GH99" s="438">
        <v>0</v>
      </c>
      <c r="GI99" s="438">
        <v>0</v>
      </c>
      <c r="GJ99" s="438">
        <v>0</v>
      </c>
      <c r="GK99" s="438">
        <v>0</v>
      </c>
      <c r="GL99" s="438">
        <v>0</v>
      </c>
      <c r="GM99" s="438">
        <v>0</v>
      </c>
      <c r="GN99" s="438">
        <v>0</v>
      </c>
      <c r="GO99" s="438">
        <v>0</v>
      </c>
      <c r="GP99" s="438">
        <v>0</v>
      </c>
      <c r="GQ99" s="438">
        <v>0</v>
      </c>
      <c r="GR99" s="438">
        <v>0</v>
      </c>
      <c r="GS99" s="438">
        <v>0</v>
      </c>
      <c r="GT99" s="438">
        <v>0</v>
      </c>
      <c r="HB99" s="438">
        <v>0</v>
      </c>
      <c r="HC99" s="437">
        <v>0</v>
      </c>
      <c r="HD99" s="438">
        <v>0</v>
      </c>
    </row>
    <row r="100" spans="1:212" x14ac:dyDescent="0.2">
      <c r="A100" s="438">
        <v>25836</v>
      </c>
      <c r="B100" s="442">
        <v>101802</v>
      </c>
      <c r="C100" s="438">
        <v>9</v>
      </c>
      <c r="D100" s="438">
        <v>2020</v>
      </c>
      <c r="E100" s="438">
        <v>5392</v>
      </c>
      <c r="F100" s="438">
        <v>0</v>
      </c>
      <c r="G100" s="438">
        <v>1002.5</v>
      </c>
      <c r="H100" s="438">
        <v>992.71</v>
      </c>
      <c r="I100" s="438">
        <v>992.71</v>
      </c>
      <c r="J100" s="438">
        <v>1002.5</v>
      </c>
      <c r="K100" s="438">
        <v>0</v>
      </c>
      <c r="L100" s="437">
        <v>6544</v>
      </c>
      <c r="M100" s="438">
        <v>0</v>
      </c>
      <c r="N100" s="438">
        <v>0</v>
      </c>
      <c r="P100" s="438">
        <v>1012.098</v>
      </c>
      <c r="Q100" s="438">
        <v>0</v>
      </c>
      <c r="R100" s="438">
        <v>250582</v>
      </c>
      <c r="S100" s="437">
        <v>247.58699999999999</v>
      </c>
      <c r="U100" s="438">
        <v>0</v>
      </c>
      <c r="V100" s="438">
        <v>874.69299999999998</v>
      </c>
      <c r="W100" s="438">
        <v>572399</v>
      </c>
      <c r="X100" s="438">
        <v>572399</v>
      </c>
      <c r="Z100" s="438">
        <v>0</v>
      </c>
      <c r="AA100" s="438">
        <v>1</v>
      </c>
      <c r="AB100" s="438">
        <v>1</v>
      </c>
      <c r="AC100" s="438">
        <v>0</v>
      </c>
      <c r="AD100" s="438" t="s">
        <v>332</v>
      </c>
      <c r="AE100" s="438">
        <v>0</v>
      </c>
      <c r="AH100" s="438">
        <v>0</v>
      </c>
      <c r="AI100" s="438">
        <v>0</v>
      </c>
      <c r="AJ100" s="437">
        <v>5105</v>
      </c>
      <c r="AK100" s="438" t="s">
        <v>561</v>
      </c>
      <c r="AL100" s="438" t="s">
        <v>52</v>
      </c>
      <c r="AM100" s="438">
        <v>0</v>
      </c>
      <c r="AN100" s="438">
        <v>0</v>
      </c>
      <c r="AO100" s="438">
        <v>0</v>
      </c>
      <c r="AP100" s="438">
        <v>0</v>
      </c>
      <c r="AQ100" s="438">
        <v>0</v>
      </c>
      <c r="AR100" s="438">
        <v>0</v>
      </c>
      <c r="AS100" s="438">
        <v>0</v>
      </c>
      <c r="AT100" s="438">
        <v>0</v>
      </c>
      <c r="AU100" s="438">
        <v>0</v>
      </c>
      <c r="AV100" s="438">
        <v>0</v>
      </c>
      <c r="AW100" s="438">
        <v>10026172</v>
      </c>
      <c r="AX100" s="438">
        <v>10026172</v>
      </c>
      <c r="AY100" s="438">
        <v>0</v>
      </c>
      <c r="AZ100" s="438">
        <v>250582</v>
      </c>
      <c r="BA100" s="438">
        <v>0</v>
      </c>
      <c r="BB100" s="438">
        <v>0</v>
      </c>
      <c r="BC100" s="438">
        <v>0</v>
      </c>
      <c r="BD100" s="438">
        <v>0</v>
      </c>
      <c r="BE100" s="438">
        <v>0</v>
      </c>
      <c r="BF100" s="438">
        <v>8535786</v>
      </c>
      <c r="BG100" s="438">
        <v>0</v>
      </c>
      <c r="BH100" s="438">
        <v>0</v>
      </c>
      <c r="BI100" s="438">
        <v>0</v>
      </c>
      <c r="BJ100" s="438">
        <v>12</v>
      </c>
      <c r="BK100" s="438">
        <v>0</v>
      </c>
      <c r="BL100" s="438">
        <v>0</v>
      </c>
      <c r="BM100" s="438">
        <v>0</v>
      </c>
      <c r="BN100" s="438">
        <v>0</v>
      </c>
      <c r="BO100" s="438">
        <v>0</v>
      </c>
      <c r="BP100" s="438">
        <v>0</v>
      </c>
      <c r="BQ100" s="437">
        <v>5392</v>
      </c>
      <c r="BR100" s="438">
        <v>1</v>
      </c>
      <c r="BS100" s="438">
        <v>0</v>
      </c>
      <c r="BT100" s="438">
        <v>0</v>
      </c>
      <c r="BU100" s="438">
        <v>0</v>
      </c>
      <c r="BV100" s="438">
        <v>0</v>
      </c>
      <c r="BW100" s="438">
        <v>0</v>
      </c>
      <c r="BX100" s="438">
        <v>0</v>
      </c>
      <c r="BY100" s="438">
        <v>0</v>
      </c>
      <c r="BZ100" s="438">
        <v>0</v>
      </c>
      <c r="CA100" s="438">
        <v>0</v>
      </c>
      <c r="CB100" s="438">
        <v>0</v>
      </c>
      <c r="CC100" s="438">
        <v>0</v>
      </c>
      <c r="CG100" s="438">
        <v>0</v>
      </c>
      <c r="CH100" s="438">
        <v>0</v>
      </c>
      <c r="CI100" s="438">
        <v>0</v>
      </c>
      <c r="CJ100" s="438">
        <v>4</v>
      </c>
      <c r="CK100" s="438">
        <v>0</v>
      </c>
      <c r="CL100" s="438">
        <v>0</v>
      </c>
      <c r="CN100" s="438">
        <v>0</v>
      </c>
      <c r="CO100" s="438">
        <v>1</v>
      </c>
      <c r="CP100" s="438">
        <v>0</v>
      </c>
      <c r="CQ100" s="438">
        <v>0</v>
      </c>
      <c r="CR100" s="438">
        <v>1002.5</v>
      </c>
      <c r="CS100" s="438">
        <v>0</v>
      </c>
      <c r="CT100" s="438">
        <v>0</v>
      </c>
      <c r="CU100" s="438">
        <v>0</v>
      </c>
      <c r="CV100" s="438">
        <v>0</v>
      </c>
      <c r="CW100" s="438">
        <v>0</v>
      </c>
      <c r="CX100" s="438">
        <v>0</v>
      </c>
      <c r="CY100" s="438">
        <v>0</v>
      </c>
      <c r="CZ100" s="438">
        <v>0</v>
      </c>
      <c r="DA100" s="438">
        <v>1</v>
      </c>
      <c r="DB100" s="438">
        <v>6496294</v>
      </c>
      <c r="DC100" s="438">
        <v>0</v>
      </c>
      <c r="DD100" s="438">
        <v>0</v>
      </c>
      <c r="DE100" s="438">
        <v>1435754</v>
      </c>
      <c r="DF100" s="438">
        <v>1435754</v>
      </c>
      <c r="DG100" s="438">
        <v>1097</v>
      </c>
      <c r="DH100" s="438">
        <v>0</v>
      </c>
      <c r="DI100" s="438">
        <v>0</v>
      </c>
      <c r="DK100" s="437">
        <v>5392</v>
      </c>
      <c r="DL100" s="438">
        <v>0</v>
      </c>
      <c r="DM100" s="438">
        <v>265052</v>
      </c>
      <c r="DN100" s="438">
        <v>0</v>
      </c>
      <c r="DO100" s="438">
        <v>0</v>
      </c>
      <c r="DP100" s="438">
        <v>0</v>
      </c>
      <c r="DQ100" s="438">
        <v>0</v>
      </c>
      <c r="DR100" s="438">
        <v>0</v>
      </c>
      <c r="DS100" s="438">
        <v>0</v>
      </c>
      <c r="DT100" s="438">
        <v>0</v>
      </c>
      <c r="DU100" s="438">
        <v>0</v>
      </c>
      <c r="DV100" s="438">
        <v>0</v>
      </c>
      <c r="DW100" s="438">
        <v>0</v>
      </c>
      <c r="DX100" s="438">
        <v>0</v>
      </c>
      <c r="DY100" s="438">
        <v>0</v>
      </c>
      <c r="DZ100" s="438">
        <v>0</v>
      </c>
      <c r="EA100" s="438">
        <v>0</v>
      </c>
      <c r="EB100" s="438">
        <v>0</v>
      </c>
      <c r="EC100" s="438">
        <v>6.53</v>
      </c>
      <c r="ED100" s="438">
        <v>47006</v>
      </c>
      <c r="EE100" s="438">
        <v>0</v>
      </c>
      <c r="EF100" s="438">
        <v>0</v>
      </c>
      <c r="EG100" s="438">
        <v>0</v>
      </c>
      <c r="EH100" s="438">
        <v>218046</v>
      </c>
      <c r="EI100" s="438">
        <v>0</v>
      </c>
      <c r="EJ100" s="438">
        <v>0</v>
      </c>
      <c r="EK100" s="438">
        <v>7.8150000000000004</v>
      </c>
      <c r="EL100" s="438">
        <v>0</v>
      </c>
      <c r="EM100" s="438">
        <v>0</v>
      </c>
      <c r="EN100" s="438">
        <v>1.9750000000000001</v>
      </c>
      <c r="EO100" s="438">
        <v>0</v>
      </c>
      <c r="EP100" s="438">
        <v>0</v>
      </c>
      <c r="EQ100" s="438">
        <v>9.7899999999999991</v>
      </c>
      <c r="ER100" s="438">
        <v>0</v>
      </c>
      <c r="ES100" s="438">
        <v>33.32</v>
      </c>
      <c r="ET100" s="438">
        <v>0</v>
      </c>
      <c r="EU100" s="438">
        <v>250582</v>
      </c>
      <c r="EV100" s="438">
        <v>0</v>
      </c>
      <c r="EW100" s="438">
        <v>0</v>
      </c>
      <c r="EX100" s="438">
        <v>0</v>
      </c>
      <c r="EZ100" s="438">
        <v>8518917</v>
      </c>
      <c r="FA100" s="438">
        <v>0</v>
      </c>
      <c r="FB100" s="438">
        <v>8769499</v>
      </c>
      <c r="FC100" s="438">
        <v>0.97334900000000002</v>
      </c>
      <c r="FD100" s="438">
        <v>0</v>
      </c>
      <c r="FE100" s="438">
        <v>1227484</v>
      </c>
      <c r="FF100" s="438">
        <v>279771</v>
      </c>
      <c r="FG100" s="437">
        <v>5.7854999999999997E-2</v>
      </c>
      <c r="FH100" s="437">
        <v>5.2366000000000003E-2</v>
      </c>
      <c r="FI100" s="438">
        <v>0</v>
      </c>
      <c r="FJ100" s="438">
        <v>0</v>
      </c>
      <c r="FK100" s="438">
        <v>1672.175</v>
      </c>
      <c r="FL100" s="438">
        <v>10276754</v>
      </c>
      <c r="FM100" s="438">
        <v>0</v>
      </c>
      <c r="FN100" s="438">
        <v>0</v>
      </c>
      <c r="FO100" s="438">
        <v>0</v>
      </c>
      <c r="FP100" s="438">
        <v>0</v>
      </c>
      <c r="FQ100" s="438">
        <v>0</v>
      </c>
      <c r="FR100" s="438">
        <v>0</v>
      </c>
      <c r="FS100" s="438">
        <v>0</v>
      </c>
      <c r="FT100" s="438">
        <v>0</v>
      </c>
      <c r="FU100" s="438">
        <v>0</v>
      </c>
      <c r="FV100" s="438">
        <v>0</v>
      </c>
      <c r="FW100" s="438">
        <v>0</v>
      </c>
      <c r="FX100" s="438">
        <v>0</v>
      </c>
      <c r="FY100" s="438">
        <v>0</v>
      </c>
      <c r="FZ100" s="438">
        <v>0</v>
      </c>
      <c r="GA100" s="438">
        <v>0</v>
      </c>
      <c r="GB100" s="438">
        <v>0</v>
      </c>
      <c r="GC100" s="438">
        <v>0</v>
      </c>
      <c r="GD100" s="438">
        <v>0</v>
      </c>
      <c r="GF100" s="438">
        <v>0</v>
      </c>
      <c r="GG100" s="438">
        <v>0</v>
      </c>
      <c r="GH100" s="438">
        <v>0</v>
      </c>
      <c r="GI100" s="438">
        <v>0</v>
      </c>
      <c r="GJ100" s="438">
        <v>0</v>
      </c>
      <c r="GK100" s="438">
        <v>4767.6660000000002</v>
      </c>
      <c r="GL100" s="438">
        <v>18228</v>
      </c>
      <c r="GM100" s="438">
        <v>0</v>
      </c>
      <c r="GN100" s="438">
        <v>0</v>
      </c>
      <c r="GO100" s="438">
        <v>0</v>
      </c>
      <c r="GP100" s="438">
        <v>10276754</v>
      </c>
      <c r="GQ100" s="438">
        <v>10276754</v>
      </c>
      <c r="GR100" s="438">
        <v>0</v>
      </c>
      <c r="GS100" s="438">
        <v>0</v>
      </c>
      <c r="GT100" s="438">
        <v>0</v>
      </c>
      <c r="HB100" s="438">
        <v>0</v>
      </c>
      <c r="HC100" s="437">
        <v>6.0754000000000002E-2</v>
      </c>
      <c r="HD100" s="438">
        <v>0</v>
      </c>
    </row>
    <row r="101" spans="1:212" x14ac:dyDescent="0.2">
      <c r="A101" s="438">
        <v>25836</v>
      </c>
      <c r="B101" s="442">
        <v>101803</v>
      </c>
      <c r="C101" s="438">
        <v>9</v>
      </c>
      <c r="D101" s="438">
        <v>2020</v>
      </c>
      <c r="E101" s="438">
        <v>5392</v>
      </c>
      <c r="F101" s="438">
        <v>0</v>
      </c>
      <c r="G101" s="438">
        <v>869.59199999999998</v>
      </c>
      <c r="H101" s="438">
        <v>852.17399999999998</v>
      </c>
      <c r="I101" s="438">
        <v>852.17399999999998</v>
      </c>
      <c r="J101" s="438">
        <v>869.59199999999998</v>
      </c>
      <c r="K101" s="438">
        <v>0</v>
      </c>
      <c r="L101" s="437">
        <v>6544</v>
      </c>
      <c r="M101" s="438">
        <v>0</v>
      </c>
      <c r="N101" s="438">
        <v>0</v>
      </c>
      <c r="P101" s="438">
        <v>869.96799999999996</v>
      </c>
      <c r="Q101" s="438">
        <v>0</v>
      </c>
      <c r="R101" s="438">
        <v>215393</v>
      </c>
      <c r="S101" s="437">
        <v>247.58699999999999</v>
      </c>
      <c r="U101" s="438">
        <v>0</v>
      </c>
      <c r="V101" s="438">
        <v>18.988</v>
      </c>
      <c r="W101" s="438">
        <v>12426</v>
      </c>
      <c r="X101" s="438">
        <v>12426</v>
      </c>
      <c r="Z101" s="438">
        <v>0</v>
      </c>
      <c r="AA101" s="438">
        <v>1</v>
      </c>
      <c r="AB101" s="438">
        <v>1</v>
      </c>
      <c r="AC101" s="438">
        <v>0</v>
      </c>
      <c r="AD101" s="438" t="s">
        <v>332</v>
      </c>
      <c r="AE101" s="438">
        <v>0</v>
      </c>
      <c r="AH101" s="438">
        <v>0</v>
      </c>
      <c r="AI101" s="438">
        <v>0</v>
      </c>
      <c r="AJ101" s="437">
        <v>5105</v>
      </c>
      <c r="AK101" s="438" t="s">
        <v>561</v>
      </c>
      <c r="AL101" s="438" t="s">
        <v>98</v>
      </c>
      <c r="AM101" s="438">
        <v>0</v>
      </c>
      <c r="AN101" s="438">
        <v>0</v>
      </c>
      <c r="AO101" s="438">
        <v>0</v>
      </c>
      <c r="AP101" s="438">
        <v>0</v>
      </c>
      <c r="AQ101" s="438">
        <v>0</v>
      </c>
      <c r="AR101" s="438">
        <v>0</v>
      </c>
      <c r="AS101" s="438">
        <v>0</v>
      </c>
      <c r="AT101" s="438">
        <v>0</v>
      </c>
      <c r="AU101" s="438">
        <v>0</v>
      </c>
      <c r="AV101" s="438">
        <v>0</v>
      </c>
      <c r="AW101" s="438">
        <v>7385719</v>
      </c>
      <c r="AX101" s="438">
        <v>7378594</v>
      </c>
      <c r="AY101" s="438">
        <v>0</v>
      </c>
      <c r="AZ101" s="438">
        <v>215393</v>
      </c>
      <c r="BA101" s="438">
        <v>14.25</v>
      </c>
      <c r="BB101" s="438">
        <v>0</v>
      </c>
      <c r="BC101" s="438">
        <v>0</v>
      </c>
      <c r="BD101" s="438">
        <v>0</v>
      </c>
      <c r="BE101" s="438">
        <v>0</v>
      </c>
      <c r="BF101" s="438">
        <v>6307503</v>
      </c>
      <c r="BG101" s="438">
        <v>0</v>
      </c>
      <c r="BH101" s="438">
        <v>0</v>
      </c>
      <c r="BI101" s="438">
        <v>0</v>
      </c>
      <c r="BJ101" s="438">
        <v>12</v>
      </c>
      <c r="BK101" s="438">
        <v>0</v>
      </c>
      <c r="BL101" s="438">
        <v>0</v>
      </c>
      <c r="BM101" s="438">
        <v>0</v>
      </c>
      <c r="BN101" s="438">
        <v>0</v>
      </c>
      <c r="BO101" s="438">
        <v>0</v>
      </c>
      <c r="BP101" s="438">
        <v>0</v>
      </c>
      <c r="BQ101" s="437">
        <v>5392</v>
      </c>
      <c r="BR101" s="438">
        <v>1</v>
      </c>
      <c r="BS101" s="438">
        <v>0</v>
      </c>
      <c r="BT101" s="438">
        <v>0</v>
      </c>
      <c r="BU101" s="438">
        <v>0</v>
      </c>
      <c r="BV101" s="438">
        <v>0</v>
      </c>
      <c r="BW101" s="438">
        <v>0</v>
      </c>
      <c r="BX101" s="438">
        <v>0</v>
      </c>
      <c r="BY101" s="438">
        <v>0</v>
      </c>
      <c r="BZ101" s="438">
        <v>0</v>
      </c>
      <c r="CA101" s="438">
        <v>0</v>
      </c>
      <c r="CB101" s="438">
        <v>0</v>
      </c>
      <c r="CC101" s="438">
        <v>0</v>
      </c>
      <c r="CG101" s="438">
        <v>0</v>
      </c>
      <c r="CH101" s="438">
        <v>7125</v>
      </c>
      <c r="CI101" s="438">
        <v>0</v>
      </c>
      <c r="CJ101" s="438">
        <v>5</v>
      </c>
      <c r="CK101" s="438">
        <v>0</v>
      </c>
      <c r="CL101" s="438">
        <v>0</v>
      </c>
      <c r="CN101" s="438">
        <v>0</v>
      </c>
      <c r="CO101" s="438">
        <v>1</v>
      </c>
      <c r="CP101" s="438">
        <v>0</v>
      </c>
      <c r="CQ101" s="438">
        <v>0</v>
      </c>
      <c r="CR101" s="438">
        <v>869.59199999999998</v>
      </c>
      <c r="CS101" s="438">
        <v>0</v>
      </c>
      <c r="CT101" s="438">
        <v>0</v>
      </c>
      <c r="CU101" s="438">
        <v>0</v>
      </c>
      <c r="CV101" s="438">
        <v>0</v>
      </c>
      <c r="CW101" s="438">
        <v>0</v>
      </c>
      <c r="CX101" s="438">
        <v>0</v>
      </c>
      <c r="CY101" s="438">
        <v>0</v>
      </c>
      <c r="CZ101" s="438">
        <v>0</v>
      </c>
      <c r="DA101" s="438">
        <v>1</v>
      </c>
      <c r="DB101" s="438">
        <v>5576627</v>
      </c>
      <c r="DC101" s="438">
        <v>0</v>
      </c>
      <c r="DD101" s="438">
        <v>14.25</v>
      </c>
      <c r="DE101" s="438">
        <v>297320</v>
      </c>
      <c r="DF101" s="438">
        <v>297320</v>
      </c>
      <c r="DG101" s="438">
        <v>227.17</v>
      </c>
      <c r="DH101" s="438">
        <v>0</v>
      </c>
      <c r="DI101" s="438">
        <v>0</v>
      </c>
      <c r="DK101" s="437">
        <v>5392</v>
      </c>
      <c r="DL101" s="438">
        <v>0</v>
      </c>
      <c r="DM101" s="438">
        <v>540189</v>
      </c>
      <c r="DN101" s="438">
        <v>0</v>
      </c>
      <c r="DO101" s="438">
        <v>0</v>
      </c>
      <c r="DP101" s="438">
        <v>0</v>
      </c>
      <c r="DQ101" s="438">
        <v>0</v>
      </c>
      <c r="DR101" s="438">
        <v>0</v>
      </c>
      <c r="DS101" s="438">
        <v>0</v>
      </c>
      <c r="DT101" s="438">
        <v>0</v>
      </c>
      <c r="DU101" s="438">
        <v>0</v>
      </c>
      <c r="DV101" s="438">
        <v>0</v>
      </c>
      <c r="DW101" s="438">
        <v>0</v>
      </c>
      <c r="DX101" s="438">
        <v>0</v>
      </c>
      <c r="DY101" s="438">
        <v>0</v>
      </c>
      <c r="DZ101" s="438">
        <v>0</v>
      </c>
      <c r="EA101" s="438">
        <v>0</v>
      </c>
      <c r="EB101" s="438">
        <v>0</v>
      </c>
      <c r="EC101" s="438">
        <v>40.712000000000003</v>
      </c>
      <c r="ED101" s="438">
        <v>293061</v>
      </c>
      <c r="EE101" s="438">
        <v>0</v>
      </c>
      <c r="EF101" s="438">
        <v>0</v>
      </c>
      <c r="EG101" s="438">
        <v>0</v>
      </c>
      <c r="EH101" s="438">
        <v>247128</v>
      </c>
      <c r="EI101" s="438">
        <v>0</v>
      </c>
      <c r="EJ101" s="438">
        <v>0</v>
      </c>
      <c r="EK101" s="438">
        <v>9.0470000000000006</v>
      </c>
      <c r="EL101" s="438">
        <v>0</v>
      </c>
      <c r="EM101" s="438">
        <v>0.436</v>
      </c>
      <c r="EN101" s="438">
        <v>1.863</v>
      </c>
      <c r="EO101" s="438">
        <v>0</v>
      </c>
      <c r="EP101" s="438">
        <v>0</v>
      </c>
      <c r="EQ101" s="438">
        <v>11.346</v>
      </c>
      <c r="ER101" s="438">
        <v>0</v>
      </c>
      <c r="ES101" s="438">
        <v>37.764000000000003</v>
      </c>
      <c r="ET101" s="438">
        <v>7125</v>
      </c>
      <c r="EU101" s="438">
        <v>215393</v>
      </c>
      <c r="EV101" s="438">
        <v>0</v>
      </c>
      <c r="EW101" s="438">
        <v>0</v>
      </c>
      <c r="EX101" s="438">
        <v>0</v>
      </c>
      <c r="EZ101" s="438">
        <v>6264811</v>
      </c>
      <c r="FA101" s="438">
        <v>0</v>
      </c>
      <c r="FB101" s="438">
        <v>6480204</v>
      </c>
      <c r="FC101" s="438">
        <v>0.97334900000000002</v>
      </c>
      <c r="FD101" s="438">
        <v>0</v>
      </c>
      <c r="FE101" s="438">
        <v>907047</v>
      </c>
      <c r="FF101" s="438">
        <v>206736</v>
      </c>
      <c r="FG101" s="437">
        <v>5.7854999999999997E-2</v>
      </c>
      <c r="FH101" s="437">
        <v>5.2366000000000003E-2</v>
      </c>
      <c r="FI101" s="438">
        <v>0</v>
      </c>
      <c r="FJ101" s="438">
        <v>0</v>
      </c>
      <c r="FK101" s="438">
        <v>1235.6510000000001</v>
      </c>
      <c r="FL101" s="438">
        <v>7601112</v>
      </c>
      <c r="FM101" s="438">
        <v>0</v>
      </c>
      <c r="FN101" s="438">
        <v>0</v>
      </c>
      <c r="FO101" s="438">
        <v>0</v>
      </c>
      <c r="FP101" s="438">
        <v>0</v>
      </c>
      <c r="FQ101" s="438">
        <v>0</v>
      </c>
      <c r="FR101" s="438">
        <v>0</v>
      </c>
      <c r="FS101" s="438">
        <v>0</v>
      </c>
      <c r="FT101" s="438">
        <v>0</v>
      </c>
      <c r="FU101" s="438">
        <v>0</v>
      </c>
      <c r="FV101" s="438">
        <v>0</v>
      </c>
      <c r="FW101" s="438">
        <v>0</v>
      </c>
      <c r="FX101" s="438">
        <v>0</v>
      </c>
      <c r="FY101" s="438">
        <v>0</v>
      </c>
      <c r="FZ101" s="438">
        <v>0</v>
      </c>
      <c r="GA101" s="438">
        <v>0</v>
      </c>
      <c r="GB101" s="438">
        <v>53642</v>
      </c>
      <c r="GC101" s="438">
        <v>53642</v>
      </c>
      <c r="GD101" s="438">
        <v>6.0720000000000001</v>
      </c>
      <c r="GF101" s="438">
        <v>0</v>
      </c>
      <c r="GG101" s="438">
        <v>0</v>
      </c>
      <c r="GH101" s="438">
        <v>0</v>
      </c>
      <c r="GI101" s="438">
        <v>0</v>
      </c>
      <c r="GJ101" s="438">
        <v>0</v>
      </c>
      <c r="GK101" s="438">
        <v>4706.53</v>
      </c>
      <c r="GL101" s="438">
        <v>8134</v>
      </c>
      <c r="GM101" s="438">
        <v>0</v>
      </c>
      <c r="GN101" s="438">
        <v>0</v>
      </c>
      <c r="GO101" s="438">
        <v>0</v>
      </c>
      <c r="GP101" s="438">
        <v>7593987</v>
      </c>
      <c r="GQ101" s="438">
        <v>7593987</v>
      </c>
      <c r="GR101" s="438">
        <v>0</v>
      </c>
      <c r="GS101" s="438">
        <v>0</v>
      </c>
      <c r="GT101" s="438">
        <v>0</v>
      </c>
      <c r="HB101" s="438">
        <v>0</v>
      </c>
      <c r="HC101" s="437">
        <v>6.0754000000000002E-2</v>
      </c>
      <c r="HD101" s="438">
        <v>0</v>
      </c>
    </row>
    <row r="102" spans="1:212" x14ac:dyDescent="0.2">
      <c r="A102" s="438">
        <v>25836</v>
      </c>
      <c r="B102" s="442">
        <v>101804</v>
      </c>
      <c r="C102" s="438">
        <v>9</v>
      </c>
      <c r="D102" s="438">
        <v>2020</v>
      </c>
      <c r="E102" s="438">
        <v>5392</v>
      </c>
      <c r="F102" s="438">
        <v>0</v>
      </c>
      <c r="G102" s="438">
        <v>853.66800000000001</v>
      </c>
      <c r="H102" s="438">
        <v>802.70100000000002</v>
      </c>
      <c r="I102" s="438">
        <v>802.70100000000002</v>
      </c>
      <c r="J102" s="438">
        <v>853.66800000000001</v>
      </c>
      <c r="K102" s="438">
        <v>0</v>
      </c>
      <c r="L102" s="437">
        <v>6544</v>
      </c>
      <c r="M102" s="438">
        <v>0</v>
      </c>
      <c r="N102" s="438">
        <v>0</v>
      </c>
      <c r="P102" s="438">
        <v>859.61500000000001</v>
      </c>
      <c r="Q102" s="438">
        <v>0</v>
      </c>
      <c r="R102" s="438">
        <v>212829</v>
      </c>
      <c r="S102" s="437">
        <v>247.58699999999999</v>
      </c>
      <c r="U102" s="438">
        <v>0</v>
      </c>
      <c r="V102" s="438">
        <v>376.61799999999999</v>
      </c>
      <c r="W102" s="438">
        <v>246459</v>
      </c>
      <c r="X102" s="438">
        <v>246459</v>
      </c>
      <c r="Z102" s="438">
        <v>0</v>
      </c>
      <c r="AA102" s="438">
        <v>1</v>
      </c>
      <c r="AB102" s="438">
        <v>1</v>
      </c>
      <c r="AC102" s="438">
        <v>0</v>
      </c>
      <c r="AD102" s="438" t="s">
        <v>332</v>
      </c>
      <c r="AE102" s="438">
        <v>0</v>
      </c>
      <c r="AH102" s="438">
        <v>0</v>
      </c>
      <c r="AI102" s="438">
        <v>0</v>
      </c>
      <c r="AJ102" s="437">
        <v>5105</v>
      </c>
      <c r="AK102" s="438" t="s">
        <v>561</v>
      </c>
      <c r="AL102" s="438" t="s">
        <v>7</v>
      </c>
      <c r="AM102" s="438">
        <v>0</v>
      </c>
      <c r="AN102" s="438">
        <v>0</v>
      </c>
      <c r="AO102" s="438">
        <v>0</v>
      </c>
      <c r="AP102" s="438">
        <v>0</v>
      </c>
      <c r="AQ102" s="438">
        <v>0</v>
      </c>
      <c r="AR102" s="438">
        <v>0</v>
      </c>
      <c r="AS102" s="438">
        <v>0</v>
      </c>
      <c r="AT102" s="438">
        <v>0</v>
      </c>
      <c r="AU102" s="438">
        <v>0</v>
      </c>
      <c r="AV102" s="438">
        <v>0</v>
      </c>
      <c r="AW102" s="438">
        <v>8806261</v>
      </c>
      <c r="AX102" s="438">
        <v>8696297</v>
      </c>
      <c r="AY102" s="438">
        <v>0</v>
      </c>
      <c r="AZ102" s="438">
        <v>322793</v>
      </c>
      <c r="BA102" s="438">
        <v>0</v>
      </c>
      <c r="BB102" s="438">
        <v>0</v>
      </c>
      <c r="BC102" s="438">
        <v>0</v>
      </c>
      <c r="BD102" s="438">
        <v>0</v>
      </c>
      <c r="BE102" s="438">
        <v>0</v>
      </c>
      <c r="BF102" s="438">
        <v>7371642</v>
      </c>
      <c r="BG102" s="438">
        <v>0</v>
      </c>
      <c r="BH102" s="438">
        <v>399.86900000000003</v>
      </c>
      <c r="BI102" s="438">
        <v>109964</v>
      </c>
      <c r="BJ102" s="438">
        <v>12</v>
      </c>
      <c r="BK102" s="438">
        <v>0</v>
      </c>
      <c r="BL102" s="438">
        <v>0</v>
      </c>
      <c r="BM102" s="438">
        <v>0</v>
      </c>
      <c r="BN102" s="438">
        <v>0</v>
      </c>
      <c r="BO102" s="438">
        <v>0</v>
      </c>
      <c r="BP102" s="438">
        <v>0</v>
      </c>
      <c r="BQ102" s="437">
        <v>5392</v>
      </c>
      <c r="BR102" s="438">
        <v>1</v>
      </c>
      <c r="BS102" s="438">
        <v>0</v>
      </c>
      <c r="BT102" s="438">
        <v>0</v>
      </c>
      <c r="BU102" s="438">
        <v>0</v>
      </c>
      <c r="BV102" s="438">
        <v>0</v>
      </c>
      <c r="BW102" s="438">
        <v>0</v>
      </c>
      <c r="BX102" s="438">
        <v>0</v>
      </c>
      <c r="BY102" s="438">
        <v>0</v>
      </c>
      <c r="BZ102" s="438">
        <v>0</v>
      </c>
      <c r="CA102" s="438">
        <v>0</v>
      </c>
      <c r="CB102" s="438">
        <v>0</v>
      </c>
      <c r="CC102" s="438">
        <v>0</v>
      </c>
      <c r="CG102" s="438">
        <v>0</v>
      </c>
      <c r="CH102" s="438">
        <v>0</v>
      </c>
      <c r="CI102" s="438">
        <v>0</v>
      </c>
      <c r="CJ102" s="438">
        <v>4</v>
      </c>
      <c r="CK102" s="438">
        <v>0</v>
      </c>
      <c r="CL102" s="438">
        <v>0</v>
      </c>
      <c r="CN102" s="438">
        <v>0</v>
      </c>
      <c r="CO102" s="438">
        <v>1</v>
      </c>
      <c r="CP102" s="438">
        <v>2.0590000000000002</v>
      </c>
      <c r="CQ102" s="438">
        <v>0</v>
      </c>
      <c r="CR102" s="438">
        <v>853.66800000000001</v>
      </c>
      <c r="CS102" s="438">
        <v>0</v>
      </c>
      <c r="CT102" s="438">
        <v>0</v>
      </c>
      <c r="CU102" s="438">
        <v>0</v>
      </c>
      <c r="CV102" s="438">
        <v>0</v>
      </c>
      <c r="CW102" s="438">
        <v>0</v>
      </c>
      <c r="CX102" s="438">
        <v>0</v>
      </c>
      <c r="CY102" s="438">
        <v>0</v>
      </c>
      <c r="CZ102" s="438">
        <v>0</v>
      </c>
      <c r="DA102" s="438">
        <v>1</v>
      </c>
      <c r="DB102" s="438">
        <v>5252875</v>
      </c>
      <c r="DC102" s="438">
        <v>0</v>
      </c>
      <c r="DD102" s="438">
        <v>0</v>
      </c>
      <c r="DE102" s="438">
        <v>1179451</v>
      </c>
      <c r="DF102" s="438">
        <v>1211924</v>
      </c>
      <c r="DG102" s="438">
        <v>901.17</v>
      </c>
      <c r="DH102" s="438">
        <v>0</v>
      </c>
      <c r="DI102" s="438">
        <v>32473</v>
      </c>
      <c r="DK102" s="437">
        <v>5392</v>
      </c>
      <c r="DL102" s="438">
        <v>0</v>
      </c>
      <c r="DM102" s="438">
        <v>589416</v>
      </c>
      <c r="DN102" s="438">
        <v>0</v>
      </c>
      <c r="DO102" s="438">
        <v>0</v>
      </c>
      <c r="DP102" s="438">
        <v>0</v>
      </c>
      <c r="DQ102" s="438">
        <v>0</v>
      </c>
      <c r="DR102" s="438">
        <v>0</v>
      </c>
      <c r="DS102" s="438">
        <v>0</v>
      </c>
      <c r="DT102" s="438">
        <v>0</v>
      </c>
      <c r="DU102" s="438">
        <v>0</v>
      </c>
      <c r="DV102" s="438">
        <v>0</v>
      </c>
      <c r="DW102" s="438">
        <v>0</v>
      </c>
      <c r="DX102" s="438">
        <v>0</v>
      </c>
      <c r="DY102" s="438">
        <v>0</v>
      </c>
      <c r="DZ102" s="438">
        <v>0</v>
      </c>
      <c r="EA102" s="438">
        <v>0</v>
      </c>
      <c r="EB102" s="438">
        <v>0</v>
      </c>
      <c r="EC102" s="438">
        <v>26.657</v>
      </c>
      <c r="ED102" s="438">
        <v>191888</v>
      </c>
      <c r="EE102" s="438">
        <v>0</v>
      </c>
      <c r="EF102" s="438">
        <v>0</v>
      </c>
      <c r="EG102" s="438">
        <v>0</v>
      </c>
      <c r="EH102" s="438">
        <v>397528</v>
      </c>
      <c r="EI102" s="438">
        <v>0</v>
      </c>
      <c r="EJ102" s="438">
        <v>0</v>
      </c>
      <c r="EK102" s="438">
        <v>16.407</v>
      </c>
      <c r="EL102" s="438">
        <v>0</v>
      </c>
      <c r="EM102" s="438">
        <v>3.4369999999999998</v>
      </c>
      <c r="EN102" s="438">
        <v>0.24299999999999999</v>
      </c>
      <c r="EO102" s="438">
        <v>0</v>
      </c>
      <c r="EP102" s="438">
        <v>0</v>
      </c>
      <c r="EQ102" s="438">
        <v>20.087</v>
      </c>
      <c r="ER102" s="438">
        <v>0</v>
      </c>
      <c r="ES102" s="438">
        <v>60.747</v>
      </c>
      <c r="ET102" s="438">
        <v>0</v>
      </c>
      <c r="EU102" s="438">
        <v>322793</v>
      </c>
      <c r="EV102" s="438">
        <v>0</v>
      </c>
      <c r="EW102" s="438">
        <v>0</v>
      </c>
      <c r="EX102" s="438">
        <v>0</v>
      </c>
      <c r="EZ102" s="438">
        <v>7394608</v>
      </c>
      <c r="FA102" s="438">
        <v>0</v>
      </c>
      <c r="FB102" s="438">
        <v>7717401</v>
      </c>
      <c r="FC102" s="438">
        <v>0.97334900000000002</v>
      </c>
      <c r="FD102" s="438">
        <v>0</v>
      </c>
      <c r="FE102" s="438">
        <v>1060075</v>
      </c>
      <c r="FF102" s="438">
        <v>241614</v>
      </c>
      <c r="FG102" s="437">
        <v>5.7854999999999997E-2</v>
      </c>
      <c r="FH102" s="437">
        <v>5.2366000000000003E-2</v>
      </c>
      <c r="FI102" s="438">
        <v>0</v>
      </c>
      <c r="FJ102" s="438">
        <v>0</v>
      </c>
      <c r="FK102" s="438">
        <v>1444.1179999999999</v>
      </c>
      <c r="FL102" s="438">
        <v>9019090</v>
      </c>
      <c r="FM102" s="438">
        <v>0</v>
      </c>
      <c r="FN102" s="438">
        <v>0</v>
      </c>
      <c r="FO102" s="438">
        <v>33957</v>
      </c>
      <c r="FP102" s="438">
        <v>0</v>
      </c>
      <c r="FQ102" s="438">
        <v>33957</v>
      </c>
      <c r="FR102" s="438">
        <v>33957</v>
      </c>
      <c r="FS102" s="438">
        <v>0</v>
      </c>
      <c r="FT102" s="438">
        <v>0</v>
      </c>
      <c r="FU102" s="438">
        <v>0</v>
      </c>
      <c r="FV102" s="438">
        <v>0</v>
      </c>
      <c r="FW102" s="438">
        <v>0</v>
      </c>
      <c r="FX102" s="438">
        <v>0</v>
      </c>
      <c r="FY102" s="438">
        <v>0</v>
      </c>
      <c r="FZ102" s="438">
        <v>0</v>
      </c>
      <c r="GA102" s="438">
        <v>0</v>
      </c>
      <c r="GB102" s="438">
        <v>272806</v>
      </c>
      <c r="GC102" s="438">
        <v>272806</v>
      </c>
      <c r="GD102" s="438">
        <v>30.88</v>
      </c>
      <c r="GF102" s="438">
        <v>0</v>
      </c>
      <c r="GG102" s="438">
        <v>0</v>
      </c>
      <c r="GH102" s="438">
        <v>0</v>
      </c>
      <c r="GI102" s="438">
        <v>0</v>
      </c>
      <c r="GJ102" s="438">
        <v>0</v>
      </c>
      <c r="GK102" s="438">
        <v>4891.79</v>
      </c>
      <c r="GL102" s="438">
        <v>18706</v>
      </c>
      <c r="GM102" s="438">
        <v>0</v>
      </c>
      <c r="GN102" s="438">
        <v>18469</v>
      </c>
      <c r="GO102" s="438">
        <v>0</v>
      </c>
      <c r="GP102" s="438">
        <v>9019090</v>
      </c>
      <c r="GQ102" s="438">
        <v>9019090</v>
      </c>
      <c r="GR102" s="438">
        <v>0</v>
      </c>
      <c r="GS102" s="438">
        <v>0</v>
      </c>
      <c r="GT102" s="438">
        <v>0</v>
      </c>
      <c r="HB102" s="438">
        <v>0</v>
      </c>
      <c r="HC102" s="437">
        <v>6.0754000000000002E-2</v>
      </c>
      <c r="HD102" s="438">
        <v>0</v>
      </c>
    </row>
    <row r="103" spans="1:212" x14ac:dyDescent="0.2">
      <c r="A103" s="438">
        <v>25836</v>
      </c>
      <c r="B103" s="442">
        <v>101806</v>
      </c>
      <c r="C103" s="438">
        <v>9</v>
      </c>
      <c r="D103" s="438">
        <v>2020</v>
      </c>
      <c r="E103" s="438">
        <v>5392</v>
      </c>
      <c r="F103" s="438">
        <v>0</v>
      </c>
      <c r="G103" s="438">
        <v>1256.9349999999999</v>
      </c>
      <c r="H103" s="438">
        <v>1223.229</v>
      </c>
      <c r="I103" s="438">
        <v>1223.229</v>
      </c>
      <c r="J103" s="438">
        <v>1256.9349999999999</v>
      </c>
      <c r="K103" s="438">
        <v>0</v>
      </c>
      <c r="L103" s="437">
        <v>6544</v>
      </c>
      <c r="M103" s="438">
        <v>0</v>
      </c>
      <c r="N103" s="438">
        <v>0</v>
      </c>
      <c r="P103" s="438">
        <v>1260.7180000000001</v>
      </c>
      <c r="Q103" s="438">
        <v>0</v>
      </c>
      <c r="R103" s="438">
        <v>312137</v>
      </c>
      <c r="S103" s="437">
        <v>247.58699999999999</v>
      </c>
      <c r="U103" s="438">
        <v>0</v>
      </c>
      <c r="V103" s="438">
        <v>693.90499999999997</v>
      </c>
      <c r="W103" s="438">
        <v>454091</v>
      </c>
      <c r="X103" s="438">
        <v>454091</v>
      </c>
      <c r="Z103" s="438">
        <v>0</v>
      </c>
      <c r="AA103" s="438">
        <v>1</v>
      </c>
      <c r="AB103" s="438">
        <v>1</v>
      </c>
      <c r="AC103" s="438">
        <v>0</v>
      </c>
      <c r="AD103" s="438" t="s">
        <v>332</v>
      </c>
      <c r="AE103" s="438">
        <v>0</v>
      </c>
      <c r="AH103" s="438">
        <v>0</v>
      </c>
      <c r="AI103" s="438">
        <v>0</v>
      </c>
      <c r="AJ103" s="437">
        <v>5105</v>
      </c>
      <c r="AK103" s="438" t="s">
        <v>561</v>
      </c>
      <c r="AL103" s="438" t="s">
        <v>554</v>
      </c>
      <c r="AM103" s="438">
        <v>0</v>
      </c>
      <c r="AN103" s="438">
        <v>0</v>
      </c>
      <c r="AO103" s="438">
        <v>0</v>
      </c>
      <c r="AP103" s="438">
        <v>0</v>
      </c>
      <c r="AQ103" s="438">
        <v>0</v>
      </c>
      <c r="AR103" s="438">
        <v>0</v>
      </c>
      <c r="AS103" s="438">
        <v>0</v>
      </c>
      <c r="AT103" s="438">
        <v>0</v>
      </c>
      <c r="AU103" s="438">
        <v>0</v>
      </c>
      <c r="AV103" s="438">
        <v>0</v>
      </c>
      <c r="AW103" s="438">
        <v>12562943</v>
      </c>
      <c r="AX103" s="438">
        <v>12453389</v>
      </c>
      <c r="AY103" s="438">
        <v>0</v>
      </c>
      <c r="AZ103" s="438">
        <v>387212</v>
      </c>
      <c r="BA103" s="438">
        <v>64.332999999999998</v>
      </c>
      <c r="BB103" s="438">
        <v>48687</v>
      </c>
      <c r="BC103" s="438">
        <v>48687</v>
      </c>
      <c r="BD103" s="438">
        <v>62</v>
      </c>
      <c r="BE103" s="438">
        <v>0</v>
      </c>
      <c r="BF103" s="438">
        <v>10574305</v>
      </c>
      <c r="BG103" s="438">
        <v>0</v>
      </c>
      <c r="BH103" s="438">
        <v>273</v>
      </c>
      <c r="BI103" s="438">
        <v>75075</v>
      </c>
      <c r="BJ103" s="438">
        <v>12</v>
      </c>
      <c r="BK103" s="438">
        <v>0</v>
      </c>
      <c r="BL103" s="438">
        <v>0</v>
      </c>
      <c r="BM103" s="438">
        <v>0</v>
      </c>
      <c r="BN103" s="438">
        <v>0</v>
      </c>
      <c r="BO103" s="438">
        <v>0</v>
      </c>
      <c r="BP103" s="438">
        <v>0</v>
      </c>
      <c r="BQ103" s="437">
        <v>5392</v>
      </c>
      <c r="BR103" s="438">
        <v>1</v>
      </c>
      <c r="BS103" s="438">
        <v>0</v>
      </c>
      <c r="BT103" s="438">
        <v>0</v>
      </c>
      <c r="BU103" s="438">
        <v>0</v>
      </c>
      <c r="BV103" s="438">
        <v>0</v>
      </c>
      <c r="BW103" s="438">
        <v>0</v>
      </c>
      <c r="BX103" s="438">
        <v>0</v>
      </c>
      <c r="BY103" s="438">
        <v>0</v>
      </c>
      <c r="BZ103" s="438">
        <v>0</v>
      </c>
      <c r="CA103" s="438">
        <v>0</v>
      </c>
      <c r="CB103" s="438">
        <v>0</v>
      </c>
      <c r="CC103" s="438">
        <v>0</v>
      </c>
      <c r="CG103" s="438">
        <v>0</v>
      </c>
      <c r="CH103" s="438">
        <v>34479</v>
      </c>
      <c r="CI103" s="438">
        <v>0</v>
      </c>
      <c r="CJ103" s="438">
        <v>4</v>
      </c>
      <c r="CK103" s="438">
        <v>0</v>
      </c>
      <c r="CL103" s="438">
        <v>0</v>
      </c>
      <c r="CN103" s="438">
        <v>0</v>
      </c>
      <c r="CO103" s="438">
        <v>1</v>
      </c>
      <c r="CP103" s="438">
        <v>0</v>
      </c>
      <c r="CQ103" s="438">
        <v>9.25</v>
      </c>
      <c r="CR103" s="438">
        <v>1256.9349999999999</v>
      </c>
      <c r="CS103" s="438">
        <v>0</v>
      </c>
      <c r="CT103" s="438">
        <v>0</v>
      </c>
      <c r="CU103" s="438">
        <v>0</v>
      </c>
      <c r="CV103" s="438">
        <v>0</v>
      </c>
      <c r="CW103" s="438">
        <v>0</v>
      </c>
      <c r="CX103" s="438">
        <v>0</v>
      </c>
      <c r="CY103" s="438">
        <v>0</v>
      </c>
      <c r="CZ103" s="438">
        <v>0</v>
      </c>
      <c r="DA103" s="438">
        <v>1</v>
      </c>
      <c r="DB103" s="438">
        <v>8004811</v>
      </c>
      <c r="DC103" s="438">
        <v>0</v>
      </c>
      <c r="DD103" s="438">
        <v>0</v>
      </c>
      <c r="DE103" s="438">
        <v>1699477</v>
      </c>
      <c r="DF103" s="438">
        <v>1699477</v>
      </c>
      <c r="DG103" s="438">
        <v>1298.5</v>
      </c>
      <c r="DH103" s="438">
        <v>0</v>
      </c>
      <c r="DI103" s="438">
        <v>0</v>
      </c>
      <c r="DK103" s="437">
        <v>5392</v>
      </c>
      <c r="DL103" s="438">
        <v>0</v>
      </c>
      <c r="DM103" s="438">
        <v>549350</v>
      </c>
      <c r="DN103" s="438">
        <v>0</v>
      </c>
      <c r="DO103" s="438">
        <v>0</v>
      </c>
      <c r="DP103" s="438">
        <v>0</v>
      </c>
      <c r="DQ103" s="438">
        <v>0</v>
      </c>
      <c r="DR103" s="438">
        <v>0</v>
      </c>
      <c r="DS103" s="438">
        <v>0</v>
      </c>
      <c r="DT103" s="438">
        <v>0</v>
      </c>
      <c r="DU103" s="438">
        <v>0</v>
      </c>
      <c r="DV103" s="438">
        <v>0</v>
      </c>
      <c r="DW103" s="438">
        <v>0</v>
      </c>
      <c r="DX103" s="438">
        <v>0</v>
      </c>
      <c r="DY103" s="438">
        <v>0</v>
      </c>
      <c r="DZ103" s="438">
        <v>0</v>
      </c>
      <c r="EA103" s="438">
        <v>0</v>
      </c>
      <c r="EB103" s="438">
        <v>0</v>
      </c>
      <c r="EC103" s="438">
        <v>15.622</v>
      </c>
      <c r="ED103" s="438">
        <v>112453</v>
      </c>
      <c r="EE103" s="438">
        <v>0</v>
      </c>
      <c r="EF103" s="438">
        <v>0</v>
      </c>
      <c r="EG103" s="438">
        <v>0</v>
      </c>
      <c r="EH103" s="438">
        <v>436897</v>
      </c>
      <c r="EI103" s="438">
        <v>0</v>
      </c>
      <c r="EJ103" s="438">
        <v>0</v>
      </c>
      <c r="EK103" s="438">
        <v>16.561</v>
      </c>
      <c r="EL103" s="438">
        <v>0</v>
      </c>
      <c r="EM103" s="438">
        <v>3.9249999999999998</v>
      </c>
      <c r="EN103" s="438">
        <v>1.0609999999999999</v>
      </c>
      <c r="EO103" s="438">
        <v>0</v>
      </c>
      <c r="EP103" s="438">
        <v>0</v>
      </c>
      <c r="EQ103" s="438">
        <v>21.547000000000001</v>
      </c>
      <c r="ER103" s="438">
        <v>0</v>
      </c>
      <c r="ES103" s="438">
        <v>66.763000000000005</v>
      </c>
      <c r="ET103" s="438">
        <v>34479</v>
      </c>
      <c r="EU103" s="438">
        <v>387212</v>
      </c>
      <c r="EV103" s="438">
        <v>0</v>
      </c>
      <c r="EW103" s="438">
        <v>0</v>
      </c>
      <c r="EX103" s="438">
        <v>0</v>
      </c>
      <c r="EZ103" s="438">
        <v>10586171</v>
      </c>
      <c r="FA103" s="438">
        <v>0</v>
      </c>
      <c r="FB103" s="438">
        <v>10973383</v>
      </c>
      <c r="FC103" s="438">
        <v>0.97334900000000002</v>
      </c>
      <c r="FD103" s="438">
        <v>0</v>
      </c>
      <c r="FE103" s="438">
        <v>1520632</v>
      </c>
      <c r="FF103" s="438">
        <v>346586</v>
      </c>
      <c r="FG103" s="437">
        <v>5.7854999999999997E-2</v>
      </c>
      <c r="FH103" s="437">
        <v>5.2366000000000003E-2</v>
      </c>
      <c r="FI103" s="438">
        <v>0</v>
      </c>
      <c r="FJ103" s="438">
        <v>0</v>
      </c>
      <c r="FK103" s="438">
        <v>2071.5250000000001</v>
      </c>
      <c r="FL103" s="438">
        <v>12875080</v>
      </c>
      <c r="FM103" s="438">
        <v>0</v>
      </c>
      <c r="FN103" s="438">
        <v>0</v>
      </c>
      <c r="FO103" s="438">
        <v>32126</v>
      </c>
      <c r="FP103" s="438">
        <v>0</v>
      </c>
      <c r="FQ103" s="438">
        <v>34475</v>
      </c>
      <c r="FR103" s="438">
        <v>32126</v>
      </c>
      <c r="FS103" s="438">
        <v>2349</v>
      </c>
      <c r="FT103" s="438">
        <v>0</v>
      </c>
      <c r="FU103" s="438">
        <v>0</v>
      </c>
      <c r="FV103" s="438">
        <v>0</v>
      </c>
      <c r="FW103" s="438">
        <v>0</v>
      </c>
      <c r="FX103" s="438">
        <v>0</v>
      </c>
      <c r="FY103" s="438">
        <v>0</v>
      </c>
      <c r="FZ103" s="438">
        <v>0</v>
      </c>
      <c r="GA103" s="438">
        <v>0</v>
      </c>
      <c r="GB103" s="438">
        <v>107417</v>
      </c>
      <c r="GC103" s="438">
        <v>107417</v>
      </c>
      <c r="GD103" s="438">
        <v>12.159000000000001</v>
      </c>
      <c r="GF103" s="438">
        <v>0</v>
      </c>
      <c r="GG103" s="438">
        <v>0</v>
      </c>
      <c r="GH103" s="438">
        <v>0</v>
      </c>
      <c r="GI103" s="438">
        <v>0</v>
      </c>
      <c r="GJ103" s="438">
        <v>0</v>
      </c>
      <c r="GK103" s="438">
        <v>4772.2979999999998</v>
      </c>
      <c r="GL103" s="438">
        <v>29153</v>
      </c>
      <c r="GM103" s="438">
        <v>0</v>
      </c>
      <c r="GN103" s="438">
        <v>48529</v>
      </c>
      <c r="GO103" s="438">
        <v>0</v>
      </c>
      <c r="GP103" s="438">
        <v>12840601</v>
      </c>
      <c r="GQ103" s="438">
        <v>12840601</v>
      </c>
      <c r="GR103" s="438">
        <v>0</v>
      </c>
      <c r="GS103" s="438">
        <v>0</v>
      </c>
      <c r="GT103" s="438">
        <v>0</v>
      </c>
      <c r="HB103" s="438">
        <v>0</v>
      </c>
      <c r="HC103" s="437">
        <v>6.0754000000000002E-2</v>
      </c>
      <c r="HD103" s="438">
        <v>0</v>
      </c>
    </row>
    <row r="104" spans="1:212" x14ac:dyDescent="0.2">
      <c r="A104" s="438">
        <v>25836</v>
      </c>
      <c r="B104" s="442">
        <v>101807</v>
      </c>
      <c r="C104" s="438">
        <v>9</v>
      </c>
      <c r="D104" s="438">
        <v>2020</v>
      </c>
      <c r="E104" s="438">
        <v>5392</v>
      </c>
      <c r="F104" s="438">
        <v>0</v>
      </c>
      <c r="G104" s="438">
        <v>124.422</v>
      </c>
      <c r="H104" s="438">
        <v>117.63500000000001</v>
      </c>
      <c r="I104" s="438">
        <v>117.63500000000001</v>
      </c>
      <c r="J104" s="438">
        <v>124.422</v>
      </c>
      <c r="K104" s="438">
        <v>0</v>
      </c>
      <c r="L104" s="437">
        <v>6544</v>
      </c>
      <c r="M104" s="438">
        <v>0</v>
      </c>
      <c r="N104" s="438">
        <v>0</v>
      </c>
      <c r="P104" s="438">
        <v>125.962</v>
      </c>
      <c r="Q104" s="438">
        <v>0</v>
      </c>
      <c r="R104" s="438">
        <v>31187</v>
      </c>
      <c r="S104" s="437">
        <v>247.58699999999999</v>
      </c>
      <c r="U104" s="438">
        <v>0</v>
      </c>
      <c r="V104" s="438">
        <v>0</v>
      </c>
      <c r="W104" s="438">
        <v>0</v>
      </c>
      <c r="X104" s="438">
        <v>0</v>
      </c>
      <c r="Z104" s="438">
        <v>0</v>
      </c>
      <c r="AA104" s="438">
        <v>1</v>
      </c>
      <c r="AB104" s="438">
        <v>1</v>
      </c>
      <c r="AC104" s="438">
        <v>0</v>
      </c>
      <c r="AD104" s="438" t="s">
        <v>332</v>
      </c>
      <c r="AE104" s="438">
        <v>0</v>
      </c>
      <c r="AH104" s="438">
        <v>0</v>
      </c>
      <c r="AI104" s="438">
        <v>0</v>
      </c>
      <c r="AJ104" s="437">
        <v>5105</v>
      </c>
      <c r="AK104" s="438" t="s">
        <v>561</v>
      </c>
      <c r="AL104" s="438" t="s">
        <v>8</v>
      </c>
      <c r="AM104" s="438">
        <v>0</v>
      </c>
      <c r="AN104" s="438">
        <v>0</v>
      </c>
      <c r="AO104" s="438">
        <v>0</v>
      </c>
      <c r="AP104" s="438">
        <v>0</v>
      </c>
      <c r="AQ104" s="438">
        <v>0</v>
      </c>
      <c r="AR104" s="438">
        <v>0</v>
      </c>
      <c r="AS104" s="438">
        <v>0</v>
      </c>
      <c r="AT104" s="438">
        <v>0</v>
      </c>
      <c r="AU104" s="438">
        <v>0</v>
      </c>
      <c r="AV104" s="438">
        <v>0</v>
      </c>
      <c r="AW104" s="438">
        <v>1138818</v>
      </c>
      <c r="AX104" s="438">
        <v>1138818</v>
      </c>
      <c r="AY104" s="438">
        <v>0</v>
      </c>
      <c r="AZ104" s="438">
        <v>31187</v>
      </c>
      <c r="BA104" s="438">
        <v>0</v>
      </c>
      <c r="BB104" s="438">
        <v>0</v>
      </c>
      <c r="BC104" s="438">
        <v>0</v>
      </c>
      <c r="BD104" s="438">
        <v>0</v>
      </c>
      <c r="BE104" s="438">
        <v>0</v>
      </c>
      <c r="BF104" s="438">
        <v>971796</v>
      </c>
      <c r="BG104" s="438">
        <v>0</v>
      </c>
      <c r="BH104" s="438">
        <v>0</v>
      </c>
      <c r="BI104" s="438">
        <v>0</v>
      </c>
      <c r="BJ104" s="438">
        <v>12</v>
      </c>
      <c r="BK104" s="438">
        <v>0</v>
      </c>
      <c r="BL104" s="438">
        <v>0</v>
      </c>
      <c r="BM104" s="438">
        <v>0</v>
      </c>
      <c r="BN104" s="438">
        <v>0</v>
      </c>
      <c r="BO104" s="438">
        <v>0</v>
      </c>
      <c r="BP104" s="438">
        <v>0</v>
      </c>
      <c r="BQ104" s="437">
        <v>5392</v>
      </c>
      <c r="BR104" s="438">
        <v>1</v>
      </c>
      <c r="BS104" s="438">
        <v>0</v>
      </c>
      <c r="BT104" s="438">
        <v>0</v>
      </c>
      <c r="BU104" s="438">
        <v>0</v>
      </c>
      <c r="BV104" s="438">
        <v>0</v>
      </c>
      <c r="BW104" s="438">
        <v>0</v>
      </c>
      <c r="BX104" s="438">
        <v>0</v>
      </c>
      <c r="BY104" s="438">
        <v>0</v>
      </c>
      <c r="BZ104" s="438">
        <v>0</v>
      </c>
      <c r="CA104" s="438">
        <v>0</v>
      </c>
      <c r="CB104" s="438">
        <v>0</v>
      </c>
      <c r="CC104" s="438">
        <v>0</v>
      </c>
      <c r="CG104" s="438">
        <v>0</v>
      </c>
      <c r="CH104" s="438">
        <v>0</v>
      </c>
      <c r="CI104" s="438">
        <v>0</v>
      </c>
      <c r="CJ104" s="438">
        <v>4</v>
      </c>
      <c r="CK104" s="438">
        <v>0</v>
      </c>
      <c r="CL104" s="438">
        <v>0</v>
      </c>
      <c r="CN104" s="438">
        <v>0</v>
      </c>
      <c r="CO104" s="438">
        <v>1</v>
      </c>
      <c r="CP104" s="438">
        <v>0</v>
      </c>
      <c r="CQ104" s="438">
        <v>0</v>
      </c>
      <c r="CR104" s="438">
        <v>124.422</v>
      </c>
      <c r="CS104" s="438">
        <v>0</v>
      </c>
      <c r="CT104" s="438">
        <v>0</v>
      </c>
      <c r="CU104" s="438">
        <v>0</v>
      </c>
      <c r="CV104" s="438">
        <v>0</v>
      </c>
      <c r="CW104" s="438">
        <v>0</v>
      </c>
      <c r="CX104" s="438">
        <v>0</v>
      </c>
      <c r="CY104" s="438">
        <v>0</v>
      </c>
      <c r="CZ104" s="438">
        <v>0</v>
      </c>
      <c r="DA104" s="438">
        <v>1</v>
      </c>
      <c r="DB104" s="438">
        <v>769803</v>
      </c>
      <c r="DC104" s="438">
        <v>0</v>
      </c>
      <c r="DD104" s="438">
        <v>0</v>
      </c>
      <c r="DE104" s="438">
        <v>91184</v>
      </c>
      <c r="DF104" s="438">
        <v>91184</v>
      </c>
      <c r="DG104" s="438">
        <v>69.67</v>
      </c>
      <c r="DH104" s="438">
        <v>0</v>
      </c>
      <c r="DI104" s="438">
        <v>0</v>
      </c>
      <c r="DK104" s="437">
        <v>5392</v>
      </c>
      <c r="DL104" s="438">
        <v>0</v>
      </c>
      <c r="DM104" s="438">
        <v>137417</v>
      </c>
      <c r="DN104" s="438">
        <v>0</v>
      </c>
      <c r="DO104" s="438">
        <v>0</v>
      </c>
      <c r="DP104" s="438">
        <v>0</v>
      </c>
      <c r="DQ104" s="438">
        <v>0</v>
      </c>
      <c r="DR104" s="438">
        <v>0</v>
      </c>
      <c r="DS104" s="438">
        <v>0</v>
      </c>
      <c r="DT104" s="438">
        <v>0</v>
      </c>
      <c r="DU104" s="438">
        <v>0</v>
      </c>
      <c r="DV104" s="438">
        <v>0</v>
      </c>
      <c r="DW104" s="438">
        <v>0</v>
      </c>
      <c r="DX104" s="438">
        <v>0</v>
      </c>
      <c r="DY104" s="438">
        <v>0</v>
      </c>
      <c r="DZ104" s="438">
        <v>0</v>
      </c>
      <c r="EA104" s="438">
        <v>0</v>
      </c>
      <c r="EB104" s="438">
        <v>0</v>
      </c>
      <c r="EC104" s="438">
        <v>0</v>
      </c>
      <c r="ED104" s="438">
        <v>0</v>
      </c>
      <c r="EE104" s="438">
        <v>0</v>
      </c>
      <c r="EF104" s="438">
        <v>0</v>
      </c>
      <c r="EG104" s="438">
        <v>0</v>
      </c>
      <c r="EH104" s="438">
        <v>137417</v>
      </c>
      <c r="EI104" s="438">
        <v>0</v>
      </c>
      <c r="EJ104" s="438">
        <v>0</v>
      </c>
      <c r="EK104" s="438">
        <v>6.468</v>
      </c>
      <c r="EL104" s="438">
        <v>0</v>
      </c>
      <c r="EM104" s="438">
        <v>0</v>
      </c>
      <c r="EN104" s="438">
        <v>0.31900000000000001</v>
      </c>
      <c r="EO104" s="438">
        <v>0</v>
      </c>
      <c r="EP104" s="438">
        <v>0</v>
      </c>
      <c r="EQ104" s="438">
        <v>6.7869999999999999</v>
      </c>
      <c r="ER104" s="438">
        <v>0</v>
      </c>
      <c r="ES104" s="438">
        <v>20.998999999999999</v>
      </c>
      <c r="ET104" s="438">
        <v>0</v>
      </c>
      <c r="EU104" s="438">
        <v>31187</v>
      </c>
      <c r="EV104" s="438">
        <v>0</v>
      </c>
      <c r="EW104" s="438">
        <v>0</v>
      </c>
      <c r="EX104" s="438">
        <v>0</v>
      </c>
      <c r="EZ104" s="438">
        <v>967217</v>
      </c>
      <c r="FA104" s="438">
        <v>0</v>
      </c>
      <c r="FB104" s="438">
        <v>998404</v>
      </c>
      <c r="FC104" s="438">
        <v>0.97334900000000002</v>
      </c>
      <c r="FD104" s="438">
        <v>0</v>
      </c>
      <c r="FE104" s="438">
        <v>139749</v>
      </c>
      <c r="FF104" s="438">
        <v>31852</v>
      </c>
      <c r="FG104" s="437">
        <v>5.7854999999999997E-2</v>
      </c>
      <c r="FH104" s="437">
        <v>5.2366000000000003E-2</v>
      </c>
      <c r="FI104" s="438">
        <v>0</v>
      </c>
      <c r="FJ104" s="438">
        <v>0</v>
      </c>
      <c r="FK104" s="438">
        <v>190.37700000000001</v>
      </c>
      <c r="FL104" s="438">
        <v>1170005</v>
      </c>
      <c r="FM104" s="438">
        <v>0</v>
      </c>
      <c r="FN104" s="438">
        <v>0</v>
      </c>
      <c r="FO104" s="438">
        <v>0</v>
      </c>
      <c r="FP104" s="438">
        <v>0</v>
      </c>
      <c r="FQ104" s="438">
        <v>0</v>
      </c>
      <c r="FR104" s="438">
        <v>0</v>
      </c>
      <c r="FS104" s="438">
        <v>0</v>
      </c>
      <c r="FT104" s="438">
        <v>0</v>
      </c>
      <c r="FU104" s="438">
        <v>0</v>
      </c>
      <c r="FV104" s="438">
        <v>0</v>
      </c>
      <c r="FW104" s="438">
        <v>0</v>
      </c>
      <c r="FX104" s="438">
        <v>0</v>
      </c>
      <c r="FY104" s="438">
        <v>0</v>
      </c>
      <c r="FZ104" s="438">
        <v>0</v>
      </c>
      <c r="GA104" s="438">
        <v>0</v>
      </c>
      <c r="GB104" s="438">
        <v>0</v>
      </c>
      <c r="GC104" s="438">
        <v>0</v>
      </c>
      <c r="GD104" s="438">
        <v>0</v>
      </c>
      <c r="GF104" s="438">
        <v>0</v>
      </c>
      <c r="GG104" s="438">
        <v>0</v>
      </c>
      <c r="GH104" s="438">
        <v>0</v>
      </c>
      <c r="GI104" s="438">
        <v>0</v>
      </c>
      <c r="GJ104" s="438">
        <v>0</v>
      </c>
      <c r="GK104" s="438">
        <v>4822.3180000000002</v>
      </c>
      <c r="GL104" s="438">
        <v>3535</v>
      </c>
      <c r="GM104" s="438">
        <v>0</v>
      </c>
      <c r="GN104" s="438">
        <v>0</v>
      </c>
      <c r="GO104" s="438">
        <v>0</v>
      </c>
      <c r="GP104" s="438">
        <v>1170005</v>
      </c>
      <c r="GQ104" s="438">
        <v>1170005</v>
      </c>
      <c r="GR104" s="438">
        <v>0</v>
      </c>
      <c r="GS104" s="438">
        <v>0</v>
      </c>
      <c r="GT104" s="438">
        <v>0</v>
      </c>
      <c r="HB104" s="438">
        <v>0</v>
      </c>
      <c r="HC104" s="437">
        <v>6.0754000000000002E-2</v>
      </c>
      <c r="HD104" s="438">
        <v>0</v>
      </c>
    </row>
    <row r="105" spans="1:212" x14ac:dyDescent="0.2">
      <c r="A105" s="438">
        <v>25836</v>
      </c>
      <c r="B105" s="442">
        <v>101810</v>
      </c>
      <c r="C105" s="438">
        <v>9</v>
      </c>
      <c r="D105" s="438">
        <v>2020</v>
      </c>
      <c r="E105" s="438">
        <v>5392</v>
      </c>
      <c r="F105" s="438">
        <v>0</v>
      </c>
      <c r="G105" s="438">
        <v>645.18700000000001</v>
      </c>
      <c r="H105" s="438">
        <v>644.91</v>
      </c>
      <c r="I105" s="438">
        <v>644.91</v>
      </c>
      <c r="J105" s="438">
        <v>645.18700000000001</v>
      </c>
      <c r="K105" s="438">
        <v>0</v>
      </c>
      <c r="L105" s="437">
        <v>6544</v>
      </c>
      <c r="M105" s="438">
        <v>0</v>
      </c>
      <c r="N105" s="438">
        <v>0</v>
      </c>
      <c r="P105" s="438">
        <v>648.03700000000003</v>
      </c>
      <c r="Q105" s="438">
        <v>0</v>
      </c>
      <c r="R105" s="438">
        <v>160446</v>
      </c>
      <c r="S105" s="437">
        <v>247.58699999999999</v>
      </c>
      <c r="U105" s="438">
        <v>0</v>
      </c>
      <c r="V105" s="438">
        <v>376.733</v>
      </c>
      <c r="W105" s="438">
        <v>246534</v>
      </c>
      <c r="X105" s="438">
        <v>246534</v>
      </c>
      <c r="Z105" s="438">
        <v>0</v>
      </c>
      <c r="AA105" s="438">
        <v>1</v>
      </c>
      <c r="AB105" s="438">
        <v>1</v>
      </c>
      <c r="AC105" s="438">
        <v>0</v>
      </c>
      <c r="AD105" s="438" t="s">
        <v>332</v>
      </c>
      <c r="AE105" s="438">
        <v>0</v>
      </c>
      <c r="AH105" s="438">
        <v>0</v>
      </c>
      <c r="AI105" s="438">
        <v>0</v>
      </c>
      <c r="AJ105" s="437">
        <v>5105</v>
      </c>
      <c r="AK105" s="438" t="s">
        <v>561</v>
      </c>
      <c r="AL105" s="438" t="s">
        <v>361</v>
      </c>
      <c r="AM105" s="438">
        <v>0</v>
      </c>
      <c r="AN105" s="438">
        <v>0</v>
      </c>
      <c r="AO105" s="438">
        <v>0</v>
      </c>
      <c r="AP105" s="438">
        <v>0</v>
      </c>
      <c r="AQ105" s="438">
        <v>0</v>
      </c>
      <c r="AR105" s="438">
        <v>0</v>
      </c>
      <c r="AS105" s="438">
        <v>0</v>
      </c>
      <c r="AT105" s="438">
        <v>0</v>
      </c>
      <c r="AU105" s="438">
        <v>0</v>
      </c>
      <c r="AV105" s="438">
        <v>0</v>
      </c>
      <c r="AW105" s="438">
        <v>6255248</v>
      </c>
      <c r="AX105" s="438">
        <v>6249831</v>
      </c>
      <c r="AY105" s="438">
        <v>0</v>
      </c>
      <c r="AZ105" s="438">
        <v>160446</v>
      </c>
      <c r="BA105" s="438">
        <v>10.833</v>
      </c>
      <c r="BB105" s="438">
        <v>0</v>
      </c>
      <c r="BC105" s="438">
        <v>0</v>
      </c>
      <c r="BD105" s="438">
        <v>0</v>
      </c>
      <c r="BE105" s="438">
        <v>0</v>
      </c>
      <c r="BF105" s="438">
        <v>5324323</v>
      </c>
      <c r="BG105" s="438">
        <v>0</v>
      </c>
      <c r="BH105" s="438">
        <v>0</v>
      </c>
      <c r="BI105" s="438">
        <v>0</v>
      </c>
      <c r="BJ105" s="438">
        <v>12</v>
      </c>
      <c r="BK105" s="438">
        <v>0</v>
      </c>
      <c r="BL105" s="438">
        <v>0</v>
      </c>
      <c r="BM105" s="438">
        <v>0</v>
      </c>
      <c r="BN105" s="438">
        <v>0</v>
      </c>
      <c r="BO105" s="438">
        <v>0</v>
      </c>
      <c r="BP105" s="438">
        <v>0</v>
      </c>
      <c r="BQ105" s="437">
        <v>5392</v>
      </c>
      <c r="BR105" s="438">
        <v>1</v>
      </c>
      <c r="BS105" s="438">
        <v>0</v>
      </c>
      <c r="BT105" s="438">
        <v>0</v>
      </c>
      <c r="BU105" s="438">
        <v>0</v>
      </c>
      <c r="BV105" s="438">
        <v>0</v>
      </c>
      <c r="BW105" s="438">
        <v>0</v>
      </c>
      <c r="BX105" s="438">
        <v>0</v>
      </c>
      <c r="BY105" s="438">
        <v>0</v>
      </c>
      <c r="BZ105" s="438">
        <v>0</v>
      </c>
      <c r="CA105" s="438">
        <v>0</v>
      </c>
      <c r="CB105" s="438">
        <v>0</v>
      </c>
      <c r="CC105" s="438">
        <v>0</v>
      </c>
      <c r="CG105" s="438">
        <v>0</v>
      </c>
      <c r="CH105" s="438">
        <v>5417</v>
      </c>
      <c r="CI105" s="438">
        <v>0</v>
      </c>
      <c r="CJ105" s="438">
        <v>4</v>
      </c>
      <c r="CK105" s="438">
        <v>0</v>
      </c>
      <c r="CL105" s="438">
        <v>0</v>
      </c>
      <c r="CN105" s="438">
        <v>0</v>
      </c>
      <c r="CO105" s="438">
        <v>1</v>
      </c>
      <c r="CP105" s="438">
        <v>0</v>
      </c>
      <c r="CQ105" s="438">
        <v>0</v>
      </c>
      <c r="CR105" s="438">
        <v>645.18700000000001</v>
      </c>
      <c r="CS105" s="438">
        <v>0</v>
      </c>
      <c r="CT105" s="438">
        <v>0</v>
      </c>
      <c r="CU105" s="438">
        <v>0</v>
      </c>
      <c r="CV105" s="438">
        <v>0</v>
      </c>
      <c r="CW105" s="438">
        <v>0</v>
      </c>
      <c r="CX105" s="438">
        <v>0</v>
      </c>
      <c r="CY105" s="438">
        <v>0</v>
      </c>
      <c r="CZ105" s="438">
        <v>0</v>
      </c>
      <c r="DA105" s="438">
        <v>1</v>
      </c>
      <c r="DB105" s="438">
        <v>4220291</v>
      </c>
      <c r="DC105" s="438">
        <v>0</v>
      </c>
      <c r="DD105" s="438">
        <v>10.833</v>
      </c>
      <c r="DE105" s="438">
        <v>936669</v>
      </c>
      <c r="DF105" s="438">
        <v>936669</v>
      </c>
      <c r="DG105" s="438">
        <v>715.67</v>
      </c>
      <c r="DH105" s="438">
        <v>0</v>
      </c>
      <c r="DI105" s="438">
        <v>0</v>
      </c>
      <c r="DK105" s="437">
        <v>5392</v>
      </c>
      <c r="DL105" s="438">
        <v>0</v>
      </c>
      <c r="DM105" s="438">
        <v>66611</v>
      </c>
      <c r="DN105" s="438">
        <v>0</v>
      </c>
      <c r="DO105" s="438">
        <v>0</v>
      </c>
      <c r="DP105" s="438">
        <v>0</v>
      </c>
      <c r="DQ105" s="438">
        <v>0</v>
      </c>
      <c r="DR105" s="438">
        <v>0</v>
      </c>
      <c r="DS105" s="438">
        <v>0</v>
      </c>
      <c r="DT105" s="438">
        <v>0</v>
      </c>
      <c r="DU105" s="438">
        <v>0</v>
      </c>
      <c r="DV105" s="438">
        <v>0</v>
      </c>
      <c r="DW105" s="438">
        <v>0</v>
      </c>
      <c r="DX105" s="438">
        <v>0</v>
      </c>
      <c r="DY105" s="438">
        <v>0</v>
      </c>
      <c r="DZ105" s="438">
        <v>0</v>
      </c>
      <c r="EA105" s="438">
        <v>0</v>
      </c>
      <c r="EB105" s="438">
        <v>0</v>
      </c>
      <c r="EC105" s="438">
        <v>8.1</v>
      </c>
      <c r="ED105" s="438">
        <v>58307</v>
      </c>
      <c r="EE105" s="438">
        <v>0</v>
      </c>
      <c r="EF105" s="438">
        <v>0</v>
      </c>
      <c r="EG105" s="438">
        <v>0</v>
      </c>
      <c r="EH105" s="438">
        <v>8304</v>
      </c>
      <c r="EI105" s="438">
        <v>0</v>
      </c>
      <c r="EJ105" s="438">
        <v>0</v>
      </c>
      <c r="EK105" s="438">
        <v>5.8000000000000003E-2</v>
      </c>
      <c r="EL105" s="438">
        <v>0</v>
      </c>
      <c r="EM105" s="438">
        <v>0</v>
      </c>
      <c r="EN105" s="438">
        <v>0.219</v>
      </c>
      <c r="EO105" s="438">
        <v>0</v>
      </c>
      <c r="EP105" s="438">
        <v>0</v>
      </c>
      <c r="EQ105" s="438">
        <v>0.27700000000000002</v>
      </c>
      <c r="ER105" s="438">
        <v>0</v>
      </c>
      <c r="ES105" s="438">
        <v>1.2689999999999999</v>
      </c>
      <c r="ET105" s="438">
        <v>5417</v>
      </c>
      <c r="EU105" s="438">
        <v>160446</v>
      </c>
      <c r="EV105" s="438">
        <v>0</v>
      </c>
      <c r="EW105" s="438">
        <v>0</v>
      </c>
      <c r="EX105" s="438">
        <v>0</v>
      </c>
      <c r="EZ105" s="438">
        <v>5309659</v>
      </c>
      <c r="FA105" s="438">
        <v>0</v>
      </c>
      <c r="FB105" s="438">
        <v>5470105</v>
      </c>
      <c r="FC105" s="438">
        <v>0.97334900000000002</v>
      </c>
      <c r="FD105" s="438">
        <v>0</v>
      </c>
      <c r="FE105" s="438">
        <v>765661</v>
      </c>
      <c r="FF105" s="438">
        <v>174511</v>
      </c>
      <c r="FG105" s="437">
        <v>5.7854999999999997E-2</v>
      </c>
      <c r="FH105" s="437">
        <v>5.2366000000000003E-2</v>
      </c>
      <c r="FI105" s="438">
        <v>0</v>
      </c>
      <c r="FJ105" s="438">
        <v>0</v>
      </c>
      <c r="FK105" s="438">
        <v>1043.0440000000001</v>
      </c>
      <c r="FL105" s="438">
        <v>6415694</v>
      </c>
      <c r="FM105" s="438">
        <v>0</v>
      </c>
      <c r="FN105" s="438">
        <v>0</v>
      </c>
      <c r="FO105" s="438">
        <v>0</v>
      </c>
      <c r="FP105" s="438">
        <v>0</v>
      </c>
      <c r="FQ105" s="438">
        <v>0</v>
      </c>
      <c r="FR105" s="438">
        <v>0</v>
      </c>
      <c r="FS105" s="438">
        <v>0</v>
      </c>
      <c r="FT105" s="438">
        <v>0</v>
      </c>
      <c r="FU105" s="438">
        <v>0</v>
      </c>
      <c r="FV105" s="438">
        <v>0</v>
      </c>
      <c r="FW105" s="438">
        <v>0</v>
      </c>
      <c r="FX105" s="438">
        <v>0</v>
      </c>
      <c r="FY105" s="438">
        <v>0</v>
      </c>
      <c r="FZ105" s="438">
        <v>0</v>
      </c>
      <c r="GA105" s="438">
        <v>0</v>
      </c>
      <c r="GB105" s="438">
        <v>0</v>
      </c>
      <c r="GC105" s="438">
        <v>0</v>
      </c>
      <c r="GD105" s="438">
        <v>0</v>
      </c>
      <c r="GF105" s="438">
        <v>0</v>
      </c>
      <c r="GG105" s="438">
        <v>0</v>
      </c>
      <c r="GH105" s="438">
        <v>0</v>
      </c>
      <c r="GI105" s="438">
        <v>0</v>
      </c>
      <c r="GJ105" s="438">
        <v>0</v>
      </c>
      <c r="GK105" s="438">
        <v>4791.75</v>
      </c>
      <c r="GL105" s="438">
        <v>14636</v>
      </c>
      <c r="GM105" s="438">
        <v>0</v>
      </c>
      <c r="GN105" s="438">
        <v>0</v>
      </c>
      <c r="GO105" s="438">
        <v>0</v>
      </c>
      <c r="GP105" s="438">
        <v>6410277</v>
      </c>
      <c r="GQ105" s="438">
        <v>6410277</v>
      </c>
      <c r="GR105" s="438">
        <v>0</v>
      </c>
      <c r="GS105" s="438">
        <v>0</v>
      </c>
      <c r="GT105" s="438">
        <v>0</v>
      </c>
      <c r="HB105" s="438">
        <v>0</v>
      </c>
      <c r="HC105" s="437">
        <v>6.0754000000000002E-2</v>
      </c>
      <c r="HD105" s="438">
        <v>0</v>
      </c>
    </row>
    <row r="106" spans="1:212" x14ac:dyDescent="0.2">
      <c r="A106" s="438">
        <v>25836</v>
      </c>
      <c r="B106" s="442">
        <v>101811</v>
      </c>
      <c r="C106" s="438">
        <v>9</v>
      </c>
      <c r="D106" s="438">
        <v>2020</v>
      </c>
      <c r="E106" s="438">
        <v>5392</v>
      </c>
      <c r="F106" s="438">
        <v>0</v>
      </c>
      <c r="G106" s="438">
        <v>334.29500000000002</v>
      </c>
      <c r="H106" s="438">
        <v>289.416</v>
      </c>
      <c r="I106" s="438">
        <v>289.416</v>
      </c>
      <c r="J106" s="438">
        <v>334.29500000000002</v>
      </c>
      <c r="K106" s="438">
        <v>0</v>
      </c>
      <c r="L106" s="437">
        <v>6544</v>
      </c>
      <c r="M106" s="438">
        <v>0</v>
      </c>
      <c r="N106" s="438">
        <v>0</v>
      </c>
      <c r="P106" s="438">
        <v>337.91199999999998</v>
      </c>
      <c r="Q106" s="438">
        <v>0</v>
      </c>
      <c r="R106" s="438">
        <v>83663</v>
      </c>
      <c r="S106" s="437">
        <v>247.58699999999999</v>
      </c>
      <c r="U106" s="438">
        <v>0</v>
      </c>
      <c r="V106" s="438">
        <v>34.244999999999997</v>
      </c>
      <c r="W106" s="438">
        <v>22410</v>
      </c>
      <c r="X106" s="438">
        <v>22410</v>
      </c>
      <c r="Z106" s="438">
        <v>0</v>
      </c>
      <c r="AA106" s="438">
        <v>1</v>
      </c>
      <c r="AB106" s="438">
        <v>1</v>
      </c>
      <c r="AC106" s="438">
        <v>0</v>
      </c>
      <c r="AD106" s="438" t="s">
        <v>332</v>
      </c>
      <c r="AE106" s="438">
        <v>0</v>
      </c>
      <c r="AH106" s="438">
        <v>0</v>
      </c>
      <c r="AI106" s="438">
        <v>0</v>
      </c>
      <c r="AJ106" s="437">
        <v>5105</v>
      </c>
      <c r="AK106" s="438" t="s">
        <v>561</v>
      </c>
      <c r="AL106" s="438" t="s">
        <v>362</v>
      </c>
      <c r="AM106" s="438">
        <v>0</v>
      </c>
      <c r="AN106" s="438">
        <v>0</v>
      </c>
      <c r="AO106" s="438">
        <v>0</v>
      </c>
      <c r="AP106" s="438">
        <v>0</v>
      </c>
      <c r="AQ106" s="438">
        <v>0</v>
      </c>
      <c r="AR106" s="438">
        <v>0</v>
      </c>
      <c r="AS106" s="438">
        <v>0</v>
      </c>
      <c r="AT106" s="438">
        <v>0</v>
      </c>
      <c r="AU106" s="438">
        <v>0</v>
      </c>
      <c r="AV106" s="438">
        <v>0</v>
      </c>
      <c r="AW106" s="438">
        <v>4311872</v>
      </c>
      <c r="AX106" s="438">
        <v>4220134</v>
      </c>
      <c r="AY106" s="438">
        <v>0</v>
      </c>
      <c r="AZ106" s="438">
        <v>175401</v>
      </c>
      <c r="BA106" s="438">
        <v>0</v>
      </c>
      <c r="BB106" s="438">
        <v>0</v>
      </c>
      <c r="BC106" s="438">
        <v>0</v>
      </c>
      <c r="BD106" s="438">
        <v>0</v>
      </c>
      <c r="BE106" s="438">
        <v>0</v>
      </c>
      <c r="BF106" s="438">
        <v>3574698</v>
      </c>
      <c r="BG106" s="438">
        <v>0</v>
      </c>
      <c r="BH106" s="438">
        <v>333.59300000000002</v>
      </c>
      <c r="BI106" s="438">
        <v>91738</v>
      </c>
      <c r="BJ106" s="438">
        <v>12</v>
      </c>
      <c r="BK106" s="438">
        <v>0</v>
      </c>
      <c r="BL106" s="438">
        <v>0</v>
      </c>
      <c r="BM106" s="438">
        <v>0</v>
      </c>
      <c r="BN106" s="438">
        <v>0</v>
      </c>
      <c r="BO106" s="438">
        <v>0</v>
      </c>
      <c r="BP106" s="438">
        <v>0</v>
      </c>
      <c r="BQ106" s="437">
        <v>5392</v>
      </c>
      <c r="BR106" s="438">
        <v>1</v>
      </c>
      <c r="BS106" s="438">
        <v>0</v>
      </c>
      <c r="BT106" s="438">
        <v>0</v>
      </c>
      <c r="BU106" s="438">
        <v>0</v>
      </c>
      <c r="BV106" s="438">
        <v>0</v>
      </c>
      <c r="BW106" s="438">
        <v>0</v>
      </c>
      <c r="BX106" s="438">
        <v>0</v>
      </c>
      <c r="BY106" s="438">
        <v>0</v>
      </c>
      <c r="BZ106" s="438">
        <v>0</v>
      </c>
      <c r="CA106" s="438">
        <v>0</v>
      </c>
      <c r="CB106" s="438">
        <v>0</v>
      </c>
      <c r="CC106" s="438">
        <v>0</v>
      </c>
      <c r="CG106" s="438">
        <v>0</v>
      </c>
      <c r="CH106" s="438">
        <v>0</v>
      </c>
      <c r="CI106" s="438">
        <v>0</v>
      </c>
      <c r="CJ106" s="438">
        <v>4</v>
      </c>
      <c r="CK106" s="438">
        <v>0</v>
      </c>
      <c r="CL106" s="438">
        <v>0</v>
      </c>
      <c r="CN106" s="438">
        <v>0</v>
      </c>
      <c r="CO106" s="438">
        <v>1</v>
      </c>
      <c r="CP106" s="438">
        <v>0</v>
      </c>
      <c r="CQ106" s="438">
        <v>0</v>
      </c>
      <c r="CR106" s="438">
        <v>334.29500000000002</v>
      </c>
      <c r="CS106" s="438">
        <v>0</v>
      </c>
      <c r="CT106" s="438">
        <v>0</v>
      </c>
      <c r="CU106" s="438">
        <v>0</v>
      </c>
      <c r="CV106" s="438">
        <v>0</v>
      </c>
      <c r="CW106" s="438">
        <v>0</v>
      </c>
      <c r="CX106" s="438">
        <v>0</v>
      </c>
      <c r="CY106" s="438">
        <v>0</v>
      </c>
      <c r="CZ106" s="438">
        <v>0</v>
      </c>
      <c r="DA106" s="438">
        <v>1</v>
      </c>
      <c r="DB106" s="438">
        <v>1893938</v>
      </c>
      <c r="DC106" s="438">
        <v>0</v>
      </c>
      <c r="DD106" s="438">
        <v>0</v>
      </c>
      <c r="DE106" s="438">
        <v>581984</v>
      </c>
      <c r="DF106" s="438">
        <v>581984</v>
      </c>
      <c r="DG106" s="438">
        <v>444.67</v>
      </c>
      <c r="DH106" s="438">
        <v>0</v>
      </c>
      <c r="DI106" s="438">
        <v>0</v>
      </c>
      <c r="DK106" s="437">
        <v>5392</v>
      </c>
      <c r="DL106" s="438">
        <v>0</v>
      </c>
      <c r="DM106" s="438">
        <v>1174242</v>
      </c>
      <c r="DN106" s="438">
        <v>0</v>
      </c>
      <c r="DO106" s="438">
        <v>0</v>
      </c>
      <c r="DP106" s="438">
        <v>0</v>
      </c>
      <c r="DQ106" s="438">
        <v>0</v>
      </c>
      <c r="DR106" s="438">
        <v>0</v>
      </c>
      <c r="DS106" s="438">
        <v>0</v>
      </c>
      <c r="DT106" s="438">
        <v>0</v>
      </c>
      <c r="DU106" s="438">
        <v>0</v>
      </c>
      <c r="DV106" s="438">
        <v>0</v>
      </c>
      <c r="DW106" s="438">
        <v>0</v>
      </c>
      <c r="DX106" s="438">
        <v>0</v>
      </c>
      <c r="DY106" s="438">
        <v>0</v>
      </c>
      <c r="DZ106" s="438">
        <v>0</v>
      </c>
      <c r="EA106" s="438">
        <v>0</v>
      </c>
      <c r="EB106" s="438">
        <v>7.8E-2</v>
      </c>
      <c r="EC106" s="438">
        <v>0</v>
      </c>
      <c r="ED106" s="438">
        <v>0</v>
      </c>
      <c r="EE106" s="438">
        <v>0</v>
      </c>
      <c r="EF106" s="438">
        <v>0</v>
      </c>
      <c r="EG106" s="438">
        <v>0</v>
      </c>
      <c r="EH106" s="438">
        <v>1531</v>
      </c>
      <c r="EI106" s="438">
        <v>1172711</v>
      </c>
      <c r="EJ106" s="438">
        <v>44.801000000000002</v>
      </c>
      <c r="EK106" s="438">
        <v>0</v>
      </c>
      <c r="EL106" s="438">
        <v>0</v>
      </c>
      <c r="EM106" s="438">
        <v>0</v>
      </c>
      <c r="EN106" s="438">
        <v>0</v>
      </c>
      <c r="EO106" s="438">
        <v>0</v>
      </c>
      <c r="EP106" s="438">
        <v>0</v>
      </c>
      <c r="EQ106" s="438">
        <v>44.878999999999998</v>
      </c>
      <c r="ER106" s="438">
        <v>0</v>
      </c>
      <c r="ES106" s="438">
        <v>0.23400000000000001</v>
      </c>
      <c r="ET106" s="438">
        <v>0</v>
      </c>
      <c r="EU106" s="438">
        <v>175401</v>
      </c>
      <c r="EV106" s="438">
        <v>0</v>
      </c>
      <c r="EW106" s="438">
        <v>0</v>
      </c>
      <c r="EX106" s="438">
        <v>0</v>
      </c>
      <c r="EZ106" s="438">
        <v>3588911</v>
      </c>
      <c r="FA106" s="438">
        <v>0</v>
      </c>
      <c r="FB106" s="438">
        <v>3764312</v>
      </c>
      <c r="FC106" s="438">
        <v>0.97334900000000002</v>
      </c>
      <c r="FD106" s="438">
        <v>0</v>
      </c>
      <c r="FE106" s="438">
        <v>514058</v>
      </c>
      <c r="FF106" s="438">
        <v>117165</v>
      </c>
      <c r="FG106" s="437">
        <v>5.7854999999999997E-2</v>
      </c>
      <c r="FH106" s="437">
        <v>5.2366000000000003E-2</v>
      </c>
      <c r="FI106" s="438">
        <v>0</v>
      </c>
      <c r="FJ106" s="438">
        <v>0</v>
      </c>
      <c r="FK106" s="438">
        <v>700.29</v>
      </c>
      <c r="FL106" s="438">
        <v>4395535</v>
      </c>
      <c r="FM106" s="438">
        <v>0</v>
      </c>
      <c r="FN106" s="438">
        <v>0</v>
      </c>
      <c r="FO106" s="438">
        <v>0</v>
      </c>
      <c r="FP106" s="438">
        <v>0</v>
      </c>
      <c r="FQ106" s="438">
        <v>0</v>
      </c>
      <c r="FR106" s="438">
        <v>0</v>
      </c>
      <c r="FS106" s="438">
        <v>0</v>
      </c>
      <c r="FT106" s="438">
        <v>0</v>
      </c>
      <c r="FU106" s="438">
        <v>0</v>
      </c>
      <c r="FV106" s="438">
        <v>0</v>
      </c>
      <c r="FW106" s="438">
        <v>0</v>
      </c>
      <c r="FX106" s="438">
        <v>0</v>
      </c>
      <c r="FY106" s="438">
        <v>0</v>
      </c>
      <c r="FZ106" s="438">
        <v>0</v>
      </c>
      <c r="GA106" s="438">
        <v>0</v>
      </c>
      <c r="GB106" s="438">
        <v>0</v>
      </c>
      <c r="GC106" s="438">
        <v>0</v>
      </c>
      <c r="GD106" s="438">
        <v>0</v>
      </c>
      <c r="GF106" s="438">
        <v>0</v>
      </c>
      <c r="GG106" s="438">
        <v>0</v>
      </c>
      <c r="GH106" s="438">
        <v>0</v>
      </c>
      <c r="GI106" s="438">
        <v>0</v>
      </c>
      <c r="GJ106" s="438">
        <v>0</v>
      </c>
      <c r="GK106" s="438">
        <v>4743.5820000000003</v>
      </c>
      <c r="GL106" s="438">
        <v>24792</v>
      </c>
      <c r="GM106" s="438">
        <v>0</v>
      </c>
      <c r="GN106" s="438">
        <v>0</v>
      </c>
      <c r="GO106" s="438">
        <v>0</v>
      </c>
      <c r="GP106" s="438">
        <v>4395535</v>
      </c>
      <c r="GQ106" s="438">
        <v>4395535</v>
      </c>
      <c r="GR106" s="438">
        <v>0</v>
      </c>
      <c r="GS106" s="438">
        <v>0</v>
      </c>
      <c r="GT106" s="438">
        <v>0</v>
      </c>
      <c r="HB106" s="438">
        <v>0</v>
      </c>
      <c r="HC106" s="437">
        <v>6.0754000000000002E-2</v>
      </c>
      <c r="HD106" s="438">
        <v>0</v>
      </c>
    </row>
    <row r="107" spans="1:212" x14ac:dyDescent="0.2">
      <c r="A107" s="438">
        <v>25836</v>
      </c>
      <c r="B107" s="442">
        <v>101814</v>
      </c>
      <c r="C107" s="438">
        <v>9</v>
      </c>
      <c r="D107" s="438">
        <v>2020</v>
      </c>
      <c r="E107" s="438">
        <v>5392</v>
      </c>
      <c r="F107" s="438">
        <v>0</v>
      </c>
      <c r="G107" s="438">
        <v>1552.893</v>
      </c>
      <c r="H107" s="438">
        <v>1540.29</v>
      </c>
      <c r="I107" s="438">
        <v>1540.29</v>
      </c>
      <c r="J107" s="438">
        <v>1552.893</v>
      </c>
      <c r="K107" s="438">
        <v>0</v>
      </c>
      <c r="L107" s="437">
        <v>6544</v>
      </c>
      <c r="M107" s="438">
        <v>0</v>
      </c>
      <c r="N107" s="438">
        <v>0</v>
      </c>
      <c r="P107" s="438">
        <v>1564.223</v>
      </c>
      <c r="Q107" s="438">
        <v>0</v>
      </c>
      <c r="R107" s="438">
        <v>387281</v>
      </c>
      <c r="S107" s="437">
        <v>247.58699999999999</v>
      </c>
      <c r="U107" s="438">
        <v>0</v>
      </c>
      <c r="V107" s="438">
        <v>658.31700000000001</v>
      </c>
      <c r="W107" s="438">
        <v>430803</v>
      </c>
      <c r="X107" s="438">
        <v>430803</v>
      </c>
      <c r="Z107" s="438">
        <v>0</v>
      </c>
      <c r="AA107" s="438">
        <v>1</v>
      </c>
      <c r="AB107" s="438">
        <v>1</v>
      </c>
      <c r="AC107" s="438">
        <v>0</v>
      </c>
      <c r="AD107" s="438" t="s">
        <v>332</v>
      </c>
      <c r="AE107" s="438">
        <v>0</v>
      </c>
      <c r="AH107" s="438">
        <v>0</v>
      </c>
      <c r="AI107" s="438">
        <v>0</v>
      </c>
      <c r="AJ107" s="437">
        <v>5105</v>
      </c>
      <c r="AK107" s="438" t="s">
        <v>561</v>
      </c>
      <c r="AL107" s="438" t="s">
        <v>363</v>
      </c>
      <c r="AM107" s="438">
        <v>0</v>
      </c>
      <c r="AN107" s="438">
        <v>0</v>
      </c>
      <c r="AO107" s="438">
        <v>0</v>
      </c>
      <c r="AP107" s="438">
        <v>0</v>
      </c>
      <c r="AQ107" s="438">
        <v>0</v>
      </c>
      <c r="AR107" s="438">
        <v>0</v>
      </c>
      <c r="AS107" s="438">
        <v>0</v>
      </c>
      <c r="AT107" s="438">
        <v>0</v>
      </c>
      <c r="AU107" s="438">
        <v>0</v>
      </c>
      <c r="AV107" s="438">
        <v>0</v>
      </c>
      <c r="AW107" s="438">
        <v>14776859</v>
      </c>
      <c r="AX107" s="438">
        <v>14739275</v>
      </c>
      <c r="AY107" s="438">
        <v>0</v>
      </c>
      <c r="AZ107" s="438">
        <v>387281</v>
      </c>
      <c r="BA107" s="438">
        <v>75.167000000000002</v>
      </c>
      <c r="BB107" s="438">
        <v>0</v>
      </c>
      <c r="BC107" s="438">
        <v>0</v>
      </c>
      <c r="BD107" s="438">
        <v>0</v>
      </c>
      <c r="BE107" s="438">
        <v>0</v>
      </c>
      <c r="BF107" s="438">
        <v>12487074</v>
      </c>
      <c r="BG107" s="438">
        <v>0</v>
      </c>
      <c r="BH107" s="438">
        <v>0</v>
      </c>
      <c r="BI107" s="438">
        <v>0</v>
      </c>
      <c r="BJ107" s="438">
        <v>12</v>
      </c>
      <c r="BK107" s="438">
        <v>0</v>
      </c>
      <c r="BL107" s="438">
        <v>0</v>
      </c>
      <c r="BM107" s="438">
        <v>0</v>
      </c>
      <c r="BN107" s="438">
        <v>0</v>
      </c>
      <c r="BO107" s="438">
        <v>0</v>
      </c>
      <c r="BP107" s="438">
        <v>0</v>
      </c>
      <c r="BQ107" s="437">
        <v>5392</v>
      </c>
      <c r="BR107" s="438">
        <v>1</v>
      </c>
      <c r="BS107" s="438">
        <v>0</v>
      </c>
      <c r="BT107" s="438">
        <v>0</v>
      </c>
      <c r="BU107" s="438">
        <v>0</v>
      </c>
      <c r="BV107" s="438">
        <v>0</v>
      </c>
      <c r="BW107" s="438">
        <v>0</v>
      </c>
      <c r="BX107" s="438">
        <v>0</v>
      </c>
      <c r="BY107" s="438">
        <v>0</v>
      </c>
      <c r="BZ107" s="438">
        <v>0</v>
      </c>
      <c r="CA107" s="438">
        <v>0</v>
      </c>
      <c r="CB107" s="438">
        <v>0</v>
      </c>
      <c r="CC107" s="438">
        <v>0</v>
      </c>
      <c r="CG107" s="438">
        <v>0</v>
      </c>
      <c r="CH107" s="438">
        <v>37584</v>
      </c>
      <c r="CI107" s="438">
        <v>0</v>
      </c>
      <c r="CJ107" s="438">
        <v>4</v>
      </c>
      <c r="CK107" s="438">
        <v>0</v>
      </c>
      <c r="CL107" s="438">
        <v>0</v>
      </c>
      <c r="CN107" s="438">
        <v>0</v>
      </c>
      <c r="CO107" s="438">
        <v>1</v>
      </c>
      <c r="CP107" s="438">
        <v>0</v>
      </c>
      <c r="CQ107" s="438">
        <v>0</v>
      </c>
      <c r="CR107" s="438">
        <v>1552.893</v>
      </c>
      <c r="CS107" s="438">
        <v>0</v>
      </c>
      <c r="CT107" s="438">
        <v>0</v>
      </c>
      <c r="CU107" s="438">
        <v>0</v>
      </c>
      <c r="CV107" s="438">
        <v>0</v>
      </c>
      <c r="CW107" s="438">
        <v>0</v>
      </c>
      <c r="CX107" s="438">
        <v>0</v>
      </c>
      <c r="CY107" s="438">
        <v>0</v>
      </c>
      <c r="CZ107" s="438">
        <v>0</v>
      </c>
      <c r="DA107" s="438">
        <v>1</v>
      </c>
      <c r="DB107" s="438">
        <v>10079658</v>
      </c>
      <c r="DC107" s="438">
        <v>0</v>
      </c>
      <c r="DD107" s="438">
        <v>0</v>
      </c>
      <c r="DE107" s="438">
        <v>1937024</v>
      </c>
      <c r="DF107" s="438">
        <v>1937024</v>
      </c>
      <c r="DG107" s="438">
        <v>1480</v>
      </c>
      <c r="DH107" s="438">
        <v>0</v>
      </c>
      <c r="DI107" s="438">
        <v>0</v>
      </c>
      <c r="DK107" s="437">
        <v>5392</v>
      </c>
      <c r="DL107" s="438">
        <v>0</v>
      </c>
      <c r="DM107" s="438">
        <v>381489</v>
      </c>
      <c r="DN107" s="438">
        <v>0</v>
      </c>
      <c r="DO107" s="438">
        <v>0</v>
      </c>
      <c r="DP107" s="438">
        <v>0</v>
      </c>
      <c r="DQ107" s="438">
        <v>0</v>
      </c>
      <c r="DR107" s="438">
        <v>0</v>
      </c>
      <c r="DS107" s="438">
        <v>0</v>
      </c>
      <c r="DT107" s="438">
        <v>0</v>
      </c>
      <c r="DU107" s="438">
        <v>0</v>
      </c>
      <c r="DV107" s="438">
        <v>0</v>
      </c>
      <c r="DW107" s="438">
        <v>0</v>
      </c>
      <c r="DX107" s="438">
        <v>0</v>
      </c>
      <c r="DY107" s="438">
        <v>0</v>
      </c>
      <c r="DZ107" s="438">
        <v>0</v>
      </c>
      <c r="EA107" s="438">
        <v>0</v>
      </c>
      <c r="EB107" s="438">
        <v>0</v>
      </c>
      <c r="EC107" s="438">
        <v>17.018999999999998</v>
      </c>
      <c r="ED107" s="438">
        <v>122510</v>
      </c>
      <c r="EE107" s="438">
        <v>0</v>
      </c>
      <c r="EF107" s="438">
        <v>0</v>
      </c>
      <c r="EG107" s="438">
        <v>0</v>
      </c>
      <c r="EH107" s="438">
        <v>258979</v>
      </c>
      <c r="EI107" s="438">
        <v>0</v>
      </c>
      <c r="EJ107" s="438">
        <v>0</v>
      </c>
      <c r="EK107" s="438">
        <v>11.643000000000001</v>
      </c>
      <c r="EL107" s="438">
        <v>0</v>
      </c>
      <c r="EM107" s="438">
        <v>7.6999999999999999E-2</v>
      </c>
      <c r="EN107" s="438">
        <v>0.88300000000000001</v>
      </c>
      <c r="EO107" s="438">
        <v>0</v>
      </c>
      <c r="EP107" s="438">
        <v>0</v>
      </c>
      <c r="EQ107" s="438">
        <v>12.603</v>
      </c>
      <c r="ER107" s="438">
        <v>0</v>
      </c>
      <c r="ES107" s="438">
        <v>39.575000000000003</v>
      </c>
      <c r="ET107" s="438">
        <v>37584</v>
      </c>
      <c r="EU107" s="438">
        <v>387281</v>
      </c>
      <c r="EV107" s="438">
        <v>0</v>
      </c>
      <c r="EW107" s="438">
        <v>0</v>
      </c>
      <c r="EX107" s="438">
        <v>0</v>
      </c>
      <c r="EZ107" s="438">
        <v>12534299</v>
      </c>
      <c r="FA107" s="438">
        <v>0</v>
      </c>
      <c r="FB107" s="438">
        <v>12921580</v>
      </c>
      <c r="FC107" s="438">
        <v>0.97334900000000002</v>
      </c>
      <c r="FD107" s="438">
        <v>0</v>
      </c>
      <c r="FE107" s="438">
        <v>1795697</v>
      </c>
      <c r="FF107" s="438">
        <v>409279</v>
      </c>
      <c r="FG107" s="437">
        <v>5.7854999999999997E-2</v>
      </c>
      <c r="FH107" s="437">
        <v>5.2366000000000003E-2</v>
      </c>
      <c r="FI107" s="438">
        <v>0</v>
      </c>
      <c r="FJ107" s="438">
        <v>0</v>
      </c>
      <c r="FK107" s="438">
        <v>2446.2399999999998</v>
      </c>
      <c r="FL107" s="438">
        <v>15164140</v>
      </c>
      <c r="FM107" s="438">
        <v>0</v>
      </c>
      <c r="FN107" s="438">
        <v>0</v>
      </c>
      <c r="FO107" s="438">
        <v>92606</v>
      </c>
      <c r="FP107" s="438">
        <v>0</v>
      </c>
      <c r="FQ107" s="438">
        <v>92606</v>
      </c>
      <c r="FR107" s="438">
        <v>92606</v>
      </c>
      <c r="FS107" s="438">
        <v>0</v>
      </c>
      <c r="FT107" s="438">
        <v>0</v>
      </c>
      <c r="FU107" s="438">
        <v>0</v>
      </c>
      <c r="FV107" s="438">
        <v>0</v>
      </c>
      <c r="FW107" s="438">
        <v>0</v>
      </c>
      <c r="FX107" s="438">
        <v>0</v>
      </c>
      <c r="FY107" s="438">
        <v>0</v>
      </c>
      <c r="FZ107" s="438">
        <v>0</v>
      </c>
      <c r="GA107" s="438">
        <v>0</v>
      </c>
      <c r="GB107" s="438">
        <v>0</v>
      </c>
      <c r="GC107" s="438">
        <v>0</v>
      </c>
      <c r="GD107" s="438">
        <v>0</v>
      </c>
      <c r="GF107" s="438">
        <v>0</v>
      </c>
      <c r="GG107" s="438">
        <v>0</v>
      </c>
      <c r="GH107" s="438">
        <v>0</v>
      </c>
      <c r="GI107" s="438">
        <v>0</v>
      </c>
      <c r="GJ107" s="438">
        <v>0</v>
      </c>
      <c r="GK107" s="438">
        <v>4730.6139999999996</v>
      </c>
      <c r="GL107" s="438">
        <v>40516</v>
      </c>
      <c r="GM107" s="438">
        <v>0</v>
      </c>
      <c r="GN107" s="438">
        <v>119565</v>
      </c>
      <c r="GO107" s="438">
        <v>0</v>
      </c>
      <c r="GP107" s="438">
        <v>15126556</v>
      </c>
      <c r="GQ107" s="438">
        <v>15126556</v>
      </c>
      <c r="GR107" s="438">
        <v>0</v>
      </c>
      <c r="GS107" s="438">
        <v>0</v>
      </c>
      <c r="GT107" s="438">
        <v>0</v>
      </c>
      <c r="HB107" s="438">
        <v>0</v>
      </c>
      <c r="HC107" s="437">
        <v>6.0754000000000002E-2</v>
      </c>
      <c r="HD107" s="438">
        <v>0</v>
      </c>
    </row>
    <row r="108" spans="1:212" x14ac:dyDescent="0.2">
      <c r="A108" s="438">
        <v>25836</v>
      </c>
      <c r="B108" s="442">
        <v>101815</v>
      </c>
      <c r="C108" s="438">
        <v>9</v>
      </c>
      <c r="D108" s="438">
        <v>2020</v>
      </c>
      <c r="E108" s="438">
        <v>5392</v>
      </c>
      <c r="F108" s="438">
        <v>0</v>
      </c>
      <c r="G108" s="438">
        <v>233.102</v>
      </c>
      <c r="H108" s="438">
        <v>232.53899999999999</v>
      </c>
      <c r="I108" s="438">
        <v>232.53899999999999</v>
      </c>
      <c r="J108" s="438">
        <v>233.102</v>
      </c>
      <c r="K108" s="438">
        <v>0</v>
      </c>
      <c r="L108" s="437">
        <v>6544</v>
      </c>
      <c r="M108" s="438">
        <v>0</v>
      </c>
      <c r="N108" s="438">
        <v>0</v>
      </c>
      <c r="P108" s="438">
        <v>233.96799999999999</v>
      </c>
      <c r="Q108" s="438">
        <v>0</v>
      </c>
      <c r="R108" s="438">
        <v>57927</v>
      </c>
      <c r="S108" s="437">
        <v>247.58699999999999</v>
      </c>
      <c r="U108" s="438">
        <v>0</v>
      </c>
      <c r="V108" s="438">
        <v>181.19</v>
      </c>
      <c r="W108" s="438">
        <v>118571</v>
      </c>
      <c r="X108" s="438">
        <v>118571</v>
      </c>
      <c r="Z108" s="438">
        <v>0</v>
      </c>
      <c r="AA108" s="438">
        <v>1</v>
      </c>
      <c r="AB108" s="438">
        <v>1</v>
      </c>
      <c r="AC108" s="438">
        <v>0</v>
      </c>
      <c r="AD108" s="438" t="s">
        <v>332</v>
      </c>
      <c r="AE108" s="438">
        <v>0</v>
      </c>
      <c r="AH108" s="438">
        <v>0</v>
      </c>
      <c r="AI108" s="438">
        <v>0</v>
      </c>
      <c r="AJ108" s="437">
        <v>5105</v>
      </c>
      <c r="AK108" s="438" t="s">
        <v>561</v>
      </c>
      <c r="AL108" s="438" t="s">
        <v>55</v>
      </c>
      <c r="AM108" s="438">
        <v>0</v>
      </c>
      <c r="AN108" s="438">
        <v>0</v>
      </c>
      <c r="AO108" s="438">
        <v>0</v>
      </c>
      <c r="AP108" s="438">
        <v>0</v>
      </c>
      <c r="AQ108" s="438">
        <v>0</v>
      </c>
      <c r="AR108" s="438">
        <v>0</v>
      </c>
      <c r="AS108" s="438">
        <v>0</v>
      </c>
      <c r="AT108" s="438">
        <v>0</v>
      </c>
      <c r="AU108" s="438">
        <v>0</v>
      </c>
      <c r="AV108" s="438">
        <v>0</v>
      </c>
      <c r="AW108" s="438">
        <v>2244997</v>
      </c>
      <c r="AX108" s="438">
        <v>2237372</v>
      </c>
      <c r="AY108" s="438">
        <v>0</v>
      </c>
      <c r="AZ108" s="438">
        <v>57927</v>
      </c>
      <c r="BA108" s="438">
        <v>15.167</v>
      </c>
      <c r="BB108" s="438">
        <v>0</v>
      </c>
      <c r="BC108" s="438">
        <v>0</v>
      </c>
      <c r="BD108" s="438">
        <v>0</v>
      </c>
      <c r="BE108" s="438">
        <v>0</v>
      </c>
      <c r="BF108" s="438">
        <v>1906457</v>
      </c>
      <c r="BG108" s="438">
        <v>0</v>
      </c>
      <c r="BH108" s="438">
        <v>0</v>
      </c>
      <c r="BI108" s="438">
        <v>0</v>
      </c>
      <c r="BJ108" s="438">
        <v>12</v>
      </c>
      <c r="BK108" s="438">
        <v>0</v>
      </c>
      <c r="BL108" s="438">
        <v>0</v>
      </c>
      <c r="BM108" s="438">
        <v>0</v>
      </c>
      <c r="BN108" s="438">
        <v>0</v>
      </c>
      <c r="BO108" s="438">
        <v>0</v>
      </c>
      <c r="BP108" s="438">
        <v>0</v>
      </c>
      <c r="BQ108" s="437">
        <v>5392</v>
      </c>
      <c r="BR108" s="438">
        <v>1</v>
      </c>
      <c r="BS108" s="438">
        <v>0</v>
      </c>
      <c r="BT108" s="438">
        <v>0</v>
      </c>
      <c r="BU108" s="438">
        <v>0</v>
      </c>
      <c r="BV108" s="438">
        <v>0</v>
      </c>
      <c r="BW108" s="438">
        <v>0</v>
      </c>
      <c r="BX108" s="438">
        <v>0</v>
      </c>
      <c r="BY108" s="438">
        <v>0</v>
      </c>
      <c r="BZ108" s="438">
        <v>0</v>
      </c>
      <c r="CA108" s="438">
        <v>0</v>
      </c>
      <c r="CB108" s="438">
        <v>0</v>
      </c>
      <c r="CC108" s="438">
        <v>0</v>
      </c>
      <c r="CG108" s="438">
        <v>0</v>
      </c>
      <c r="CH108" s="438">
        <v>7625</v>
      </c>
      <c r="CI108" s="438">
        <v>0</v>
      </c>
      <c r="CJ108" s="438">
        <v>4</v>
      </c>
      <c r="CK108" s="438">
        <v>0</v>
      </c>
      <c r="CL108" s="438">
        <v>0</v>
      </c>
      <c r="CN108" s="438">
        <v>0</v>
      </c>
      <c r="CO108" s="438">
        <v>1</v>
      </c>
      <c r="CP108" s="438">
        <v>0</v>
      </c>
      <c r="CQ108" s="438">
        <v>0.16700000000000001</v>
      </c>
      <c r="CR108" s="438">
        <v>233.102</v>
      </c>
      <c r="CS108" s="438">
        <v>0</v>
      </c>
      <c r="CT108" s="438">
        <v>0</v>
      </c>
      <c r="CU108" s="438">
        <v>0</v>
      </c>
      <c r="CV108" s="438">
        <v>0</v>
      </c>
      <c r="CW108" s="438">
        <v>0</v>
      </c>
      <c r="CX108" s="438">
        <v>0</v>
      </c>
      <c r="CY108" s="438">
        <v>0</v>
      </c>
      <c r="CZ108" s="438">
        <v>0</v>
      </c>
      <c r="DA108" s="438">
        <v>1</v>
      </c>
      <c r="DB108" s="438">
        <v>1521735</v>
      </c>
      <c r="DC108" s="438">
        <v>0</v>
      </c>
      <c r="DD108" s="438">
        <v>15.334</v>
      </c>
      <c r="DE108" s="438">
        <v>222064</v>
      </c>
      <c r="DF108" s="438">
        <v>222064</v>
      </c>
      <c r="DG108" s="438">
        <v>169.67</v>
      </c>
      <c r="DH108" s="438">
        <v>0</v>
      </c>
      <c r="DI108" s="438">
        <v>0</v>
      </c>
      <c r="DK108" s="437">
        <v>5392</v>
      </c>
      <c r="DL108" s="438">
        <v>0</v>
      </c>
      <c r="DM108" s="438">
        <v>96286</v>
      </c>
      <c r="DN108" s="438">
        <v>0</v>
      </c>
      <c r="DO108" s="438">
        <v>0</v>
      </c>
      <c r="DP108" s="438">
        <v>0</v>
      </c>
      <c r="DQ108" s="438">
        <v>0</v>
      </c>
      <c r="DR108" s="438">
        <v>0</v>
      </c>
      <c r="DS108" s="438">
        <v>0</v>
      </c>
      <c r="DT108" s="438">
        <v>0</v>
      </c>
      <c r="DU108" s="438">
        <v>0</v>
      </c>
      <c r="DV108" s="438">
        <v>0</v>
      </c>
      <c r="DW108" s="438">
        <v>0</v>
      </c>
      <c r="DX108" s="438">
        <v>0</v>
      </c>
      <c r="DY108" s="438">
        <v>0</v>
      </c>
      <c r="DZ108" s="438">
        <v>0</v>
      </c>
      <c r="EA108" s="438">
        <v>0</v>
      </c>
      <c r="EB108" s="438">
        <v>0</v>
      </c>
      <c r="EC108" s="438">
        <v>10.817</v>
      </c>
      <c r="ED108" s="438">
        <v>77865</v>
      </c>
      <c r="EE108" s="438">
        <v>0</v>
      </c>
      <c r="EF108" s="438">
        <v>0</v>
      </c>
      <c r="EG108" s="438">
        <v>0</v>
      </c>
      <c r="EH108" s="438">
        <v>18421</v>
      </c>
      <c r="EI108" s="438">
        <v>0</v>
      </c>
      <c r="EJ108" s="438">
        <v>0</v>
      </c>
      <c r="EK108" s="438">
        <v>0</v>
      </c>
      <c r="EL108" s="438">
        <v>0</v>
      </c>
      <c r="EM108" s="438">
        <v>0</v>
      </c>
      <c r="EN108" s="438">
        <v>0.56299999999999994</v>
      </c>
      <c r="EO108" s="438">
        <v>0</v>
      </c>
      <c r="EP108" s="438">
        <v>0</v>
      </c>
      <c r="EQ108" s="438">
        <v>0.56299999999999994</v>
      </c>
      <c r="ER108" s="438">
        <v>0</v>
      </c>
      <c r="ES108" s="438">
        <v>2.8149999999999999</v>
      </c>
      <c r="ET108" s="438">
        <v>7625</v>
      </c>
      <c r="EU108" s="438">
        <v>57927</v>
      </c>
      <c r="EV108" s="438">
        <v>0</v>
      </c>
      <c r="EW108" s="438">
        <v>0</v>
      </c>
      <c r="EX108" s="438">
        <v>0</v>
      </c>
      <c r="EZ108" s="438">
        <v>1900729</v>
      </c>
      <c r="FA108" s="438">
        <v>0</v>
      </c>
      <c r="FB108" s="438">
        <v>1958656</v>
      </c>
      <c r="FC108" s="438">
        <v>0.97334900000000002</v>
      </c>
      <c r="FD108" s="438">
        <v>0</v>
      </c>
      <c r="FE108" s="438">
        <v>274157</v>
      </c>
      <c r="FF108" s="438">
        <v>62486</v>
      </c>
      <c r="FG108" s="437">
        <v>5.7854999999999997E-2</v>
      </c>
      <c r="FH108" s="437">
        <v>5.2366000000000003E-2</v>
      </c>
      <c r="FI108" s="438">
        <v>0</v>
      </c>
      <c r="FJ108" s="438">
        <v>0</v>
      </c>
      <c r="FK108" s="438">
        <v>373.47800000000001</v>
      </c>
      <c r="FL108" s="438">
        <v>2302924</v>
      </c>
      <c r="FM108" s="438">
        <v>0</v>
      </c>
      <c r="FN108" s="438">
        <v>0</v>
      </c>
      <c r="FO108" s="438">
        <v>0</v>
      </c>
      <c r="FP108" s="438">
        <v>0</v>
      </c>
      <c r="FQ108" s="438">
        <v>0</v>
      </c>
      <c r="FR108" s="438">
        <v>0</v>
      </c>
      <c r="FS108" s="438">
        <v>0</v>
      </c>
      <c r="FT108" s="438">
        <v>0</v>
      </c>
      <c r="FU108" s="438">
        <v>0</v>
      </c>
      <c r="FV108" s="438">
        <v>0</v>
      </c>
      <c r="FW108" s="438">
        <v>0</v>
      </c>
      <c r="FX108" s="438">
        <v>0</v>
      </c>
      <c r="FY108" s="438">
        <v>0</v>
      </c>
      <c r="FZ108" s="438">
        <v>0</v>
      </c>
      <c r="GA108" s="438">
        <v>0</v>
      </c>
      <c r="GB108" s="438">
        <v>0</v>
      </c>
      <c r="GC108" s="438">
        <v>0</v>
      </c>
      <c r="GD108" s="438">
        <v>0</v>
      </c>
      <c r="GF108" s="438">
        <v>0</v>
      </c>
      <c r="GG108" s="438">
        <v>0</v>
      </c>
      <c r="GH108" s="438">
        <v>0</v>
      </c>
      <c r="GI108" s="438">
        <v>0</v>
      </c>
      <c r="GJ108" s="438">
        <v>0</v>
      </c>
      <c r="GK108" s="438">
        <v>4608.3429999999998</v>
      </c>
      <c r="GL108" s="438">
        <v>5760</v>
      </c>
      <c r="GM108" s="438">
        <v>0</v>
      </c>
      <c r="GN108" s="438">
        <v>0</v>
      </c>
      <c r="GO108" s="438">
        <v>0</v>
      </c>
      <c r="GP108" s="438">
        <v>2295299</v>
      </c>
      <c r="GQ108" s="438">
        <v>2295299</v>
      </c>
      <c r="GR108" s="438">
        <v>0</v>
      </c>
      <c r="GS108" s="438">
        <v>0</v>
      </c>
      <c r="GT108" s="438">
        <v>0</v>
      </c>
      <c r="HB108" s="438">
        <v>0</v>
      </c>
      <c r="HC108" s="437">
        <v>6.0754000000000002E-2</v>
      </c>
      <c r="HD108" s="438">
        <v>0</v>
      </c>
    </row>
    <row r="109" spans="1:212" x14ac:dyDescent="0.2">
      <c r="A109" s="438">
        <v>25836</v>
      </c>
      <c r="B109" s="442">
        <v>101819</v>
      </c>
      <c r="C109" s="438">
        <v>9</v>
      </c>
      <c r="D109" s="438">
        <v>2020</v>
      </c>
      <c r="E109" s="438">
        <v>5392</v>
      </c>
      <c r="F109" s="438">
        <v>0</v>
      </c>
      <c r="G109" s="438">
        <v>453.63200000000001</v>
      </c>
      <c r="H109" s="438">
        <v>447.41300000000001</v>
      </c>
      <c r="I109" s="438">
        <v>447.41300000000001</v>
      </c>
      <c r="J109" s="438">
        <v>453.63200000000001</v>
      </c>
      <c r="K109" s="438">
        <v>0</v>
      </c>
      <c r="L109" s="437">
        <v>6544</v>
      </c>
      <c r="M109" s="438">
        <v>0</v>
      </c>
      <c r="N109" s="438">
        <v>0</v>
      </c>
      <c r="P109" s="438">
        <v>453.51299999999998</v>
      </c>
      <c r="Q109" s="438">
        <v>0</v>
      </c>
      <c r="R109" s="438">
        <v>112284</v>
      </c>
      <c r="S109" s="437">
        <v>247.58699999999999</v>
      </c>
      <c r="U109" s="438">
        <v>0</v>
      </c>
      <c r="V109" s="438">
        <v>381.37200000000001</v>
      </c>
      <c r="W109" s="438">
        <v>249570</v>
      </c>
      <c r="X109" s="438">
        <v>249570</v>
      </c>
      <c r="Z109" s="438">
        <v>0</v>
      </c>
      <c r="AA109" s="438">
        <v>1</v>
      </c>
      <c r="AB109" s="438">
        <v>1</v>
      </c>
      <c r="AC109" s="438">
        <v>0</v>
      </c>
      <c r="AD109" s="438" t="s">
        <v>332</v>
      </c>
      <c r="AE109" s="438">
        <v>0</v>
      </c>
      <c r="AH109" s="438">
        <v>0</v>
      </c>
      <c r="AI109" s="438">
        <v>0</v>
      </c>
      <c r="AJ109" s="437">
        <v>5105</v>
      </c>
      <c r="AK109" s="438" t="s">
        <v>561</v>
      </c>
      <c r="AL109" s="438" t="s">
        <v>364</v>
      </c>
      <c r="AM109" s="438">
        <v>0</v>
      </c>
      <c r="AN109" s="438">
        <v>0</v>
      </c>
      <c r="AO109" s="438">
        <v>0</v>
      </c>
      <c r="AP109" s="438">
        <v>0</v>
      </c>
      <c r="AQ109" s="438">
        <v>0</v>
      </c>
      <c r="AR109" s="438">
        <v>0</v>
      </c>
      <c r="AS109" s="438">
        <v>0</v>
      </c>
      <c r="AT109" s="438">
        <v>0</v>
      </c>
      <c r="AU109" s="438">
        <v>0</v>
      </c>
      <c r="AV109" s="438">
        <v>0</v>
      </c>
      <c r="AW109" s="438">
        <v>4585730</v>
      </c>
      <c r="AX109" s="438">
        <v>4585730</v>
      </c>
      <c r="AY109" s="438">
        <v>0</v>
      </c>
      <c r="AZ109" s="438">
        <v>112284</v>
      </c>
      <c r="BA109" s="438">
        <v>0</v>
      </c>
      <c r="BB109" s="438">
        <v>0</v>
      </c>
      <c r="BC109" s="438">
        <v>0</v>
      </c>
      <c r="BD109" s="438">
        <v>0</v>
      </c>
      <c r="BE109" s="438">
        <v>0</v>
      </c>
      <c r="BF109" s="438">
        <v>3902131</v>
      </c>
      <c r="BG109" s="438">
        <v>0</v>
      </c>
      <c r="BH109" s="438">
        <v>0</v>
      </c>
      <c r="BI109" s="438">
        <v>0</v>
      </c>
      <c r="BJ109" s="438">
        <v>12</v>
      </c>
      <c r="BK109" s="438">
        <v>0</v>
      </c>
      <c r="BL109" s="438">
        <v>0</v>
      </c>
      <c r="BM109" s="438">
        <v>0</v>
      </c>
      <c r="BN109" s="438">
        <v>0</v>
      </c>
      <c r="BO109" s="438">
        <v>0</v>
      </c>
      <c r="BP109" s="438">
        <v>0</v>
      </c>
      <c r="BQ109" s="437">
        <v>5392</v>
      </c>
      <c r="BR109" s="438">
        <v>1</v>
      </c>
      <c r="BS109" s="438">
        <v>0</v>
      </c>
      <c r="BT109" s="438">
        <v>0</v>
      </c>
      <c r="BU109" s="438">
        <v>0</v>
      </c>
      <c r="BV109" s="438">
        <v>0</v>
      </c>
      <c r="BW109" s="438">
        <v>0</v>
      </c>
      <c r="BX109" s="438">
        <v>0</v>
      </c>
      <c r="BY109" s="438">
        <v>0</v>
      </c>
      <c r="BZ109" s="438">
        <v>0</v>
      </c>
      <c r="CA109" s="438">
        <v>0</v>
      </c>
      <c r="CB109" s="438">
        <v>0</v>
      </c>
      <c r="CC109" s="438">
        <v>0</v>
      </c>
      <c r="CG109" s="438">
        <v>0</v>
      </c>
      <c r="CH109" s="438">
        <v>0</v>
      </c>
      <c r="CI109" s="438">
        <v>0</v>
      </c>
      <c r="CJ109" s="438">
        <v>4</v>
      </c>
      <c r="CK109" s="438">
        <v>0</v>
      </c>
      <c r="CL109" s="438">
        <v>0</v>
      </c>
      <c r="CN109" s="438">
        <v>0</v>
      </c>
      <c r="CO109" s="438">
        <v>1</v>
      </c>
      <c r="CP109" s="438">
        <v>0</v>
      </c>
      <c r="CQ109" s="438">
        <v>0</v>
      </c>
      <c r="CR109" s="438">
        <v>453.63200000000001</v>
      </c>
      <c r="CS109" s="438">
        <v>0</v>
      </c>
      <c r="CT109" s="438">
        <v>0</v>
      </c>
      <c r="CU109" s="438">
        <v>0</v>
      </c>
      <c r="CV109" s="438">
        <v>0</v>
      </c>
      <c r="CW109" s="438">
        <v>0</v>
      </c>
      <c r="CX109" s="438">
        <v>0</v>
      </c>
      <c r="CY109" s="438">
        <v>0</v>
      </c>
      <c r="CZ109" s="438">
        <v>0</v>
      </c>
      <c r="DA109" s="438">
        <v>1</v>
      </c>
      <c r="DB109" s="438">
        <v>2927871</v>
      </c>
      <c r="DC109" s="438">
        <v>0</v>
      </c>
      <c r="DD109" s="438">
        <v>0</v>
      </c>
      <c r="DE109" s="438">
        <v>666834</v>
      </c>
      <c r="DF109" s="438">
        <v>666834</v>
      </c>
      <c r="DG109" s="438">
        <v>509.5</v>
      </c>
      <c r="DH109" s="438">
        <v>0</v>
      </c>
      <c r="DI109" s="438">
        <v>0</v>
      </c>
      <c r="DK109" s="437">
        <v>5392</v>
      </c>
      <c r="DL109" s="438">
        <v>0</v>
      </c>
      <c r="DM109" s="438">
        <v>164698</v>
      </c>
      <c r="DN109" s="438">
        <v>0</v>
      </c>
      <c r="DO109" s="438">
        <v>0</v>
      </c>
      <c r="DP109" s="438">
        <v>0</v>
      </c>
      <c r="DQ109" s="438">
        <v>0</v>
      </c>
      <c r="DR109" s="438">
        <v>0</v>
      </c>
      <c r="DS109" s="438">
        <v>0</v>
      </c>
      <c r="DT109" s="438">
        <v>0</v>
      </c>
      <c r="DU109" s="438">
        <v>0</v>
      </c>
      <c r="DV109" s="438">
        <v>0</v>
      </c>
      <c r="DW109" s="438">
        <v>0</v>
      </c>
      <c r="DX109" s="438">
        <v>0</v>
      </c>
      <c r="DY109" s="438">
        <v>0</v>
      </c>
      <c r="DZ109" s="438">
        <v>0</v>
      </c>
      <c r="EA109" s="438">
        <v>0</v>
      </c>
      <c r="EB109" s="438">
        <v>0</v>
      </c>
      <c r="EC109" s="438">
        <v>4.6280000000000001</v>
      </c>
      <c r="ED109" s="438">
        <v>33314</v>
      </c>
      <c r="EE109" s="438">
        <v>0</v>
      </c>
      <c r="EF109" s="438">
        <v>0</v>
      </c>
      <c r="EG109" s="438">
        <v>0</v>
      </c>
      <c r="EH109" s="438">
        <v>131384</v>
      </c>
      <c r="EI109" s="438">
        <v>0</v>
      </c>
      <c r="EJ109" s="438">
        <v>0</v>
      </c>
      <c r="EK109" s="438">
        <v>5.0279999999999996</v>
      </c>
      <c r="EL109" s="438">
        <v>0</v>
      </c>
      <c r="EM109" s="438">
        <v>0.48099999999999998</v>
      </c>
      <c r="EN109" s="438">
        <v>0.71</v>
      </c>
      <c r="EO109" s="438">
        <v>0</v>
      </c>
      <c r="EP109" s="438">
        <v>0</v>
      </c>
      <c r="EQ109" s="438">
        <v>6.2190000000000003</v>
      </c>
      <c r="ER109" s="438">
        <v>0</v>
      </c>
      <c r="ES109" s="438">
        <v>20.077000000000002</v>
      </c>
      <c r="ET109" s="438">
        <v>0</v>
      </c>
      <c r="EU109" s="438">
        <v>112284</v>
      </c>
      <c r="EV109" s="438">
        <v>0</v>
      </c>
      <c r="EW109" s="438">
        <v>0</v>
      </c>
      <c r="EX109" s="438">
        <v>0</v>
      </c>
      <c r="EZ109" s="438">
        <v>3896689</v>
      </c>
      <c r="FA109" s="438">
        <v>0</v>
      </c>
      <c r="FB109" s="438">
        <v>4008973</v>
      </c>
      <c r="FC109" s="438">
        <v>0.97334900000000002</v>
      </c>
      <c r="FD109" s="438">
        <v>0</v>
      </c>
      <c r="FE109" s="438">
        <v>561144</v>
      </c>
      <c r="FF109" s="438">
        <v>127897</v>
      </c>
      <c r="FG109" s="437">
        <v>5.7854999999999997E-2</v>
      </c>
      <c r="FH109" s="437">
        <v>5.2366000000000003E-2</v>
      </c>
      <c r="FI109" s="438">
        <v>0</v>
      </c>
      <c r="FJ109" s="438">
        <v>0</v>
      </c>
      <c r="FK109" s="438">
        <v>764.43399999999997</v>
      </c>
      <c r="FL109" s="438">
        <v>4698014</v>
      </c>
      <c r="FM109" s="438">
        <v>0</v>
      </c>
      <c r="FN109" s="438">
        <v>0</v>
      </c>
      <c r="FO109" s="438">
        <v>0</v>
      </c>
      <c r="FP109" s="438">
        <v>0</v>
      </c>
      <c r="FQ109" s="438">
        <v>0</v>
      </c>
      <c r="FR109" s="438">
        <v>0</v>
      </c>
      <c r="FS109" s="438">
        <v>0</v>
      </c>
      <c r="FT109" s="438">
        <v>0</v>
      </c>
      <c r="FU109" s="438">
        <v>0</v>
      </c>
      <c r="FV109" s="438">
        <v>0</v>
      </c>
      <c r="FW109" s="438">
        <v>0</v>
      </c>
      <c r="FX109" s="438">
        <v>0</v>
      </c>
      <c r="FY109" s="438">
        <v>0</v>
      </c>
      <c r="FZ109" s="438">
        <v>0</v>
      </c>
      <c r="GA109" s="438">
        <v>0</v>
      </c>
      <c r="GB109" s="438">
        <v>0</v>
      </c>
      <c r="GC109" s="438">
        <v>0</v>
      </c>
      <c r="GD109" s="438">
        <v>0</v>
      </c>
      <c r="GF109" s="438">
        <v>0</v>
      </c>
      <c r="GG109" s="438">
        <v>0</v>
      </c>
      <c r="GH109" s="438">
        <v>0</v>
      </c>
      <c r="GI109" s="438">
        <v>0</v>
      </c>
      <c r="GJ109" s="438">
        <v>0</v>
      </c>
      <c r="GK109" s="438">
        <v>4748.2139999999999</v>
      </c>
      <c r="GL109" s="438">
        <v>14452</v>
      </c>
      <c r="GM109" s="438">
        <v>0</v>
      </c>
      <c r="GN109" s="438">
        <v>0</v>
      </c>
      <c r="GO109" s="438">
        <v>0</v>
      </c>
      <c r="GP109" s="438">
        <v>4698014</v>
      </c>
      <c r="GQ109" s="438">
        <v>4698014</v>
      </c>
      <c r="GR109" s="438">
        <v>0</v>
      </c>
      <c r="GS109" s="438">
        <v>0</v>
      </c>
      <c r="GT109" s="438">
        <v>0</v>
      </c>
      <c r="HB109" s="438">
        <v>0</v>
      </c>
      <c r="HC109" s="437">
        <v>6.0754000000000002E-2</v>
      </c>
      <c r="HD109" s="438">
        <v>0</v>
      </c>
    </row>
    <row r="110" spans="1:212" x14ac:dyDescent="0.2">
      <c r="A110" s="438">
        <v>25836</v>
      </c>
      <c r="B110" s="442">
        <v>101821</v>
      </c>
      <c r="C110" s="438">
        <v>9</v>
      </c>
      <c r="D110" s="438">
        <v>2020</v>
      </c>
      <c r="E110" s="438">
        <v>5392</v>
      </c>
      <c r="F110" s="438">
        <v>0</v>
      </c>
      <c r="G110" s="438">
        <v>192.06200000000001</v>
      </c>
      <c r="H110" s="438">
        <v>164.107</v>
      </c>
      <c r="I110" s="438">
        <v>164.107</v>
      </c>
      <c r="J110" s="438">
        <v>192.06200000000001</v>
      </c>
      <c r="K110" s="438">
        <v>0</v>
      </c>
      <c r="L110" s="437">
        <v>6544</v>
      </c>
      <c r="M110" s="438">
        <v>0</v>
      </c>
      <c r="N110" s="438">
        <v>0</v>
      </c>
      <c r="P110" s="438">
        <v>189.92500000000001</v>
      </c>
      <c r="Q110" s="438">
        <v>0</v>
      </c>
      <c r="R110" s="438">
        <v>47023</v>
      </c>
      <c r="S110" s="437">
        <v>247.58699999999999</v>
      </c>
      <c r="U110" s="438">
        <v>0</v>
      </c>
      <c r="V110" s="438">
        <v>0</v>
      </c>
      <c r="W110" s="438">
        <v>0</v>
      </c>
      <c r="X110" s="438">
        <v>0</v>
      </c>
      <c r="Z110" s="438">
        <v>0</v>
      </c>
      <c r="AA110" s="438">
        <v>1</v>
      </c>
      <c r="AB110" s="438">
        <v>1</v>
      </c>
      <c r="AC110" s="438">
        <v>0</v>
      </c>
      <c r="AD110" s="438" t="s">
        <v>332</v>
      </c>
      <c r="AE110" s="438">
        <v>0</v>
      </c>
      <c r="AH110" s="438">
        <v>0</v>
      </c>
      <c r="AI110" s="438">
        <v>0</v>
      </c>
      <c r="AJ110" s="437">
        <v>5105</v>
      </c>
      <c r="AK110" s="438" t="s">
        <v>561</v>
      </c>
      <c r="AL110" s="438" t="s">
        <v>10</v>
      </c>
      <c r="AM110" s="438">
        <v>0</v>
      </c>
      <c r="AN110" s="438">
        <v>0</v>
      </c>
      <c r="AO110" s="438">
        <v>0</v>
      </c>
      <c r="AP110" s="438">
        <v>0</v>
      </c>
      <c r="AQ110" s="438">
        <v>0</v>
      </c>
      <c r="AR110" s="438">
        <v>0</v>
      </c>
      <c r="AS110" s="438">
        <v>0</v>
      </c>
      <c r="AT110" s="438">
        <v>0</v>
      </c>
      <c r="AU110" s="438">
        <v>0</v>
      </c>
      <c r="AV110" s="438">
        <v>0</v>
      </c>
      <c r="AW110" s="438">
        <v>2072801</v>
      </c>
      <c r="AX110" s="438">
        <v>2019984</v>
      </c>
      <c r="AY110" s="438">
        <v>0</v>
      </c>
      <c r="AZ110" s="438">
        <v>99840</v>
      </c>
      <c r="BA110" s="438">
        <v>0</v>
      </c>
      <c r="BB110" s="438">
        <v>7063</v>
      </c>
      <c r="BC110" s="438">
        <v>7063</v>
      </c>
      <c r="BD110" s="438">
        <v>8.9939999999999998</v>
      </c>
      <c r="BE110" s="438">
        <v>0</v>
      </c>
      <c r="BF110" s="438">
        <v>1716839</v>
      </c>
      <c r="BG110" s="438">
        <v>0</v>
      </c>
      <c r="BH110" s="438">
        <v>196.827</v>
      </c>
      <c r="BI110" s="438">
        <v>52817</v>
      </c>
      <c r="BJ110" s="438">
        <v>12</v>
      </c>
      <c r="BK110" s="438">
        <v>0</v>
      </c>
      <c r="BL110" s="438">
        <v>0</v>
      </c>
      <c r="BM110" s="438">
        <v>0</v>
      </c>
      <c r="BN110" s="438">
        <v>0</v>
      </c>
      <c r="BO110" s="438">
        <v>0</v>
      </c>
      <c r="BP110" s="438">
        <v>0</v>
      </c>
      <c r="BQ110" s="437">
        <v>5392</v>
      </c>
      <c r="BR110" s="438">
        <v>1</v>
      </c>
      <c r="BS110" s="438">
        <v>0</v>
      </c>
      <c r="BT110" s="438">
        <v>0</v>
      </c>
      <c r="BU110" s="438">
        <v>0</v>
      </c>
      <c r="BV110" s="438">
        <v>0</v>
      </c>
      <c r="BW110" s="438">
        <v>0</v>
      </c>
      <c r="BX110" s="438">
        <v>0</v>
      </c>
      <c r="BY110" s="438">
        <v>0</v>
      </c>
      <c r="BZ110" s="438">
        <v>0</v>
      </c>
      <c r="CA110" s="438">
        <v>0</v>
      </c>
      <c r="CB110" s="438">
        <v>0</v>
      </c>
      <c r="CC110" s="438">
        <v>0</v>
      </c>
      <c r="CG110" s="438">
        <v>0</v>
      </c>
      <c r="CH110" s="438">
        <v>0</v>
      </c>
      <c r="CI110" s="438">
        <v>0</v>
      </c>
      <c r="CJ110" s="438">
        <v>4</v>
      </c>
      <c r="CK110" s="438">
        <v>0</v>
      </c>
      <c r="CL110" s="438">
        <v>0</v>
      </c>
      <c r="CN110" s="438">
        <v>0</v>
      </c>
      <c r="CO110" s="438">
        <v>1</v>
      </c>
      <c r="CP110" s="438">
        <v>1.296</v>
      </c>
      <c r="CQ110" s="438">
        <v>0</v>
      </c>
      <c r="CR110" s="438">
        <v>192.06200000000001</v>
      </c>
      <c r="CS110" s="438">
        <v>0</v>
      </c>
      <c r="CT110" s="438">
        <v>0</v>
      </c>
      <c r="CU110" s="438">
        <v>0</v>
      </c>
      <c r="CV110" s="438">
        <v>0</v>
      </c>
      <c r="CW110" s="438">
        <v>0</v>
      </c>
      <c r="CX110" s="438">
        <v>0</v>
      </c>
      <c r="CY110" s="438">
        <v>0</v>
      </c>
      <c r="CZ110" s="438">
        <v>0</v>
      </c>
      <c r="DA110" s="438">
        <v>1</v>
      </c>
      <c r="DB110" s="438">
        <v>1073916</v>
      </c>
      <c r="DC110" s="438">
        <v>0</v>
      </c>
      <c r="DD110" s="438">
        <v>0</v>
      </c>
      <c r="DE110" s="438">
        <v>246054</v>
      </c>
      <c r="DF110" s="438">
        <v>266493</v>
      </c>
      <c r="DG110" s="438">
        <v>188</v>
      </c>
      <c r="DH110" s="438">
        <v>0</v>
      </c>
      <c r="DI110" s="438">
        <v>20439</v>
      </c>
      <c r="DK110" s="437">
        <v>5392</v>
      </c>
      <c r="DL110" s="438">
        <v>0</v>
      </c>
      <c r="DM110" s="438">
        <v>228202</v>
      </c>
      <c r="DN110" s="438">
        <v>0</v>
      </c>
      <c r="DO110" s="438">
        <v>0</v>
      </c>
      <c r="DP110" s="438">
        <v>0</v>
      </c>
      <c r="DQ110" s="438">
        <v>0</v>
      </c>
      <c r="DR110" s="438">
        <v>0</v>
      </c>
      <c r="DS110" s="438">
        <v>0</v>
      </c>
      <c r="DT110" s="438">
        <v>0</v>
      </c>
      <c r="DU110" s="438">
        <v>0</v>
      </c>
      <c r="DV110" s="438">
        <v>0</v>
      </c>
      <c r="DW110" s="438">
        <v>0</v>
      </c>
      <c r="DX110" s="438">
        <v>0</v>
      </c>
      <c r="DY110" s="438">
        <v>0</v>
      </c>
      <c r="DZ110" s="438">
        <v>0</v>
      </c>
      <c r="EA110" s="438">
        <v>0</v>
      </c>
      <c r="EB110" s="438">
        <v>0</v>
      </c>
      <c r="EC110" s="438">
        <v>13.11</v>
      </c>
      <c r="ED110" s="438">
        <v>94371</v>
      </c>
      <c r="EE110" s="438">
        <v>0</v>
      </c>
      <c r="EF110" s="438">
        <v>0</v>
      </c>
      <c r="EG110" s="438">
        <v>0</v>
      </c>
      <c r="EH110" s="438">
        <v>133831</v>
      </c>
      <c r="EI110" s="438">
        <v>0</v>
      </c>
      <c r="EJ110" s="438">
        <v>0</v>
      </c>
      <c r="EK110" s="438">
        <v>6.4119999999999999</v>
      </c>
      <c r="EL110" s="438">
        <v>0</v>
      </c>
      <c r="EM110" s="438">
        <v>0</v>
      </c>
      <c r="EN110" s="438">
        <v>0.24299999999999999</v>
      </c>
      <c r="EO110" s="438">
        <v>0</v>
      </c>
      <c r="EP110" s="438">
        <v>0</v>
      </c>
      <c r="EQ110" s="438">
        <v>6.6550000000000002</v>
      </c>
      <c r="ER110" s="438">
        <v>0</v>
      </c>
      <c r="ES110" s="438">
        <v>20.451000000000001</v>
      </c>
      <c r="ET110" s="438">
        <v>0</v>
      </c>
      <c r="EU110" s="438">
        <v>99840</v>
      </c>
      <c r="EV110" s="438">
        <v>0</v>
      </c>
      <c r="EW110" s="438">
        <v>0</v>
      </c>
      <c r="EX110" s="438">
        <v>0</v>
      </c>
      <c r="EZ110" s="438">
        <v>1716824</v>
      </c>
      <c r="FA110" s="438">
        <v>0</v>
      </c>
      <c r="FB110" s="438">
        <v>1816664</v>
      </c>
      <c r="FC110" s="438">
        <v>0.97334900000000002</v>
      </c>
      <c r="FD110" s="438">
        <v>0</v>
      </c>
      <c r="FE110" s="438">
        <v>246889</v>
      </c>
      <c r="FF110" s="438">
        <v>56271</v>
      </c>
      <c r="FG110" s="437">
        <v>5.7854999999999997E-2</v>
      </c>
      <c r="FH110" s="437">
        <v>5.2366000000000003E-2</v>
      </c>
      <c r="FI110" s="438">
        <v>0</v>
      </c>
      <c r="FJ110" s="438">
        <v>0</v>
      </c>
      <c r="FK110" s="438">
        <v>336.33199999999999</v>
      </c>
      <c r="FL110" s="438">
        <v>2119824</v>
      </c>
      <c r="FM110" s="438">
        <v>0</v>
      </c>
      <c r="FN110" s="438">
        <v>0</v>
      </c>
      <c r="FO110" s="438">
        <v>0</v>
      </c>
      <c r="FP110" s="438">
        <v>0</v>
      </c>
      <c r="FQ110" s="438">
        <v>0</v>
      </c>
      <c r="FR110" s="438">
        <v>0</v>
      </c>
      <c r="FS110" s="438">
        <v>0</v>
      </c>
      <c r="FT110" s="438">
        <v>0</v>
      </c>
      <c r="FU110" s="438">
        <v>0</v>
      </c>
      <c r="FV110" s="438">
        <v>0</v>
      </c>
      <c r="FW110" s="438">
        <v>0</v>
      </c>
      <c r="FX110" s="438">
        <v>0</v>
      </c>
      <c r="FY110" s="438">
        <v>0</v>
      </c>
      <c r="FZ110" s="438">
        <v>0</v>
      </c>
      <c r="GA110" s="438">
        <v>0</v>
      </c>
      <c r="GB110" s="438">
        <v>188173</v>
      </c>
      <c r="GC110" s="438">
        <v>188173</v>
      </c>
      <c r="GD110" s="438">
        <v>21.3</v>
      </c>
      <c r="GF110" s="438">
        <v>0</v>
      </c>
      <c r="GG110" s="438">
        <v>0</v>
      </c>
      <c r="GH110" s="438">
        <v>0</v>
      </c>
      <c r="GI110" s="438">
        <v>0</v>
      </c>
      <c r="GJ110" s="438">
        <v>0</v>
      </c>
      <c r="GK110" s="438">
        <v>4824.17</v>
      </c>
      <c r="GL110" s="438">
        <v>6716</v>
      </c>
      <c r="GM110" s="438">
        <v>0</v>
      </c>
      <c r="GN110" s="438">
        <v>0</v>
      </c>
      <c r="GO110" s="438">
        <v>0</v>
      </c>
      <c r="GP110" s="438">
        <v>2119824</v>
      </c>
      <c r="GQ110" s="438">
        <v>2119824</v>
      </c>
      <c r="GR110" s="438">
        <v>0</v>
      </c>
      <c r="GS110" s="438">
        <v>0</v>
      </c>
      <c r="GT110" s="438">
        <v>0</v>
      </c>
      <c r="HB110" s="438">
        <v>0</v>
      </c>
      <c r="HC110" s="437">
        <v>6.0754000000000002E-2</v>
      </c>
      <c r="HD110" s="438">
        <v>0</v>
      </c>
    </row>
    <row r="111" spans="1:212" x14ac:dyDescent="0.2">
      <c r="A111" s="438">
        <v>25836</v>
      </c>
      <c r="B111" s="442">
        <v>101828</v>
      </c>
      <c r="C111" s="438">
        <v>9</v>
      </c>
      <c r="D111" s="438">
        <v>2020</v>
      </c>
      <c r="E111" s="438">
        <v>5392</v>
      </c>
      <c r="F111" s="438">
        <v>0</v>
      </c>
      <c r="G111" s="438">
        <v>2135.3330000000001</v>
      </c>
      <c r="H111" s="438">
        <v>2102.2890000000002</v>
      </c>
      <c r="I111" s="438">
        <v>2102.2890000000002</v>
      </c>
      <c r="J111" s="438">
        <v>2135.3330000000001</v>
      </c>
      <c r="K111" s="438">
        <v>0</v>
      </c>
      <c r="L111" s="437">
        <v>6544</v>
      </c>
      <c r="M111" s="438">
        <v>0</v>
      </c>
      <c r="N111" s="438">
        <v>0</v>
      </c>
      <c r="P111" s="438">
        <v>2145.558</v>
      </c>
      <c r="Q111" s="438">
        <v>0</v>
      </c>
      <c r="R111" s="438">
        <v>531212</v>
      </c>
      <c r="S111" s="437">
        <v>247.58699999999999</v>
      </c>
      <c r="U111" s="438">
        <v>0</v>
      </c>
      <c r="V111" s="438">
        <v>971.58500000000004</v>
      </c>
      <c r="W111" s="438">
        <v>635805</v>
      </c>
      <c r="X111" s="438">
        <v>635805</v>
      </c>
      <c r="Z111" s="438">
        <v>0</v>
      </c>
      <c r="AA111" s="438">
        <v>1</v>
      </c>
      <c r="AB111" s="438">
        <v>1</v>
      </c>
      <c r="AC111" s="438">
        <v>0</v>
      </c>
      <c r="AD111" s="438" t="s">
        <v>332</v>
      </c>
      <c r="AE111" s="438">
        <v>0</v>
      </c>
      <c r="AH111" s="438">
        <v>0</v>
      </c>
      <c r="AI111" s="438">
        <v>0</v>
      </c>
      <c r="AJ111" s="437">
        <v>5105</v>
      </c>
      <c r="AK111" s="438" t="s">
        <v>561</v>
      </c>
      <c r="AL111" s="438" t="s">
        <v>365</v>
      </c>
      <c r="AM111" s="438">
        <v>0</v>
      </c>
      <c r="AN111" s="438">
        <v>0</v>
      </c>
      <c r="AO111" s="438">
        <v>0</v>
      </c>
      <c r="AP111" s="438">
        <v>0</v>
      </c>
      <c r="AQ111" s="438">
        <v>0</v>
      </c>
      <c r="AR111" s="438">
        <v>0</v>
      </c>
      <c r="AS111" s="438">
        <v>0</v>
      </c>
      <c r="AT111" s="438">
        <v>0</v>
      </c>
      <c r="AU111" s="438">
        <v>0</v>
      </c>
      <c r="AV111" s="438">
        <v>0</v>
      </c>
      <c r="AW111" s="438">
        <v>20401244</v>
      </c>
      <c r="AX111" s="438">
        <v>20304059</v>
      </c>
      <c r="AY111" s="438">
        <v>0</v>
      </c>
      <c r="AZ111" s="438">
        <v>628397</v>
      </c>
      <c r="BA111" s="438">
        <v>0</v>
      </c>
      <c r="BB111" s="438">
        <v>0</v>
      </c>
      <c r="BC111" s="438">
        <v>0</v>
      </c>
      <c r="BD111" s="438">
        <v>0</v>
      </c>
      <c r="BE111" s="438">
        <v>0</v>
      </c>
      <c r="BF111" s="438">
        <v>17305603</v>
      </c>
      <c r="BG111" s="438">
        <v>0</v>
      </c>
      <c r="BH111" s="438">
        <v>353.4</v>
      </c>
      <c r="BI111" s="438">
        <v>97185</v>
      </c>
      <c r="BJ111" s="438">
        <v>12</v>
      </c>
      <c r="BK111" s="438">
        <v>0</v>
      </c>
      <c r="BL111" s="438">
        <v>0</v>
      </c>
      <c r="BM111" s="438">
        <v>0</v>
      </c>
      <c r="BN111" s="438">
        <v>0</v>
      </c>
      <c r="BO111" s="438">
        <v>0</v>
      </c>
      <c r="BP111" s="438">
        <v>0</v>
      </c>
      <c r="BQ111" s="437">
        <v>5392</v>
      </c>
      <c r="BR111" s="438">
        <v>1</v>
      </c>
      <c r="BS111" s="438">
        <v>0</v>
      </c>
      <c r="BT111" s="438">
        <v>0</v>
      </c>
      <c r="BU111" s="438">
        <v>0</v>
      </c>
      <c r="BV111" s="438">
        <v>0</v>
      </c>
      <c r="BW111" s="438">
        <v>0</v>
      </c>
      <c r="BX111" s="438">
        <v>0</v>
      </c>
      <c r="BY111" s="438">
        <v>0</v>
      </c>
      <c r="BZ111" s="438">
        <v>0</v>
      </c>
      <c r="CA111" s="438">
        <v>0</v>
      </c>
      <c r="CB111" s="438">
        <v>0</v>
      </c>
      <c r="CC111" s="438">
        <v>0</v>
      </c>
      <c r="CG111" s="438">
        <v>0</v>
      </c>
      <c r="CH111" s="438">
        <v>0</v>
      </c>
      <c r="CI111" s="438">
        <v>0</v>
      </c>
      <c r="CJ111" s="438">
        <v>4</v>
      </c>
      <c r="CK111" s="438">
        <v>0</v>
      </c>
      <c r="CL111" s="438">
        <v>0</v>
      </c>
      <c r="CN111" s="438">
        <v>0</v>
      </c>
      <c r="CO111" s="438">
        <v>1</v>
      </c>
      <c r="CP111" s="438">
        <v>0</v>
      </c>
      <c r="CQ111" s="438">
        <v>0</v>
      </c>
      <c r="CR111" s="438">
        <v>2135.3330000000001</v>
      </c>
      <c r="CS111" s="438">
        <v>0</v>
      </c>
      <c r="CT111" s="438">
        <v>0</v>
      </c>
      <c r="CU111" s="438">
        <v>0</v>
      </c>
      <c r="CV111" s="438">
        <v>0</v>
      </c>
      <c r="CW111" s="438">
        <v>0</v>
      </c>
      <c r="CX111" s="438">
        <v>0</v>
      </c>
      <c r="CY111" s="438">
        <v>0</v>
      </c>
      <c r="CZ111" s="438">
        <v>0</v>
      </c>
      <c r="DA111" s="438">
        <v>1</v>
      </c>
      <c r="DB111" s="438">
        <v>13757379</v>
      </c>
      <c r="DC111" s="438">
        <v>0</v>
      </c>
      <c r="DD111" s="438">
        <v>0</v>
      </c>
      <c r="DE111" s="438">
        <v>2799746</v>
      </c>
      <c r="DF111" s="438">
        <v>2799746</v>
      </c>
      <c r="DG111" s="438">
        <v>2139.17</v>
      </c>
      <c r="DH111" s="438">
        <v>0</v>
      </c>
      <c r="DI111" s="438">
        <v>0</v>
      </c>
      <c r="DK111" s="437">
        <v>5392</v>
      </c>
      <c r="DL111" s="438">
        <v>0</v>
      </c>
      <c r="DM111" s="438">
        <v>486792</v>
      </c>
      <c r="DN111" s="438">
        <v>0</v>
      </c>
      <c r="DO111" s="438">
        <v>0</v>
      </c>
      <c r="DP111" s="438">
        <v>0</v>
      </c>
      <c r="DQ111" s="438">
        <v>0</v>
      </c>
      <c r="DR111" s="438">
        <v>0</v>
      </c>
      <c r="DS111" s="438">
        <v>0</v>
      </c>
      <c r="DT111" s="438">
        <v>0</v>
      </c>
      <c r="DU111" s="438">
        <v>0</v>
      </c>
      <c r="DV111" s="438">
        <v>0</v>
      </c>
      <c r="DW111" s="438">
        <v>0</v>
      </c>
      <c r="DX111" s="438">
        <v>0</v>
      </c>
      <c r="DY111" s="438">
        <v>0</v>
      </c>
      <c r="DZ111" s="438">
        <v>0</v>
      </c>
      <c r="EA111" s="438">
        <v>0</v>
      </c>
      <c r="EB111" s="438">
        <v>0</v>
      </c>
      <c r="EC111" s="438">
        <v>5.6950000000000003</v>
      </c>
      <c r="ED111" s="438">
        <v>40995</v>
      </c>
      <c r="EE111" s="438">
        <v>0</v>
      </c>
      <c r="EF111" s="438">
        <v>0</v>
      </c>
      <c r="EG111" s="438">
        <v>0</v>
      </c>
      <c r="EH111" s="438">
        <v>445797</v>
      </c>
      <c r="EI111" s="438">
        <v>0</v>
      </c>
      <c r="EJ111" s="438">
        <v>0</v>
      </c>
      <c r="EK111" s="438">
        <v>18.596</v>
      </c>
      <c r="EL111" s="438">
        <v>0</v>
      </c>
      <c r="EM111" s="438">
        <v>1.7350000000000001</v>
      </c>
      <c r="EN111" s="438">
        <v>1.4259999999999999</v>
      </c>
      <c r="EO111" s="438">
        <v>0</v>
      </c>
      <c r="EP111" s="438">
        <v>0</v>
      </c>
      <c r="EQ111" s="438">
        <v>21.757000000000001</v>
      </c>
      <c r="ER111" s="438">
        <v>0</v>
      </c>
      <c r="ES111" s="438">
        <v>68.123000000000005</v>
      </c>
      <c r="ET111" s="438">
        <v>0</v>
      </c>
      <c r="EU111" s="438">
        <v>628397</v>
      </c>
      <c r="EV111" s="438">
        <v>0</v>
      </c>
      <c r="EW111" s="438">
        <v>0</v>
      </c>
      <c r="EX111" s="438">
        <v>0</v>
      </c>
      <c r="EZ111" s="438">
        <v>17248224</v>
      </c>
      <c r="FA111" s="438">
        <v>0</v>
      </c>
      <c r="FB111" s="438">
        <v>17876621</v>
      </c>
      <c r="FC111" s="438">
        <v>0.97334900000000002</v>
      </c>
      <c r="FD111" s="438">
        <v>0</v>
      </c>
      <c r="FE111" s="438">
        <v>2488623</v>
      </c>
      <c r="FF111" s="438">
        <v>567212</v>
      </c>
      <c r="FG111" s="437">
        <v>5.7854999999999997E-2</v>
      </c>
      <c r="FH111" s="437">
        <v>5.2366000000000003E-2</v>
      </c>
      <c r="FI111" s="438">
        <v>0</v>
      </c>
      <c r="FJ111" s="438">
        <v>0</v>
      </c>
      <c r="FK111" s="438">
        <v>3390.1979999999999</v>
      </c>
      <c r="FL111" s="438">
        <v>20932456</v>
      </c>
      <c r="FM111" s="438">
        <v>0</v>
      </c>
      <c r="FN111" s="438">
        <v>0</v>
      </c>
      <c r="FO111" s="438">
        <v>0</v>
      </c>
      <c r="FP111" s="438">
        <v>0</v>
      </c>
      <c r="FQ111" s="438">
        <v>0</v>
      </c>
      <c r="FR111" s="438">
        <v>0</v>
      </c>
      <c r="FS111" s="438">
        <v>0</v>
      </c>
      <c r="FT111" s="438">
        <v>0</v>
      </c>
      <c r="FU111" s="438">
        <v>0</v>
      </c>
      <c r="FV111" s="438">
        <v>0</v>
      </c>
      <c r="FW111" s="438">
        <v>0</v>
      </c>
      <c r="FX111" s="438">
        <v>0</v>
      </c>
      <c r="FY111" s="438">
        <v>0</v>
      </c>
      <c r="FZ111" s="438">
        <v>0</v>
      </c>
      <c r="GA111" s="438">
        <v>0</v>
      </c>
      <c r="GB111" s="438">
        <v>99714</v>
      </c>
      <c r="GC111" s="438">
        <v>99714</v>
      </c>
      <c r="GD111" s="438">
        <v>11.287000000000001</v>
      </c>
      <c r="GF111" s="438">
        <v>0</v>
      </c>
      <c r="GG111" s="438">
        <v>0</v>
      </c>
      <c r="GH111" s="438">
        <v>0</v>
      </c>
      <c r="GI111" s="438">
        <v>0</v>
      </c>
      <c r="GJ111" s="438">
        <v>0</v>
      </c>
      <c r="GK111" s="438">
        <v>4763.9610000000002</v>
      </c>
      <c r="GL111" s="438">
        <v>22653</v>
      </c>
      <c r="GM111" s="438">
        <v>0</v>
      </c>
      <c r="GN111" s="438">
        <v>0</v>
      </c>
      <c r="GO111" s="438">
        <v>0</v>
      </c>
      <c r="GP111" s="438">
        <v>20932456</v>
      </c>
      <c r="GQ111" s="438">
        <v>20932456</v>
      </c>
      <c r="GR111" s="438">
        <v>0</v>
      </c>
      <c r="GS111" s="438">
        <v>0</v>
      </c>
      <c r="GT111" s="438">
        <v>0</v>
      </c>
      <c r="HB111" s="438">
        <v>0</v>
      </c>
      <c r="HC111" s="437">
        <v>6.0754000000000002E-2</v>
      </c>
      <c r="HD111" s="438">
        <v>0</v>
      </c>
    </row>
    <row r="112" spans="1:212" x14ac:dyDescent="0.2">
      <c r="A112" s="438">
        <v>25836</v>
      </c>
      <c r="B112" s="442">
        <v>101837</v>
      </c>
      <c r="C112" s="438">
        <v>9</v>
      </c>
      <c r="D112" s="438">
        <v>2020</v>
      </c>
      <c r="E112" s="438">
        <v>5392</v>
      </c>
      <c r="F112" s="438">
        <v>0</v>
      </c>
      <c r="G112" s="438">
        <v>310.14800000000002</v>
      </c>
      <c r="H112" s="438">
        <v>264.37799999999999</v>
      </c>
      <c r="I112" s="438">
        <v>264.37799999999999</v>
      </c>
      <c r="J112" s="438">
        <v>310.14800000000002</v>
      </c>
      <c r="K112" s="438">
        <v>0</v>
      </c>
      <c r="L112" s="437">
        <v>6544</v>
      </c>
      <c r="M112" s="438">
        <v>0</v>
      </c>
      <c r="N112" s="438">
        <v>0</v>
      </c>
      <c r="P112" s="438">
        <v>310.22300000000001</v>
      </c>
      <c r="Q112" s="438">
        <v>0</v>
      </c>
      <c r="R112" s="438">
        <v>76807</v>
      </c>
      <c r="S112" s="437">
        <v>247.58699999999999</v>
      </c>
      <c r="U112" s="438">
        <v>0</v>
      </c>
      <c r="V112" s="438">
        <v>11.045</v>
      </c>
      <c r="W112" s="438">
        <v>7228</v>
      </c>
      <c r="X112" s="438">
        <v>7228</v>
      </c>
      <c r="Z112" s="438">
        <v>0</v>
      </c>
      <c r="AA112" s="438">
        <v>1</v>
      </c>
      <c r="AB112" s="438">
        <v>1</v>
      </c>
      <c r="AC112" s="438">
        <v>0</v>
      </c>
      <c r="AD112" s="438" t="s">
        <v>332</v>
      </c>
      <c r="AE112" s="438">
        <v>0</v>
      </c>
      <c r="AH112" s="438">
        <v>0</v>
      </c>
      <c r="AI112" s="438">
        <v>0</v>
      </c>
      <c r="AJ112" s="437">
        <v>5105</v>
      </c>
      <c r="AK112" s="438" t="s">
        <v>561</v>
      </c>
      <c r="AL112" s="438" t="s">
        <v>13</v>
      </c>
      <c r="AM112" s="438">
        <v>0</v>
      </c>
      <c r="AN112" s="438">
        <v>0</v>
      </c>
      <c r="AO112" s="438">
        <v>0</v>
      </c>
      <c r="AP112" s="438">
        <v>0</v>
      </c>
      <c r="AQ112" s="438">
        <v>0</v>
      </c>
      <c r="AR112" s="438">
        <v>0</v>
      </c>
      <c r="AS112" s="438">
        <v>0</v>
      </c>
      <c r="AT112" s="438">
        <v>0</v>
      </c>
      <c r="AU112" s="438">
        <v>0</v>
      </c>
      <c r="AV112" s="438">
        <v>0</v>
      </c>
      <c r="AW112" s="438">
        <v>2883992</v>
      </c>
      <c r="AX112" s="438">
        <v>2842529</v>
      </c>
      <c r="AY112" s="438">
        <v>0</v>
      </c>
      <c r="AZ112" s="438">
        <v>116728</v>
      </c>
      <c r="BA112" s="438">
        <v>3.0830000000000002</v>
      </c>
      <c r="BB112" s="438">
        <v>0</v>
      </c>
      <c r="BC112" s="438">
        <v>0</v>
      </c>
      <c r="BD112" s="438">
        <v>0</v>
      </c>
      <c r="BE112" s="438">
        <v>0</v>
      </c>
      <c r="BF112" s="438">
        <v>2401438</v>
      </c>
      <c r="BG112" s="438">
        <v>0</v>
      </c>
      <c r="BH112" s="438">
        <v>145.16800000000001</v>
      </c>
      <c r="BI112" s="438">
        <v>39921</v>
      </c>
      <c r="BJ112" s="438">
        <v>12</v>
      </c>
      <c r="BK112" s="438">
        <v>0</v>
      </c>
      <c r="BL112" s="438">
        <v>0</v>
      </c>
      <c r="BM112" s="438">
        <v>0</v>
      </c>
      <c r="BN112" s="438">
        <v>0</v>
      </c>
      <c r="BO112" s="438">
        <v>0</v>
      </c>
      <c r="BP112" s="438">
        <v>0</v>
      </c>
      <c r="BQ112" s="437">
        <v>5392</v>
      </c>
      <c r="BR112" s="438">
        <v>1</v>
      </c>
      <c r="BS112" s="438">
        <v>0</v>
      </c>
      <c r="BT112" s="438">
        <v>0</v>
      </c>
      <c r="BU112" s="438">
        <v>0</v>
      </c>
      <c r="BV112" s="438">
        <v>0</v>
      </c>
      <c r="BW112" s="438">
        <v>0</v>
      </c>
      <c r="BX112" s="438">
        <v>0</v>
      </c>
      <c r="BY112" s="438">
        <v>0</v>
      </c>
      <c r="BZ112" s="438">
        <v>0</v>
      </c>
      <c r="CA112" s="438">
        <v>0</v>
      </c>
      <c r="CB112" s="438">
        <v>0</v>
      </c>
      <c r="CC112" s="438">
        <v>0</v>
      </c>
      <c r="CG112" s="438">
        <v>0</v>
      </c>
      <c r="CH112" s="438">
        <v>1542</v>
      </c>
      <c r="CI112" s="438">
        <v>0</v>
      </c>
      <c r="CJ112" s="438">
        <v>4</v>
      </c>
      <c r="CK112" s="438">
        <v>0</v>
      </c>
      <c r="CL112" s="438">
        <v>0</v>
      </c>
      <c r="CN112" s="438">
        <v>0</v>
      </c>
      <c r="CO112" s="438">
        <v>1</v>
      </c>
      <c r="CP112" s="438">
        <v>0</v>
      </c>
      <c r="CQ112" s="438">
        <v>0</v>
      </c>
      <c r="CR112" s="438">
        <v>310.14800000000002</v>
      </c>
      <c r="CS112" s="438">
        <v>0</v>
      </c>
      <c r="CT112" s="438">
        <v>0</v>
      </c>
      <c r="CU112" s="438">
        <v>0</v>
      </c>
      <c r="CV112" s="438">
        <v>0</v>
      </c>
      <c r="CW112" s="438">
        <v>0</v>
      </c>
      <c r="CX112" s="438">
        <v>0</v>
      </c>
      <c r="CY112" s="438">
        <v>0</v>
      </c>
      <c r="CZ112" s="438">
        <v>0</v>
      </c>
      <c r="DA112" s="438">
        <v>1</v>
      </c>
      <c r="DB112" s="438">
        <v>1730090</v>
      </c>
      <c r="DC112" s="438">
        <v>0</v>
      </c>
      <c r="DD112" s="438">
        <v>0</v>
      </c>
      <c r="DE112" s="438">
        <v>189776</v>
      </c>
      <c r="DF112" s="438">
        <v>189776</v>
      </c>
      <c r="DG112" s="438">
        <v>145</v>
      </c>
      <c r="DH112" s="438">
        <v>0</v>
      </c>
      <c r="DI112" s="438">
        <v>0</v>
      </c>
      <c r="DK112" s="437">
        <v>5392</v>
      </c>
      <c r="DL112" s="438">
        <v>0</v>
      </c>
      <c r="DM112" s="438">
        <v>139606</v>
      </c>
      <c r="DN112" s="438">
        <v>0</v>
      </c>
      <c r="DO112" s="438">
        <v>0</v>
      </c>
      <c r="DP112" s="438">
        <v>0</v>
      </c>
      <c r="DQ112" s="438">
        <v>0</v>
      </c>
      <c r="DR112" s="438">
        <v>0</v>
      </c>
      <c r="DS112" s="438">
        <v>0</v>
      </c>
      <c r="DT112" s="438">
        <v>0</v>
      </c>
      <c r="DU112" s="438">
        <v>0</v>
      </c>
      <c r="DV112" s="438">
        <v>0</v>
      </c>
      <c r="DW112" s="438">
        <v>0</v>
      </c>
      <c r="DX112" s="438">
        <v>0</v>
      </c>
      <c r="DY112" s="438">
        <v>0</v>
      </c>
      <c r="DZ112" s="438">
        <v>0</v>
      </c>
      <c r="EA112" s="438">
        <v>0</v>
      </c>
      <c r="EB112" s="438">
        <v>0</v>
      </c>
      <c r="EC112" s="438">
        <v>17.553000000000001</v>
      </c>
      <c r="ED112" s="438">
        <v>126354</v>
      </c>
      <c r="EE112" s="438">
        <v>0</v>
      </c>
      <c r="EF112" s="438">
        <v>0</v>
      </c>
      <c r="EG112" s="438">
        <v>0</v>
      </c>
      <c r="EH112" s="438">
        <v>13252</v>
      </c>
      <c r="EI112" s="438">
        <v>0</v>
      </c>
      <c r="EJ112" s="438">
        <v>0</v>
      </c>
      <c r="EK112" s="438">
        <v>0.08</v>
      </c>
      <c r="EL112" s="438">
        <v>0</v>
      </c>
      <c r="EM112" s="438">
        <v>0</v>
      </c>
      <c r="EN112" s="438">
        <v>0.35699999999999998</v>
      </c>
      <c r="EO112" s="438">
        <v>0</v>
      </c>
      <c r="EP112" s="438">
        <v>0</v>
      </c>
      <c r="EQ112" s="438">
        <v>0.437</v>
      </c>
      <c r="ER112" s="438">
        <v>0</v>
      </c>
      <c r="ES112" s="438">
        <v>2.0249999999999999</v>
      </c>
      <c r="ET112" s="438">
        <v>1542</v>
      </c>
      <c r="EU112" s="438">
        <v>116728</v>
      </c>
      <c r="EV112" s="438">
        <v>0</v>
      </c>
      <c r="EW112" s="438">
        <v>0</v>
      </c>
      <c r="EX112" s="438">
        <v>0</v>
      </c>
      <c r="EZ112" s="438">
        <v>2418481</v>
      </c>
      <c r="FA112" s="438">
        <v>0</v>
      </c>
      <c r="FB112" s="438">
        <v>2535209</v>
      </c>
      <c r="FC112" s="438">
        <v>0.97334900000000002</v>
      </c>
      <c r="FD112" s="438">
        <v>0</v>
      </c>
      <c r="FE112" s="438">
        <v>345338</v>
      </c>
      <c r="FF112" s="438">
        <v>78710</v>
      </c>
      <c r="FG112" s="437">
        <v>5.7854999999999997E-2</v>
      </c>
      <c r="FH112" s="437">
        <v>5.2366000000000003E-2</v>
      </c>
      <c r="FI112" s="438">
        <v>0</v>
      </c>
      <c r="FJ112" s="438">
        <v>0</v>
      </c>
      <c r="FK112" s="438">
        <v>470.44600000000003</v>
      </c>
      <c r="FL112" s="438">
        <v>2960799</v>
      </c>
      <c r="FM112" s="438">
        <v>0</v>
      </c>
      <c r="FN112" s="438">
        <v>0</v>
      </c>
      <c r="FO112" s="438">
        <v>28098</v>
      </c>
      <c r="FP112" s="438">
        <v>0</v>
      </c>
      <c r="FQ112" s="438">
        <v>28098</v>
      </c>
      <c r="FR112" s="438">
        <v>28098</v>
      </c>
      <c r="FS112" s="438">
        <v>0</v>
      </c>
      <c r="FT112" s="438">
        <v>0</v>
      </c>
      <c r="FU112" s="438">
        <v>0</v>
      </c>
      <c r="FV112" s="438">
        <v>0</v>
      </c>
      <c r="FW112" s="438">
        <v>0</v>
      </c>
      <c r="FX112" s="438">
        <v>0</v>
      </c>
      <c r="FY112" s="438">
        <v>0</v>
      </c>
      <c r="FZ112" s="438">
        <v>0</v>
      </c>
      <c r="GA112" s="438">
        <v>0</v>
      </c>
      <c r="GB112" s="438">
        <v>400490</v>
      </c>
      <c r="GC112" s="438">
        <v>400490</v>
      </c>
      <c r="GD112" s="438">
        <v>45.332999999999998</v>
      </c>
      <c r="GF112" s="438">
        <v>0</v>
      </c>
      <c r="GG112" s="438">
        <v>0</v>
      </c>
      <c r="GH112" s="438">
        <v>0</v>
      </c>
      <c r="GI112" s="438">
        <v>0</v>
      </c>
      <c r="GJ112" s="438">
        <v>0</v>
      </c>
      <c r="GK112" s="438">
        <v>4851.9589999999998</v>
      </c>
      <c r="GL112" s="438">
        <v>8418</v>
      </c>
      <c r="GM112" s="438">
        <v>0</v>
      </c>
      <c r="GN112" s="438">
        <v>31476</v>
      </c>
      <c r="GO112" s="438">
        <v>0</v>
      </c>
      <c r="GP112" s="438">
        <v>2959257</v>
      </c>
      <c r="GQ112" s="438">
        <v>2959257</v>
      </c>
      <c r="GR112" s="438">
        <v>0</v>
      </c>
      <c r="GS112" s="438">
        <v>0</v>
      </c>
      <c r="GT112" s="438">
        <v>0</v>
      </c>
      <c r="HB112" s="438">
        <v>0</v>
      </c>
      <c r="HC112" s="437">
        <v>6.0754000000000002E-2</v>
      </c>
      <c r="HD112" s="438">
        <v>0</v>
      </c>
    </row>
    <row r="113" spans="1:212" x14ac:dyDescent="0.2">
      <c r="A113" s="438">
        <v>25836</v>
      </c>
      <c r="B113" s="442">
        <v>101838</v>
      </c>
      <c r="C113" s="438">
        <v>9</v>
      </c>
      <c r="D113" s="438">
        <v>2020</v>
      </c>
      <c r="E113" s="438">
        <v>5392</v>
      </c>
      <c r="F113" s="438">
        <v>0</v>
      </c>
      <c r="G113" s="438">
        <v>1696.02</v>
      </c>
      <c r="H113" s="438">
        <v>1638.6189999999999</v>
      </c>
      <c r="I113" s="438">
        <v>1638.6189999999999</v>
      </c>
      <c r="J113" s="438">
        <v>1696.02</v>
      </c>
      <c r="K113" s="438">
        <v>0</v>
      </c>
      <c r="L113" s="437">
        <v>6544</v>
      </c>
      <c r="M113" s="438">
        <v>0</v>
      </c>
      <c r="N113" s="438">
        <v>0</v>
      </c>
      <c r="P113" s="438">
        <v>1696.085</v>
      </c>
      <c r="Q113" s="438">
        <v>0</v>
      </c>
      <c r="R113" s="438">
        <v>419929</v>
      </c>
      <c r="S113" s="437">
        <v>247.58699999999999</v>
      </c>
      <c r="U113" s="438">
        <v>0</v>
      </c>
      <c r="V113" s="438">
        <v>969.75199999999995</v>
      </c>
      <c r="W113" s="438">
        <v>634606</v>
      </c>
      <c r="X113" s="438">
        <v>634606</v>
      </c>
      <c r="Z113" s="438">
        <v>0</v>
      </c>
      <c r="AA113" s="438">
        <v>1</v>
      </c>
      <c r="AB113" s="438">
        <v>1</v>
      </c>
      <c r="AC113" s="438">
        <v>0</v>
      </c>
      <c r="AD113" s="438" t="s">
        <v>332</v>
      </c>
      <c r="AE113" s="438">
        <v>0</v>
      </c>
      <c r="AH113" s="438">
        <v>0</v>
      </c>
      <c r="AI113" s="438">
        <v>0</v>
      </c>
      <c r="AJ113" s="437">
        <v>5105</v>
      </c>
      <c r="AK113" s="438" t="s">
        <v>561</v>
      </c>
      <c r="AL113" s="438" t="s">
        <v>14</v>
      </c>
      <c r="AM113" s="438">
        <v>0</v>
      </c>
      <c r="AN113" s="438">
        <v>0</v>
      </c>
      <c r="AO113" s="438">
        <v>0</v>
      </c>
      <c r="AP113" s="438">
        <v>0</v>
      </c>
      <c r="AQ113" s="438">
        <v>0</v>
      </c>
      <c r="AR113" s="438">
        <v>0</v>
      </c>
      <c r="AS113" s="438">
        <v>0</v>
      </c>
      <c r="AT113" s="438">
        <v>0</v>
      </c>
      <c r="AU113" s="438">
        <v>0</v>
      </c>
      <c r="AV113" s="438">
        <v>0</v>
      </c>
      <c r="AW113" s="438">
        <v>16972937</v>
      </c>
      <c r="AX113" s="438">
        <v>16855950</v>
      </c>
      <c r="AY113" s="438">
        <v>0</v>
      </c>
      <c r="AZ113" s="438">
        <v>536916</v>
      </c>
      <c r="BA113" s="438">
        <v>0</v>
      </c>
      <c r="BB113" s="438">
        <v>0</v>
      </c>
      <c r="BC113" s="438">
        <v>0</v>
      </c>
      <c r="BD113" s="438">
        <v>0</v>
      </c>
      <c r="BE113" s="438">
        <v>0</v>
      </c>
      <c r="BF113" s="438">
        <v>14296593</v>
      </c>
      <c r="BG113" s="438">
        <v>0</v>
      </c>
      <c r="BH113" s="438">
        <v>425.40899999999999</v>
      </c>
      <c r="BI113" s="438">
        <v>116987</v>
      </c>
      <c r="BJ113" s="438">
        <v>12</v>
      </c>
      <c r="BK113" s="438">
        <v>0</v>
      </c>
      <c r="BL113" s="438">
        <v>0</v>
      </c>
      <c r="BM113" s="438">
        <v>0</v>
      </c>
      <c r="BN113" s="438">
        <v>0</v>
      </c>
      <c r="BO113" s="438">
        <v>0</v>
      </c>
      <c r="BP113" s="438">
        <v>0</v>
      </c>
      <c r="BQ113" s="437">
        <v>5392</v>
      </c>
      <c r="BR113" s="438">
        <v>1</v>
      </c>
      <c r="BS113" s="438">
        <v>0</v>
      </c>
      <c r="BT113" s="438">
        <v>0</v>
      </c>
      <c r="BU113" s="438">
        <v>0</v>
      </c>
      <c r="BV113" s="438">
        <v>0</v>
      </c>
      <c r="BW113" s="438">
        <v>0</v>
      </c>
      <c r="BX113" s="438">
        <v>0</v>
      </c>
      <c r="BY113" s="438">
        <v>0</v>
      </c>
      <c r="BZ113" s="438">
        <v>0</v>
      </c>
      <c r="CA113" s="438">
        <v>0</v>
      </c>
      <c r="CB113" s="438">
        <v>0</v>
      </c>
      <c r="CC113" s="438">
        <v>0</v>
      </c>
      <c r="CG113" s="438">
        <v>0</v>
      </c>
      <c r="CH113" s="438">
        <v>0</v>
      </c>
      <c r="CI113" s="438">
        <v>0</v>
      </c>
      <c r="CJ113" s="438">
        <v>4</v>
      </c>
      <c r="CK113" s="438">
        <v>0</v>
      </c>
      <c r="CL113" s="438">
        <v>0</v>
      </c>
      <c r="CN113" s="438">
        <v>0</v>
      </c>
      <c r="CO113" s="438">
        <v>1</v>
      </c>
      <c r="CP113" s="438">
        <v>0</v>
      </c>
      <c r="CQ113" s="438">
        <v>0</v>
      </c>
      <c r="CR113" s="438">
        <v>1696.02</v>
      </c>
      <c r="CS113" s="438">
        <v>0</v>
      </c>
      <c r="CT113" s="438">
        <v>0</v>
      </c>
      <c r="CU113" s="438">
        <v>0</v>
      </c>
      <c r="CV113" s="438">
        <v>0</v>
      </c>
      <c r="CW113" s="438">
        <v>0</v>
      </c>
      <c r="CX113" s="438">
        <v>0</v>
      </c>
      <c r="CY113" s="438">
        <v>0</v>
      </c>
      <c r="CZ113" s="438">
        <v>0</v>
      </c>
      <c r="DA113" s="438">
        <v>1</v>
      </c>
      <c r="DB113" s="438">
        <v>10723123</v>
      </c>
      <c r="DC113" s="438">
        <v>0</v>
      </c>
      <c r="DD113" s="438">
        <v>0</v>
      </c>
      <c r="DE113" s="438">
        <v>1745939</v>
      </c>
      <c r="DF113" s="438">
        <v>1745939</v>
      </c>
      <c r="DG113" s="438">
        <v>1334</v>
      </c>
      <c r="DH113" s="438">
        <v>0</v>
      </c>
      <c r="DI113" s="438">
        <v>0</v>
      </c>
      <c r="DK113" s="437">
        <v>5392</v>
      </c>
      <c r="DL113" s="438">
        <v>0</v>
      </c>
      <c r="DM113" s="438">
        <v>1443806</v>
      </c>
      <c r="DN113" s="438">
        <v>0</v>
      </c>
      <c r="DO113" s="438">
        <v>0</v>
      </c>
      <c r="DP113" s="438">
        <v>0</v>
      </c>
      <c r="DQ113" s="438">
        <v>0</v>
      </c>
      <c r="DR113" s="438">
        <v>0</v>
      </c>
      <c r="DS113" s="438">
        <v>0</v>
      </c>
      <c r="DT113" s="438">
        <v>0</v>
      </c>
      <c r="DU113" s="438">
        <v>0</v>
      </c>
      <c r="DV113" s="438">
        <v>0</v>
      </c>
      <c r="DW113" s="438">
        <v>0</v>
      </c>
      <c r="DX113" s="438">
        <v>0</v>
      </c>
      <c r="DY113" s="438">
        <v>0</v>
      </c>
      <c r="DZ113" s="438">
        <v>0</v>
      </c>
      <c r="EA113" s="438">
        <v>0</v>
      </c>
      <c r="EB113" s="438">
        <v>0</v>
      </c>
      <c r="EC113" s="438">
        <v>64.525000000000006</v>
      </c>
      <c r="ED113" s="438">
        <v>464477</v>
      </c>
      <c r="EE113" s="438">
        <v>0</v>
      </c>
      <c r="EF113" s="438">
        <v>0</v>
      </c>
      <c r="EG113" s="438">
        <v>0</v>
      </c>
      <c r="EH113" s="438">
        <v>406101</v>
      </c>
      <c r="EI113" s="438">
        <v>573228</v>
      </c>
      <c r="EJ113" s="438">
        <v>21.899000000000001</v>
      </c>
      <c r="EK113" s="438">
        <v>17.949000000000002</v>
      </c>
      <c r="EL113" s="438">
        <v>0</v>
      </c>
      <c r="EM113" s="438">
        <v>0</v>
      </c>
      <c r="EN113" s="438">
        <v>1.6419999999999999</v>
      </c>
      <c r="EO113" s="438">
        <v>0</v>
      </c>
      <c r="EP113" s="438">
        <v>0</v>
      </c>
      <c r="EQ113" s="438">
        <v>41.49</v>
      </c>
      <c r="ER113" s="438">
        <v>0</v>
      </c>
      <c r="ES113" s="438">
        <v>62.057000000000002</v>
      </c>
      <c r="ET113" s="438">
        <v>0</v>
      </c>
      <c r="EU113" s="438">
        <v>536916</v>
      </c>
      <c r="EV113" s="438">
        <v>0</v>
      </c>
      <c r="EW113" s="438">
        <v>0</v>
      </c>
      <c r="EX113" s="438">
        <v>0</v>
      </c>
      <c r="EZ113" s="438">
        <v>14331448</v>
      </c>
      <c r="FA113" s="438">
        <v>0</v>
      </c>
      <c r="FB113" s="438">
        <v>14868364</v>
      </c>
      <c r="FC113" s="438">
        <v>0.97334900000000002</v>
      </c>
      <c r="FD113" s="438">
        <v>0</v>
      </c>
      <c r="FE113" s="438">
        <v>2055914</v>
      </c>
      <c r="FF113" s="438">
        <v>468588</v>
      </c>
      <c r="FG113" s="437">
        <v>5.7854999999999997E-2</v>
      </c>
      <c r="FH113" s="437">
        <v>5.2366000000000003E-2</v>
      </c>
      <c r="FI113" s="438">
        <v>0</v>
      </c>
      <c r="FJ113" s="438">
        <v>0</v>
      </c>
      <c r="FK113" s="438">
        <v>2800.7269999999999</v>
      </c>
      <c r="FL113" s="438">
        <v>17392866</v>
      </c>
      <c r="FM113" s="438">
        <v>0</v>
      </c>
      <c r="FN113" s="438">
        <v>0</v>
      </c>
      <c r="FO113" s="438">
        <v>63339</v>
      </c>
      <c r="FP113" s="438">
        <v>0</v>
      </c>
      <c r="FQ113" s="438">
        <v>63339</v>
      </c>
      <c r="FR113" s="438">
        <v>63339</v>
      </c>
      <c r="FS113" s="438">
        <v>0</v>
      </c>
      <c r="FT113" s="438">
        <v>0</v>
      </c>
      <c r="FU113" s="438">
        <v>0</v>
      </c>
      <c r="FV113" s="438">
        <v>0</v>
      </c>
      <c r="FW113" s="438">
        <v>0</v>
      </c>
      <c r="FX113" s="438">
        <v>0</v>
      </c>
      <c r="FY113" s="438">
        <v>0</v>
      </c>
      <c r="FZ113" s="438">
        <v>0</v>
      </c>
      <c r="GA113" s="438">
        <v>0</v>
      </c>
      <c r="GB113" s="438">
        <v>140564</v>
      </c>
      <c r="GC113" s="438">
        <v>140564</v>
      </c>
      <c r="GD113" s="438">
        <v>15.911</v>
      </c>
      <c r="GF113" s="438">
        <v>0</v>
      </c>
      <c r="GG113" s="438">
        <v>0</v>
      </c>
      <c r="GH113" s="438">
        <v>0</v>
      </c>
      <c r="GI113" s="438">
        <v>0</v>
      </c>
      <c r="GJ113" s="438">
        <v>0</v>
      </c>
      <c r="GK113" s="438">
        <v>4786.192</v>
      </c>
      <c r="GL113" s="438">
        <v>29725</v>
      </c>
      <c r="GM113" s="438">
        <v>0</v>
      </c>
      <c r="GN113" s="438">
        <v>0</v>
      </c>
      <c r="GO113" s="438">
        <v>0</v>
      </c>
      <c r="GP113" s="438">
        <v>17392866</v>
      </c>
      <c r="GQ113" s="438">
        <v>17392866</v>
      </c>
      <c r="GR113" s="438">
        <v>0</v>
      </c>
      <c r="GS113" s="438">
        <v>0</v>
      </c>
      <c r="GT113" s="438">
        <v>0</v>
      </c>
      <c r="HB113" s="438">
        <v>0</v>
      </c>
      <c r="HC113" s="437">
        <v>6.0754000000000002E-2</v>
      </c>
      <c r="HD113" s="438">
        <v>0</v>
      </c>
    </row>
    <row r="114" spans="1:212" x14ac:dyDescent="0.2">
      <c r="A114" s="438">
        <v>25836</v>
      </c>
      <c r="B114" s="442">
        <v>101840</v>
      </c>
      <c r="C114" s="438">
        <v>9</v>
      </c>
      <c r="D114" s="438">
        <v>2020</v>
      </c>
      <c r="E114" s="438">
        <v>5392</v>
      </c>
      <c r="F114" s="438">
        <v>0</v>
      </c>
      <c r="G114" s="438">
        <v>365.36799999999999</v>
      </c>
      <c r="H114" s="438">
        <v>362.90100000000001</v>
      </c>
      <c r="I114" s="438">
        <v>362.90100000000001</v>
      </c>
      <c r="J114" s="438">
        <v>365.36799999999999</v>
      </c>
      <c r="K114" s="438">
        <v>0</v>
      </c>
      <c r="L114" s="437">
        <v>6544</v>
      </c>
      <c r="M114" s="438">
        <v>0</v>
      </c>
      <c r="N114" s="438">
        <v>0</v>
      </c>
      <c r="P114" s="438">
        <v>366.25799999999998</v>
      </c>
      <c r="Q114" s="438">
        <v>0</v>
      </c>
      <c r="R114" s="438">
        <v>90681</v>
      </c>
      <c r="S114" s="437">
        <v>247.58699999999999</v>
      </c>
      <c r="U114" s="438">
        <v>0</v>
      </c>
      <c r="V114" s="438">
        <v>13.712</v>
      </c>
      <c r="W114" s="438">
        <v>8973</v>
      </c>
      <c r="X114" s="438">
        <v>8973</v>
      </c>
      <c r="Z114" s="438">
        <v>0</v>
      </c>
      <c r="AA114" s="438">
        <v>1</v>
      </c>
      <c r="AB114" s="438">
        <v>1</v>
      </c>
      <c r="AC114" s="438">
        <v>0</v>
      </c>
      <c r="AD114" s="438" t="s">
        <v>332</v>
      </c>
      <c r="AE114" s="438">
        <v>0</v>
      </c>
      <c r="AH114" s="438">
        <v>0</v>
      </c>
      <c r="AI114" s="438">
        <v>0</v>
      </c>
      <c r="AJ114" s="437">
        <v>5105</v>
      </c>
      <c r="AK114" s="438" t="s">
        <v>561</v>
      </c>
      <c r="AL114" s="438" t="s">
        <v>30</v>
      </c>
      <c r="AM114" s="438">
        <v>0</v>
      </c>
      <c r="AN114" s="438">
        <v>0</v>
      </c>
      <c r="AO114" s="438">
        <v>0</v>
      </c>
      <c r="AP114" s="438">
        <v>0</v>
      </c>
      <c r="AQ114" s="438">
        <v>0</v>
      </c>
      <c r="AR114" s="438">
        <v>0</v>
      </c>
      <c r="AS114" s="438">
        <v>0</v>
      </c>
      <c r="AT114" s="438">
        <v>0</v>
      </c>
      <c r="AU114" s="438">
        <v>0</v>
      </c>
      <c r="AV114" s="438">
        <v>0</v>
      </c>
      <c r="AW114" s="438">
        <v>3618604</v>
      </c>
      <c r="AX114" s="438">
        <v>3603604</v>
      </c>
      <c r="AY114" s="438">
        <v>0</v>
      </c>
      <c r="AZ114" s="438">
        <v>90681</v>
      </c>
      <c r="BA114" s="438">
        <v>30</v>
      </c>
      <c r="BB114" s="438">
        <v>14135</v>
      </c>
      <c r="BC114" s="438">
        <v>14135</v>
      </c>
      <c r="BD114" s="438">
        <v>18</v>
      </c>
      <c r="BE114" s="438">
        <v>0</v>
      </c>
      <c r="BF114" s="438">
        <v>3068442</v>
      </c>
      <c r="BG114" s="438">
        <v>0</v>
      </c>
      <c r="BH114" s="438">
        <v>0</v>
      </c>
      <c r="BI114" s="438">
        <v>0</v>
      </c>
      <c r="BJ114" s="438">
        <v>12</v>
      </c>
      <c r="BK114" s="438">
        <v>0</v>
      </c>
      <c r="BL114" s="438">
        <v>0</v>
      </c>
      <c r="BM114" s="438">
        <v>0</v>
      </c>
      <c r="BN114" s="438">
        <v>0</v>
      </c>
      <c r="BO114" s="438">
        <v>0</v>
      </c>
      <c r="BP114" s="438">
        <v>0</v>
      </c>
      <c r="BQ114" s="437">
        <v>5392</v>
      </c>
      <c r="BR114" s="438">
        <v>1</v>
      </c>
      <c r="BS114" s="438">
        <v>0</v>
      </c>
      <c r="BT114" s="438">
        <v>0</v>
      </c>
      <c r="BU114" s="438">
        <v>0</v>
      </c>
      <c r="BV114" s="438">
        <v>0</v>
      </c>
      <c r="BW114" s="438">
        <v>0</v>
      </c>
      <c r="BX114" s="438">
        <v>0</v>
      </c>
      <c r="BY114" s="438">
        <v>0</v>
      </c>
      <c r="BZ114" s="438">
        <v>0</v>
      </c>
      <c r="CA114" s="438">
        <v>0</v>
      </c>
      <c r="CB114" s="438">
        <v>0</v>
      </c>
      <c r="CC114" s="438">
        <v>0</v>
      </c>
      <c r="CG114" s="438">
        <v>0</v>
      </c>
      <c r="CH114" s="438">
        <v>15000</v>
      </c>
      <c r="CI114" s="438">
        <v>0</v>
      </c>
      <c r="CJ114" s="438">
        <v>4</v>
      </c>
      <c r="CK114" s="438">
        <v>0</v>
      </c>
      <c r="CL114" s="438">
        <v>0</v>
      </c>
      <c r="CN114" s="438">
        <v>0</v>
      </c>
      <c r="CO114" s="438">
        <v>1</v>
      </c>
      <c r="CP114" s="438">
        <v>0</v>
      </c>
      <c r="CQ114" s="438">
        <v>0</v>
      </c>
      <c r="CR114" s="438">
        <v>365.36799999999999</v>
      </c>
      <c r="CS114" s="438">
        <v>0</v>
      </c>
      <c r="CT114" s="438">
        <v>0</v>
      </c>
      <c r="CU114" s="438">
        <v>0</v>
      </c>
      <c r="CV114" s="438">
        <v>0</v>
      </c>
      <c r="CW114" s="438">
        <v>0</v>
      </c>
      <c r="CX114" s="438">
        <v>0</v>
      </c>
      <c r="CY114" s="438">
        <v>0</v>
      </c>
      <c r="CZ114" s="438">
        <v>0</v>
      </c>
      <c r="DA114" s="438">
        <v>1</v>
      </c>
      <c r="DB114" s="438">
        <v>2374824</v>
      </c>
      <c r="DC114" s="438">
        <v>0</v>
      </c>
      <c r="DD114" s="438">
        <v>0</v>
      </c>
      <c r="DE114" s="438">
        <v>688429</v>
      </c>
      <c r="DF114" s="438">
        <v>688429</v>
      </c>
      <c r="DG114" s="438">
        <v>526</v>
      </c>
      <c r="DH114" s="438">
        <v>0</v>
      </c>
      <c r="DI114" s="438">
        <v>0</v>
      </c>
      <c r="DK114" s="437">
        <v>5392</v>
      </c>
      <c r="DL114" s="438">
        <v>0</v>
      </c>
      <c r="DM114" s="438">
        <v>66096</v>
      </c>
      <c r="DN114" s="438">
        <v>0</v>
      </c>
      <c r="DO114" s="438">
        <v>0</v>
      </c>
      <c r="DP114" s="438">
        <v>0</v>
      </c>
      <c r="DQ114" s="438">
        <v>0</v>
      </c>
      <c r="DR114" s="438">
        <v>0</v>
      </c>
      <c r="DS114" s="438">
        <v>0</v>
      </c>
      <c r="DT114" s="438">
        <v>0</v>
      </c>
      <c r="DU114" s="438">
        <v>0</v>
      </c>
      <c r="DV114" s="438">
        <v>0</v>
      </c>
      <c r="DW114" s="438">
        <v>0</v>
      </c>
      <c r="DX114" s="438">
        <v>0</v>
      </c>
      <c r="DY114" s="438">
        <v>0</v>
      </c>
      <c r="DZ114" s="438">
        <v>0</v>
      </c>
      <c r="EA114" s="438">
        <v>0</v>
      </c>
      <c r="EB114" s="438">
        <v>0</v>
      </c>
      <c r="EC114" s="438">
        <v>2.0830000000000002</v>
      </c>
      <c r="ED114" s="438">
        <v>14994</v>
      </c>
      <c r="EE114" s="438">
        <v>0</v>
      </c>
      <c r="EF114" s="438">
        <v>0</v>
      </c>
      <c r="EG114" s="438">
        <v>0</v>
      </c>
      <c r="EH114" s="438">
        <v>51102</v>
      </c>
      <c r="EI114" s="438">
        <v>0</v>
      </c>
      <c r="EJ114" s="438">
        <v>0</v>
      </c>
      <c r="EK114" s="438">
        <v>2.2629999999999999</v>
      </c>
      <c r="EL114" s="438">
        <v>0</v>
      </c>
      <c r="EM114" s="438">
        <v>0</v>
      </c>
      <c r="EN114" s="438">
        <v>0.20399999999999999</v>
      </c>
      <c r="EO114" s="438">
        <v>0</v>
      </c>
      <c r="EP114" s="438">
        <v>0</v>
      </c>
      <c r="EQ114" s="438">
        <v>2.4670000000000001</v>
      </c>
      <c r="ER114" s="438">
        <v>0</v>
      </c>
      <c r="ES114" s="438">
        <v>7.8090000000000002</v>
      </c>
      <c r="ET114" s="438">
        <v>15000</v>
      </c>
      <c r="EU114" s="438">
        <v>90681</v>
      </c>
      <c r="EV114" s="438">
        <v>0</v>
      </c>
      <c r="EW114" s="438">
        <v>0</v>
      </c>
      <c r="EX114" s="438">
        <v>0</v>
      </c>
      <c r="EZ114" s="438">
        <v>3061776</v>
      </c>
      <c r="FA114" s="438">
        <v>0</v>
      </c>
      <c r="FB114" s="438">
        <v>3152457</v>
      </c>
      <c r="FC114" s="438">
        <v>0.97334900000000002</v>
      </c>
      <c r="FD114" s="438">
        <v>0</v>
      </c>
      <c r="FE114" s="438">
        <v>441256</v>
      </c>
      <c r="FF114" s="438">
        <v>100572</v>
      </c>
      <c r="FG114" s="437">
        <v>5.7854999999999997E-2</v>
      </c>
      <c r="FH114" s="437">
        <v>5.2366000000000003E-2</v>
      </c>
      <c r="FI114" s="438">
        <v>0</v>
      </c>
      <c r="FJ114" s="438">
        <v>0</v>
      </c>
      <c r="FK114" s="438">
        <v>601.11300000000006</v>
      </c>
      <c r="FL114" s="438">
        <v>3709285</v>
      </c>
      <c r="FM114" s="438">
        <v>0</v>
      </c>
      <c r="FN114" s="438">
        <v>0</v>
      </c>
      <c r="FO114" s="438">
        <v>0</v>
      </c>
      <c r="FP114" s="438">
        <v>0</v>
      </c>
      <c r="FQ114" s="438">
        <v>0</v>
      </c>
      <c r="FR114" s="438">
        <v>0</v>
      </c>
      <c r="FS114" s="438">
        <v>0</v>
      </c>
      <c r="FT114" s="438">
        <v>0</v>
      </c>
      <c r="FU114" s="438">
        <v>0</v>
      </c>
      <c r="FV114" s="438">
        <v>0</v>
      </c>
      <c r="FW114" s="438">
        <v>0</v>
      </c>
      <c r="FX114" s="438">
        <v>0</v>
      </c>
      <c r="FY114" s="438">
        <v>0</v>
      </c>
      <c r="FZ114" s="438">
        <v>0</v>
      </c>
      <c r="GA114" s="438">
        <v>0</v>
      </c>
      <c r="GB114" s="438">
        <v>0</v>
      </c>
      <c r="GC114" s="438">
        <v>0</v>
      </c>
      <c r="GD114" s="438">
        <v>0</v>
      </c>
      <c r="GF114" s="438">
        <v>0</v>
      </c>
      <c r="GG114" s="438">
        <v>0</v>
      </c>
      <c r="GH114" s="438">
        <v>0</v>
      </c>
      <c r="GI114" s="438">
        <v>0</v>
      </c>
      <c r="GJ114" s="438">
        <v>0</v>
      </c>
      <c r="GK114" s="438">
        <v>4604.6369999999997</v>
      </c>
      <c r="GL114" s="438">
        <v>12018</v>
      </c>
      <c r="GM114" s="438">
        <v>0</v>
      </c>
      <c r="GN114" s="438">
        <v>0</v>
      </c>
      <c r="GO114" s="438">
        <v>0</v>
      </c>
      <c r="GP114" s="438">
        <v>3694285</v>
      </c>
      <c r="GQ114" s="438">
        <v>3694285</v>
      </c>
      <c r="GR114" s="438">
        <v>0</v>
      </c>
      <c r="GS114" s="438">
        <v>0</v>
      </c>
      <c r="GT114" s="438">
        <v>0</v>
      </c>
      <c r="HB114" s="438">
        <v>0</v>
      </c>
      <c r="HC114" s="437">
        <v>6.0754000000000002E-2</v>
      </c>
      <c r="HD114" s="438">
        <v>0</v>
      </c>
    </row>
    <row r="115" spans="1:212" x14ac:dyDescent="0.2">
      <c r="A115" s="438">
        <v>25836</v>
      </c>
      <c r="B115" s="442">
        <v>101842</v>
      </c>
      <c r="C115" s="438">
        <v>9</v>
      </c>
      <c r="D115" s="438">
        <v>2020</v>
      </c>
      <c r="E115" s="438">
        <v>5392</v>
      </c>
      <c r="F115" s="438">
        <v>0</v>
      </c>
      <c r="G115" s="438">
        <v>60.262999999999998</v>
      </c>
      <c r="H115" s="438">
        <v>40.673999999999999</v>
      </c>
      <c r="I115" s="438">
        <v>40.673999999999999</v>
      </c>
      <c r="J115" s="438">
        <v>60.262999999999998</v>
      </c>
      <c r="K115" s="438">
        <v>0</v>
      </c>
      <c r="L115" s="437">
        <v>6544</v>
      </c>
      <c r="M115" s="438">
        <v>0</v>
      </c>
      <c r="N115" s="438">
        <v>0</v>
      </c>
      <c r="P115" s="438">
        <v>60.527000000000001</v>
      </c>
      <c r="Q115" s="438">
        <v>0</v>
      </c>
      <c r="R115" s="438">
        <v>14986</v>
      </c>
      <c r="S115" s="437">
        <v>247.58699999999999</v>
      </c>
      <c r="U115" s="438">
        <v>0</v>
      </c>
      <c r="V115" s="438">
        <v>11.643000000000001</v>
      </c>
      <c r="W115" s="438">
        <v>7619</v>
      </c>
      <c r="X115" s="438">
        <v>7619</v>
      </c>
      <c r="Z115" s="438">
        <v>0</v>
      </c>
      <c r="AA115" s="438">
        <v>1</v>
      </c>
      <c r="AB115" s="438">
        <v>1</v>
      </c>
      <c r="AC115" s="438">
        <v>0</v>
      </c>
      <c r="AD115" s="438" t="s">
        <v>332</v>
      </c>
      <c r="AE115" s="438">
        <v>0</v>
      </c>
      <c r="AH115" s="438">
        <v>0</v>
      </c>
      <c r="AI115" s="438">
        <v>0</v>
      </c>
      <c r="AJ115" s="437">
        <v>5105</v>
      </c>
      <c r="AK115" s="438" t="s">
        <v>561</v>
      </c>
      <c r="AL115" s="438" t="s">
        <v>31</v>
      </c>
      <c r="AM115" s="438">
        <v>0</v>
      </c>
      <c r="AN115" s="438">
        <v>0</v>
      </c>
      <c r="AO115" s="438">
        <v>0</v>
      </c>
      <c r="AP115" s="438">
        <v>0</v>
      </c>
      <c r="AQ115" s="438">
        <v>0</v>
      </c>
      <c r="AR115" s="438">
        <v>0</v>
      </c>
      <c r="AS115" s="438">
        <v>0</v>
      </c>
      <c r="AT115" s="438">
        <v>0</v>
      </c>
      <c r="AU115" s="438">
        <v>0</v>
      </c>
      <c r="AV115" s="438">
        <v>0</v>
      </c>
      <c r="AW115" s="438">
        <v>644029</v>
      </c>
      <c r="AX115" s="438">
        <v>628409</v>
      </c>
      <c r="AY115" s="438">
        <v>0</v>
      </c>
      <c r="AZ115" s="438">
        <v>29606</v>
      </c>
      <c r="BA115" s="438">
        <v>2</v>
      </c>
      <c r="BB115" s="438">
        <v>0</v>
      </c>
      <c r="BC115" s="438">
        <v>0</v>
      </c>
      <c r="BD115" s="438">
        <v>0</v>
      </c>
      <c r="BE115" s="438">
        <v>0</v>
      </c>
      <c r="BF115" s="438">
        <v>534398</v>
      </c>
      <c r="BG115" s="438">
        <v>0</v>
      </c>
      <c r="BH115" s="438">
        <v>53.164000000000001</v>
      </c>
      <c r="BI115" s="438">
        <v>14620</v>
      </c>
      <c r="BJ115" s="438">
        <v>12</v>
      </c>
      <c r="BK115" s="438">
        <v>0</v>
      </c>
      <c r="BL115" s="438">
        <v>0</v>
      </c>
      <c r="BM115" s="438">
        <v>0</v>
      </c>
      <c r="BN115" s="438">
        <v>0</v>
      </c>
      <c r="BO115" s="438">
        <v>0</v>
      </c>
      <c r="BP115" s="438">
        <v>0</v>
      </c>
      <c r="BQ115" s="437">
        <v>5392</v>
      </c>
      <c r="BR115" s="438">
        <v>1</v>
      </c>
      <c r="BS115" s="438">
        <v>0</v>
      </c>
      <c r="BT115" s="438">
        <v>0</v>
      </c>
      <c r="BU115" s="438">
        <v>0</v>
      </c>
      <c r="BV115" s="438">
        <v>0</v>
      </c>
      <c r="BW115" s="438">
        <v>0</v>
      </c>
      <c r="BX115" s="438">
        <v>0</v>
      </c>
      <c r="BY115" s="438">
        <v>0</v>
      </c>
      <c r="BZ115" s="438">
        <v>0</v>
      </c>
      <c r="CA115" s="438">
        <v>0</v>
      </c>
      <c r="CB115" s="438">
        <v>0</v>
      </c>
      <c r="CC115" s="438">
        <v>0</v>
      </c>
      <c r="CG115" s="438">
        <v>0</v>
      </c>
      <c r="CH115" s="438">
        <v>1000</v>
      </c>
      <c r="CI115" s="438">
        <v>0</v>
      </c>
      <c r="CJ115" s="438">
        <v>4</v>
      </c>
      <c r="CK115" s="438">
        <v>0</v>
      </c>
      <c r="CL115" s="438">
        <v>0</v>
      </c>
      <c r="CN115" s="438">
        <v>0</v>
      </c>
      <c r="CO115" s="438">
        <v>1</v>
      </c>
      <c r="CP115" s="438">
        <v>0</v>
      </c>
      <c r="CQ115" s="438">
        <v>0</v>
      </c>
      <c r="CR115" s="438">
        <v>60.262999999999998</v>
      </c>
      <c r="CS115" s="438">
        <v>0</v>
      </c>
      <c r="CT115" s="438">
        <v>0</v>
      </c>
      <c r="CU115" s="438">
        <v>0</v>
      </c>
      <c r="CV115" s="438">
        <v>0</v>
      </c>
      <c r="CW115" s="438">
        <v>0</v>
      </c>
      <c r="CX115" s="438">
        <v>0</v>
      </c>
      <c r="CY115" s="438">
        <v>0</v>
      </c>
      <c r="CZ115" s="438">
        <v>0</v>
      </c>
      <c r="DA115" s="438">
        <v>1</v>
      </c>
      <c r="DB115" s="438">
        <v>266171</v>
      </c>
      <c r="DC115" s="438">
        <v>0</v>
      </c>
      <c r="DD115" s="438">
        <v>2</v>
      </c>
      <c r="DE115" s="438">
        <v>65872</v>
      </c>
      <c r="DF115" s="438">
        <v>65872</v>
      </c>
      <c r="DG115" s="438">
        <v>50.33</v>
      </c>
      <c r="DH115" s="438">
        <v>0</v>
      </c>
      <c r="DI115" s="438">
        <v>0</v>
      </c>
      <c r="DK115" s="437">
        <v>5392</v>
      </c>
      <c r="DL115" s="438">
        <v>0</v>
      </c>
      <c r="DM115" s="438">
        <v>36488</v>
      </c>
      <c r="DN115" s="438">
        <v>0</v>
      </c>
      <c r="DO115" s="438">
        <v>0</v>
      </c>
      <c r="DP115" s="438">
        <v>0</v>
      </c>
      <c r="DQ115" s="438">
        <v>0</v>
      </c>
      <c r="DR115" s="438">
        <v>0</v>
      </c>
      <c r="DS115" s="438">
        <v>0</v>
      </c>
      <c r="DT115" s="438">
        <v>0</v>
      </c>
      <c r="DU115" s="438">
        <v>0</v>
      </c>
      <c r="DV115" s="438">
        <v>0</v>
      </c>
      <c r="DW115" s="438">
        <v>0</v>
      </c>
      <c r="DX115" s="438">
        <v>0</v>
      </c>
      <c r="DY115" s="438">
        <v>0</v>
      </c>
      <c r="DZ115" s="438">
        <v>0</v>
      </c>
      <c r="EA115" s="438">
        <v>0</v>
      </c>
      <c r="EB115" s="438">
        <v>0</v>
      </c>
      <c r="EC115" s="438">
        <v>4.9779999999999998</v>
      </c>
      <c r="ED115" s="438">
        <v>35834</v>
      </c>
      <c r="EE115" s="438">
        <v>0</v>
      </c>
      <c r="EF115" s="438">
        <v>0</v>
      </c>
      <c r="EG115" s="438">
        <v>0</v>
      </c>
      <c r="EH115" s="438">
        <v>654</v>
      </c>
      <c r="EI115" s="438">
        <v>0</v>
      </c>
      <c r="EJ115" s="438">
        <v>0</v>
      </c>
      <c r="EK115" s="438">
        <v>0</v>
      </c>
      <c r="EL115" s="438">
        <v>0</v>
      </c>
      <c r="EM115" s="438">
        <v>0</v>
      </c>
      <c r="EN115" s="438">
        <v>0.02</v>
      </c>
      <c r="EO115" s="438">
        <v>0</v>
      </c>
      <c r="EP115" s="438">
        <v>0</v>
      </c>
      <c r="EQ115" s="438">
        <v>0.02</v>
      </c>
      <c r="ER115" s="438">
        <v>0</v>
      </c>
      <c r="ES115" s="438">
        <v>0.1</v>
      </c>
      <c r="ET115" s="438">
        <v>1000</v>
      </c>
      <c r="EU115" s="438">
        <v>29606</v>
      </c>
      <c r="EV115" s="438">
        <v>0</v>
      </c>
      <c r="EW115" s="438">
        <v>0</v>
      </c>
      <c r="EX115" s="438">
        <v>0</v>
      </c>
      <c r="EZ115" s="438">
        <v>534044</v>
      </c>
      <c r="FA115" s="438">
        <v>0</v>
      </c>
      <c r="FB115" s="438">
        <v>563650</v>
      </c>
      <c r="FC115" s="438">
        <v>0.97334900000000002</v>
      </c>
      <c r="FD115" s="438">
        <v>0</v>
      </c>
      <c r="FE115" s="438">
        <v>76849</v>
      </c>
      <c r="FF115" s="438">
        <v>17516</v>
      </c>
      <c r="FG115" s="437">
        <v>5.7854999999999997E-2</v>
      </c>
      <c r="FH115" s="437">
        <v>5.2366000000000003E-2</v>
      </c>
      <c r="FI115" s="438">
        <v>0</v>
      </c>
      <c r="FJ115" s="438">
        <v>0</v>
      </c>
      <c r="FK115" s="438">
        <v>104.69</v>
      </c>
      <c r="FL115" s="438">
        <v>659015</v>
      </c>
      <c r="FM115" s="438">
        <v>0</v>
      </c>
      <c r="FN115" s="438">
        <v>0</v>
      </c>
      <c r="FO115" s="438">
        <v>0</v>
      </c>
      <c r="FP115" s="438">
        <v>0</v>
      </c>
      <c r="FQ115" s="438">
        <v>0</v>
      </c>
      <c r="FR115" s="438">
        <v>0</v>
      </c>
      <c r="FS115" s="438">
        <v>0</v>
      </c>
      <c r="FT115" s="438">
        <v>0</v>
      </c>
      <c r="FU115" s="438">
        <v>0</v>
      </c>
      <c r="FV115" s="438">
        <v>0</v>
      </c>
      <c r="FW115" s="438">
        <v>0</v>
      </c>
      <c r="FX115" s="438">
        <v>0</v>
      </c>
      <c r="FY115" s="438">
        <v>0</v>
      </c>
      <c r="FZ115" s="438">
        <v>0</v>
      </c>
      <c r="GA115" s="438">
        <v>0</v>
      </c>
      <c r="GB115" s="438">
        <v>172880</v>
      </c>
      <c r="GC115" s="438">
        <v>172880</v>
      </c>
      <c r="GD115" s="438">
        <v>19.568999999999999</v>
      </c>
      <c r="GF115" s="438">
        <v>0</v>
      </c>
      <c r="GG115" s="438">
        <v>0</v>
      </c>
      <c r="GH115" s="438">
        <v>0</v>
      </c>
      <c r="GI115" s="438">
        <v>0</v>
      </c>
      <c r="GJ115" s="438">
        <v>0</v>
      </c>
      <c r="GK115" s="438">
        <v>4914.0219999999999</v>
      </c>
      <c r="GL115" s="438">
        <v>2610</v>
      </c>
      <c r="GM115" s="438">
        <v>0</v>
      </c>
      <c r="GN115" s="438">
        <v>0</v>
      </c>
      <c r="GO115" s="438">
        <v>0</v>
      </c>
      <c r="GP115" s="438">
        <v>658015</v>
      </c>
      <c r="GQ115" s="438">
        <v>658015</v>
      </c>
      <c r="GR115" s="438">
        <v>0</v>
      </c>
      <c r="GS115" s="438">
        <v>0</v>
      </c>
      <c r="GT115" s="438">
        <v>0</v>
      </c>
      <c r="HB115" s="438">
        <v>0</v>
      </c>
      <c r="HC115" s="437">
        <v>6.0754000000000002E-2</v>
      </c>
      <c r="HD115" s="438">
        <v>0</v>
      </c>
    </row>
    <row r="116" spans="1:212" x14ac:dyDescent="0.2">
      <c r="A116" s="438">
        <v>25836</v>
      </c>
      <c r="B116" s="442">
        <v>101845</v>
      </c>
      <c r="C116" s="438">
        <v>9</v>
      </c>
      <c r="D116" s="438">
        <v>2020</v>
      </c>
      <c r="E116" s="438">
        <v>5392</v>
      </c>
      <c r="F116" s="438">
        <v>0</v>
      </c>
      <c r="G116" s="438">
        <v>10889.48</v>
      </c>
      <c r="H116" s="438">
        <v>10224.802</v>
      </c>
      <c r="I116" s="438">
        <v>10224.802</v>
      </c>
      <c r="J116" s="438">
        <v>10889.48</v>
      </c>
      <c r="K116" s="438">
        <v>0</v>
      </c>
      <c r="L116" s="437">
        <v>6544</v>
      </c>
      <c r="M116" s="438">
        <v>0</v>
      </c>
      <c r="N116" s="438">
        <v>0</v>
      </c>
      <c r="P116" s="438">
        <v>10937.347</v>
      </c>
      <c r="Q116" s="438">
        <v>0</v>
      </c>
      <c r="R116" s="438">
        <v>2707945</v>
      </c>
      <c r="S116" s="437">
        <v>247.58699999999999</v>
      </c>
      <c r="U116" s="438">
        <v>0</v>
      </c>
      <c r="V116" s="438">
        <v>2536.5129999999999</v>
      </c>
      <c r="W116" s="438">
        <v>1659894</v>
      </c>
      <c r="X116" s="438">
        <v>1659894</v>
      </c>
      <c r="Z116" s="438">
        <v>0</v>
      </c>
      <c r="AA116" s="438">
        <v>1</v>
      </c>
      <c r="AB116" s="438">
        <v>1</v>
      </c>
      <c r="AC116" s="438">
        <v>0</v>
      </c>
      <c r="AD116" s="438" t="s">
        <v>332</v>
      </c>
      <c r="AE116" s="438">
        <v>0</v>
      </c>
      <c r="AH116" s="438">
        <v>0</v>
      </c>
      <c r="AI116" s="438">
        <v>0</v>
      </c>
      <c r="AJ116" s="437">
        <v>5105</v>
      </c>
      <c r="AK116" s="438" t="s">
        <v>561</v>
      </c>
      <c r="AL116" s="438" t="s">
        <v>109</v>
      </c>
      <c r="AM116" s="438">
        <v>0</v>
      </c>
      <c r="AN116" s="438">
        <v>0</v>
      </c>
      <c r="AO116" s="438">
        <v>0</v>
      </c>
      <c r="AP116" s="438">
        <v>0</v>
      </c>
      <c r="AQ116" s="438">
        <v>0</v>
      </c>
      <c r="AR116" s="438">
        <v>0</v>
      </c>
      <c r="AS116" s="438">
        <v>0</v>
      </c>
      <c r="AT116" s="438">
        <v>0</v>
      </c>
      <c r="AU116" s="438">
        <v>0</v>
      </c>
      <c r="AV116" s="438">
        <v>0</v>
      </c>
      <c r="AW116" s="438">
        <v>107266241</v>
      </c>
      <c r="AX116" s="438">
        <v>105595610</v>
      </c>
      <c r="AY116" s="438">
        <v>0</v>
      </c>
      <c r="AZ116" s="438">
        <v>4162826</v>
      </c>
      <c r="BA116" s="438">
        <v>422.25</v>
      </c>
      <c r="BB116" s="438">
        <v>0</v>
      </c>
      <c r="BC116" s="438">
        <v>0</v>
      </c>
      <c r="BD116" s="438">
        <v>0</v>
      </c>
      <c r="BE116" s="438">
        <v>0</v>
      </c>
      <c r="BF116" s="438">
        <v>89224726</v>
      </c>
      <c r="BG116" s="438">
        <v>0</v>
      </c>
      <c r="BH116" s="438">
        <v>5290.4780000000001</v>
      </c>
      <c r="BI116" s="438">
        <v>1454881</v>
      </c>
      <c r="BJ116" s="438">
        <v>12</v>
      </c>
      <c r="BK116" s="438">
        <v>0</v>
      </c>
      <c r="BL116" s="438">
        <v>0</v>
      </c>
      <c r="BM116" s="438">
        <v>0</v>
      </c>
      <c r="BN116" s="438">
        <v>0</v>
      </c>
      <c r="BO116" s="438">
        <v>0</v>
      </c>
      <c r="BP116" s="438">
        <v>0</v>
      </c>
      <c r="BQ116" s="437">
        <v>5392</v>
      </c>
      <c r="BR116" s="438">
        <v>1</v>
      </c>
      <c r="BS116" s="438">
        <v>0</v>
      </c>
      <c r="BT116" s="438">
        <v>0</v>
      </c>
      <c r="BU116" s="438">
        <v>0</v>
      </c>
      <c r="BV116" s="438">
        <v>0</v>
      </c>
      <c r="BW116" s="438">
        <v>0</v>
      </c>
      <c r="BX116" s="438">
        <v>0</v>
      </c>
      <c r="BY116" s="438">
        <v>0</v>
      </c>
      <c r="BZ116" s="438">
        <v>0</v>
      </c>
      <c r="CA116" s="438">
        <v>0</v>
      </c>
      <c r="CB116" s="438">
        <v>0</v>
      </c>
      <c r="CC116" s="438">
        <v>0</v>
      </c>
      <c r="CG116" s="438">
        <v>0</v>
      </c>
      <c r="CH116" s="438">
        <v>215750</v>
      </c>
      <c r="CI116" s="438">
        <v>0</v>
      </c>
      <c r="CJ116" s="438">
        <v>4</v>
      </c>
      <c r="CK116" s="438">
        <v>0</v>
      </c>
      <c r="CL116" s="438">
        <v>0</v>
      </c>
      <c r="CN116" s="438">
        <v>0</v>
      </c>
      <c r="CO116" s="438">
        <v>1</v>
      </c>
      <c r="CP116" s="438">
        <v>1.4690000000000001</v>
      </c>
      <c r="CQ116" s="438">
        <v>18.5</v>
      </c>
      <c r="CR116" s="438">
        <v>10889.48</v>
      </c>
      <c r="CS116" s="438">
        <v>0</v>
      </c>
      <c r="CT116" s="438">
        <v>0</v>
      </c>
      <c r="CU116" s="438">
        <v>0</v>
      </c>
      <c r="CV116" s="438">
        <v>0</v>
      </c>
      <c r="CW116" s="438">
        <v>0</v>
      </c>
      <c r="CX116" s="438">
        <v>0</v>
      </c>
      <c r="CY116" s="438">
        <v>0</v>
      </c>
      <c r="CZ116" s="438">
        <v>0</v>
      </c>
      <c r="DA116" s="438">
        <v>1</v>
      </c>
      <c r="DB116" s="438">
        <v>66911104</v>
      </c>
      <c r="DC116" s="438">
        <v>0</v>
      </c>
      <c r="DD116" s="438">
        <v>440.75</v>
      </c>
      <c r="DE116" s="438">
        <v>13735424</v>
      </c>
      <c r="DF116" s="438">
        <v>13758592</v>
      </c>
      <c r="DG116" s="438">
        <v>10494.67</v>
      </c>
      <c r="DH116" s="438">
        <v>0</v>
      </c>
      <c r="DI116" s="438">
        <v>23168</v>
      </c>
      <c r="DK116" s="437">
        <v>5392</v>
      </c>
      <c r="DL116" s="438">
        <v>0</v>
      </c>
      <c r="DM116" s="438">
        <v>5854372</v>
      </c>
      <c r="DN116" s="438">
        <v>0</v>
      </c>
      <c r="DO116" s="438">
        <v>0</v>
      </c>
      <c r="DP116" s="438">
        <v>0</v>
      </c>
      <c r="DQ116" s="438">
        <v>0</v>
      </c>
      <c r="DR116" s="438">
        <v>0</v>
      </c>
      <c r="DS116" s="438">
        <v>0</v>
      </c>
      <c r="DT116" s="438">
        <v>0</v>
      </c>
      <c r="DU116" s="438">
        <v>0</v>
      </c>
      <c r="DV116" s="438">
        <v>0</v>
      </c>
      <c r="DW116" s="438">
        <v>0</v>
      </c>
      <c r="DX116" s="438">
        <v>0</v>
      </c>
      <c r="DY116" s="438">
        <v>0</v>
      </c>
      <c r="DZ116" s="438">
        <v>0</v>
      </c>
      <c r="EA116" s="438">
        <v>0</v>
      </c>
      <c r="EB116" s="438">
        <v>0</v>
      </c>
      <c r="EC116" s="438">
        <v>65.427000000000007</v>
      </c>
      <c r="ED116" s="438">
        <v>470970</v>
      </c>
      <c r="EE116" s="438">
        <v>0</v>
      </c>
      <c r="EF116" s="438">
        <v>0</v>
      </c>
      <c r="EG116" s="438">
        <v>0</v>
      </c>
      <c r="EH116" s="438">
        <v>5383402</v>
      </c>
      <c r="EI116" s="438">
        <v>0</v>
      </c>
      <c r="EJ116" s="438">
        <v>0</v>
      </c>
      <c r="EK116" s="438">
        <v>252.227</v>
      </c>
      <c r="EL116" s="438">
        <v>0</v>
      </c>
      <c r="EM116" s="438">
        <v>12.292</v>
      </c>
      <c r="EN116" s="438">
        <v>5.8179999999999996</v>
      </c>
      <c r="EO116" s="438">
        <v>0</v>
      </c>
      <c r="EP116" s="438">
        <v>0</v>
      </c>
      <c r="EQ116" s="438">
        <v>270.33699999999999</v>
      </c>
      <c r="ER116" s="438">
        <v>0</v>
      </c>
      <c r="ES116" s="438">
        <v>822.64700000000005</v>
      </c>
      <c r="ET116" s="438">
        <v>215750</v>
      </c>
      <c r="EU116" s="438">
        <v>4162826</v>
      </c>
      <c r="EV116" s="438">
        <v>0</v>
      </c>
      <c r="EW116" s="438">
        <v>0</v>
      </c>
      <c r="EX116" s="438">
        <v>0</v>
      </c>
      <c r="EZ116" s="438">
        <v>89840249</v>
      </c>
      <c r="FA116" s="438">
        <v>0</v>
      </c>
      <c r="FB116" s="438">
        <v>94003075</v>
      </c>
      <c r="FC116" s="438">
        <v>0.97334900000000002</v>
      </c>
      <c r="FD116" s="438">
        <v>0</v>
      </c>
      <c r="FE116" s="438">
        <v>12830914</v>
      </c>
      <c r="FF116" s="438">
        <v>2924447</v>
      </c>
      <c r="FG116" s="437">
        <v>5.7854999999999997E-2</v>
      </c>
      <c r="FH116" s="437">
        <v>5.2366000000000003E-2</v>
      </c>
      <c r="FI116" s="438">
        <v>0</v>
      </c>
      <c r="FJ116" s="438">
        <v>0</v>
      </c>
      <c r="FK116" s="438">
        <v>17479.28</v>
      </c>
      <c r="FL116" s="438">
        <v>109974186</v>
      </c>
      <c r="FM116" s="438">
        <v>0</v>
      </c>
      <c r="FN116" s="438">
        <v>0</v>
      </c>
      <c r="FO116" s="438">
        <v>880466</v>
      </c>
      <c r="FP116" s="438">
        <v>0</v>
      </c>
      <c r="FQ116" s="438">
        <v>880466</v>
      </c>
      <c r="FR116" s="438">
        <v>880466</v>
      </c>
      <c r="FS116" s="438">
        <v>0</v>
      </c>
      <c r="FT116" s="438">
        <v>0</v>
      </c>
      <c r="FU116" s="438">
        <v>0</v>
      </c>
      <c r="FV116" s="438">
        <v>0</v>
      </c>
      <c r="FW116" s="438">
        <v>0</v>
      </c>
      <c r="FX116" s="438">
        <v>0</v>
      </c>
      <c r="FY116" s="438">
        <v>0</v>
      </c>
      <c r="FZ116" s="438">
        <v>0</v>
      </c>
      <c r="GA116" s="438">
        <v>0</v>
      </c>
      <c r="GB116" s="438">
        <v>3483766</v>
      </c>
      <c r="GC116" s="438">
        <v>3483766</v>
      </c>
      <c r="GD116" s="438">
        <v>394.34100000000001</v>
      </c>
      <c r="GF116" s="438">
        <v>0</v>
      </c>
      <c r="GG116" s="438">
        <v>0</v>
      </c>
      <c r="GH116" s="438">
        <v>0</v>
      </c>
      <c r="GI116" s="438">
        <v>0</v>
      </c>
      <c r="GJ116" s="438">
        <v>0</v>
      </c>
      <c r="GK116" s="438">
        <v>4903.8320000000003</v>
      </c>
      <c r="GL116" s="438">
        <v>78615</v>
      </c>
      <c r="GM116" s="438">
        <v>0</v>
      </c>
      <c r="GN116" s="438">
        <v>466563</v>
      </c>
      <c r="GO116" s="438">
        <v>0</v>
      </c>
      <c r="GP116" s="438">
        <v>109758436</v>
      </c>
      <c r="GQ116" s="438">
        <v>109758436</v>
      </c>
      <c r="GR116" s="438">
        <v>0</v>
      </c>
      <c r="GS116" s="438">
        <v>0</v>
      </c>
      <c r="GT116" s="438">
        <v>0</v>
      </c>
      <c r="HB116" s="438">
        <v>0</v>
      </c>
      <c r="HC116" s="437">
        <v>6.0754000000000002E-2</v>
      </c>
      <c r="HD116" s="438">
        <v>0</v>
      </c>
    </row>
    <row r="117" spans="1:212" x14ac:dyDescent="0.2">
      <c r="A117" s="438">
        <v>25836</v>
      </c>
      <c r="B117" s="442">
        <v>101846</v>
      </c>
      <c r="C117" s="438">
        <v>9</v>
      </c>
      <c r="D117" s="438">
        <v>2020</v>
      </c>
      <c r="E117" s="438">
        <v>5392</v>
      </c>
      <c r="F117" s="438">
        <v>0</v>
      </c>
      <c r="G117" s="438">
        <v>3166.8870000000002</v>
      </c>
      <c r="H117" s="438">
        <v>2881.7420000000002</v>
      </c>
      <c r="I117" s="438">
        <v>2881.7420000000002</v>
      </c>
      <c r="J117" s="438">
        <v>3166.8870000000002</v>
      </c>
      <c r="K117" s="438">
        <v>0</v>
      </c>
      <c r="L117" s="437">
        <v>6544</v>
      </c>
      <c r="M117" s="438">
        <v>0</v>
      </c>
      <c r="N117" s="438">
        <v>0</v>
      </c>
      <c r="P117" s="438">
        <v>3189.4609999999998</v>
      </c>
      <c r="Q117" s="438">
        <v>0</v>
      </c>
      <c r="R117" s="438">
        <v>789669</v>
      </c>
      <c r="S117" s="437">
        <v>247.58699999999999</v>
      </c>
      <c r="U117" s="438">
        <v>0</v>
      </c>
      <c r="V117" s="438">
        <v>899.44399999999996</v>
      </c>
      <c r="W117" s="438">
        <v>588596</v>
      </c>
      <c r="X117" s="438">
        <v>588596</v>
      </c>
      <c r="Z117" s="438">
        <v>0</v>
      </c>
      <c r="AA117" s="438">
        <v>1</v>
      </c>
      <c r="AB117" s="438">
        <v>1</v>
      </c>
      <c r="AC117" s="438">
        <v>0</v>
      </c>
      <c r="AD117" s="438" t="s">
        <v>332</v>
      </c>
      <c r="AE117" s="438">
        <v>0</v>
      </c>
      <c r="AH117" s="438">
        <v>0</v>
      </c>
      <c r="AI117" s="438">
        <v>0</v>
      </c>
      <c r="AJ117" s="437">
        <v>5105</v>
      </c>
      <c r="AK117" s="438" t="s">
        <v>561</v>
      </c>
      <c r="AL117" s="438" t="s">
        <v>32</v>
      </c>
      <c r="AM117" s="438">
        <v>0</v>
      </c>
      <c r="AN117" s="438">
        <v>0</v>
      </c>
      <c r="AO117" s="438">
        <v>0</v>
      </c>
      <c r="AP117" s="438">
        <v>0</v>
      </c>
      <c r="AQ117" s="438">
        <v>0</v>
      </c>
      <c r="AR117" s="438">
        <v>0</v>
      </c>
      <c r="AS117" s="438">
        <v>0</v>
      </c>
      <c r="AT117" s="438">
        <v>0</v>
      </c>
      <c r="AU117" s="438">
        <v>0</v>
      </c>
      <c r="AV117" s="438">
        <v>0</v>
      </c>
      <c r="AW117" s="438">
        <v>31218838</v>
      </c>
      <c r="AX117" s="438">
        <v>30908117</v>
      </c>
      <c r="AY117" s="438">
        <v>0</v>
      </c>
      <c r="AZ117" s="438">
        <v>1063390</v>
      </c>
      <c r="BA117" s="438">
        <v>74</v>
      </c>
      <c r="BB117" s="438">
        <v>124074</v>
      </c>
      <c r="BC117" s="438">
        <v>124074</v>
      </c>
      <c r="BD117" s="438">
        <v>158</v>
      </c>
      <c r="BE117" s="438">
        <v>0</v>
      </c>
      <c r="BF117" s="438">
        <v>26327918</v>
      </c>
      <c r="BG117" s="438">
        <v>0</v>
      </c>
      <c r="BH117" s="438">
        <v>995.34799999999996</v>
      </c>
      <c r="BI117" s="438">
        <v>273721</v>
      </c>
      <c r="BJ117" s="438">
        <v>12</v>
      </c>
      <c r="BK117" s="438">
        <v>0</v>
      </c>
      <c r="BL117" s="438">
        <v>0</v>
      </c>
      <c r="BM117" s="438">
        <v>0</v>
      </c>
      <c r="BN117" s="438">
        <v>0</v>
      </c>
      <c r="BO117" s="438">
        <v>0</v>
      </c>
      <c r="BP117" s="438">
        <v>0</v>
      </c>
      <c r="BQ117" s="437">
        <v>5392</v>
      </c>
      <c r="BR117" s="438">
        <v>1</v>
      </c>
      <c r="BS117" s="438">
        <v>0</v>
      </c>
      <c r="BT117" s="438">
        <v>0</v>
      </c>
      <c r="BU117" s="438">
        <v>0</v>
      </c>
      <c r="BV117" s="438">
        <v>0</v>
      </c>
      <c r="BW117" s="438">
        <v>0</v>
      </c>
      <c r="BX117" s="438">
        <v>0</v>
      </c>
      <c r="BY117" s="438">
        <v>0</v>
      </c>
      <c r="BZ117" s="438">
        <v>0</v>
      </c>
      <c r="CA117" s="438">
        <v>0</v>
      </c>
      <c r="CB117" s="438">
        <v>0</v>
      </c>
      <c r="CC117" s="438">
        <v>0</v>
      </c>
      <c r="CG117" s="438">
        <v>0</v>
      </c>
      <c r="CH117" s="438">
        <v>37000</v>
      </c>
      <c r="CI117" s="438">
        <v>0</v>
      </c>
      <c r="CJ117" s="438">
        <v>4</v>
      </c>
      <c r="CK117" s="438">
        <v>0</v>
      </c>
      <c r="CL117" s="438">
        <v>0</v>
      </c>
      <c r="CN117" s="438">
        <v>0</v>
      </c>
      <c r="CO117" s="438">
        <v>1</v>
      </c>
      <c r="CP117" s="438">
        <v>0</v>
      </c>
      <c r="CQ117" s="438">
        <v>0</v>
      </c>
      <c r="CR117" s="438">
        <v>3166.8870000000002</v>
      </c>
      <c r="CS117" s="438">
        <v>0</v>
      </c>
      <c r="CT117" s="438">
        <v>0</v>
      </c>
      <c r="CU117" s="438">
        <v>0</v>
      </c>
      <c r="CV117" s="438">
        <v>0</v>
      </c>
      <c r="CW117" s="438">
        <v>0</v>
      </c>
      <c r="CX117" s="438">
        <v>0</v>
      </c>
      <c r="CY117" s="438">
        <v>0</v>
      </c>
      <c r="CZ117" s="438">
        <v>0</v>
      </c>
      <c r="DA117" s="438">
        <v>1</v>
      </c>
      <c r="DB117" s="438">
        <v>18858120</v>
      </c>
      <c r="DC117" s="438">
        <v>0</v>
      </c>
      <c r="DD117" s="438">
        <v>74</v>
      </c>
      <c r="DE117" s="438">
        <v>3573678</v>
      </c>
      <c r="DF117" s="438">
        <v>3573678</v>
      </c>
      <c r="DG117" s="438">
        <v>2730.5</v>
      </c>
      <c r="DH117" s="438">
        <v>0</v>
      </c>
      <c r="DI117" s="438">
        <v>0</v>
      </c>
      <c r="DK117" s="437">
        <v>5392</v>
      </c>
      <c r="DL117" s="438">
        <v>0</v>
      </c>
      <c r="DM117" s="438">
        <v>2255067</v>
      </c>
      <c r="DN117" s="438">
        <v>0</v>
      </c>
      <c r="DO117" s="438">
        <v>0</v>
      </c>
      <c r="DP117" s="438">
        <v>0</v>
      </c>
      <c r="DQ117" s="438">
        <v>0</v>
      </c>
      <c r="DR117" s="438">
        <v>0</v>
      </c>
      <c r="DS117" s="438">
        <v>0</v>
      </c>
      <c r="DT117" s="438">
        <v>0</v>
      </c>
      <c r="DU117" s="438">
        <v>0</v>
      </c>
      <c r="DV117" s="438">
        <v>0</v>
      </c>
      <c r="DW117" s="438">
        <v>0</v>
      </c>
      <c r="DX117" s="438">
        <v>0</v>
      </c>
      <c r="DY117" s="438">
        <v>0</v>
      </c>
      <c r="DZ117" s="438">
        <v>0</v>
      </c>
      <c r="EA117" s="438">
        <v>0</v>
      </c>
      <c r="EB117" s="438">
        <v>0</v>
      </c>
      <c r="EC117" s="438">
        <v>38.075000000000003</v>
      </c>
      <c r="ED117" s="438">
        <v>274079</v>
      </c>
      <c r="EE117" s="438">
        <v>0</v>
      </c>
      <c r="EF117" s="438">
        <v>0</v>
      </c>
      <c r="EG117" s="438">
        <v>1.3460000000000001</v>
      </c>
      <c r="EH117" s="438">
        <v>1980988</v>
      </c>
      <c r="EI117" s="438">
        <v>0</v>
      </c>
      <c r="EJ117" s="438">
        <v>0</v>
      </c>
      <c r="EK117" s="438">
        <v>82.119</v>
      </c>
      <c r="EL117" s="438">
        <v>0</v>
      </c>
      <c r="EM117" s="438">
        <v>11.124000000000001</v>
      </c>
      <c r="EN117" s="438">
        <v>3.871</v>
      </c>
      <c r="EO117" s="438">
        <v>0</v>
      </c>
      <c r="EP117" s="438">
        <v>0</v>
      </c>
      <c r="EQ117" s="438">
        <v>98.46</v>
      </c>
      <c r="ER117" s="438">
        <v>0</v>
      </c>
      <c r="ES117" s="438">
        <v>302.71800000000002</v>
      </c>
      <c r="ET117" s="438">
        <v>37000</v>
      </c>
      <c r="EU117" s="438">
        <v>1063390</v>
      </c>
      <c r="EV117" s="438">
        <v>0</v>
      </c>
      <c r="EW117" s="438">
        <v>0</v>
      </c>
      <c r="EX117" s="438">
        <v>0</v>
      </c>
      <c r="EZ117" s="438">
        <v>26259116</v>
      </c>
      <c r="FA117" s="438">
        <v>0</v>
      </c>
      <c r="FB117" s="438">
        <v>27322506</v>
      </c>
      <c r="FC117" s="438">
        <v>0.97334900000000002</v>
      </c>
      <c r="FD117" s="438">
        <v>0</v>
      </c>
      <c r="FE117" s="438">
        <v>3786072</v>
      </c>
      <c r="FF117" s="438">
        <v>862929</v>
      </c>
      <c r="FG117" s="437">
        <v>5.7854999999999997E-2</v>
      </c>
      <c r="FH117" s="437">
        <v>5.2366000000000003E-2</v>
      </c>
      <c r="FI117" s="438">
        <v>0</v>
      </c>
      <c r="FJ117" s="438">
        <v>0</v>
      </c>
      <c r="FK117" s="438">
        <v>5157.6850000000004</v>
      </c>
      <c r="FL117" s="438">
        <v>32008507</v>
      </c>
      <c r="FM117" s="438">
        <v>0</v>
      </c>
      <c r="FN117" s="438">
        <v>0</v>
      </c>
      <c r="FO117" s="438">
        <v>0</v>
      </c>
      <c r="FP117" s="438">
        <v>0</v>
      </c>
      <c r="FQ117" s="438">
        <v>0</v>
      </c>
      <c r="FR117" s="438">
        <v>0</v>
      </c>
      <c r="FS117" s="438">
        <v>0</v>
      </c>
      <c r="FT117" s="438">
        <v>0</v>
      </c>
      <c r="FU117" s="438">
        <v>0</v>
      </c>
      <c r="FV117" s="438">
        <v>0</v>
      </c>
      <c r="FW117" s="438">
        <v>0</v>
      </c>
      <c r="FX117" s="438">
        <v>0</v>
      </c>
      <c r="FY117" s="438">
        <v>0</v>
      </c>
      <c r="FZ117" s="438">
        <v>0</v>
      </c>
      <c r="GA117" s="438">
        <v>0</v>
      </c>
      <c r="GB117" s="438">
        <v>1649250</v>
      </c>
      <c r="GC117" s="438">
        <v>1649250</v>
      </c>
      <c r="GD117" s="438">
        <v>186.685</v>
      </c>
      <c r="GF117" s="438">
        <v>0</v>
      </c>
      <c r="GG117" s="438">
        <v>0</v>
      </c>
      <c r="GH117" s="438">
        <v>0</v>
      </c>
      <c r="GI117" s="438">
        <v>0</v>
      </c>
      <c r="GJ117" s="438">
        <v>0</v>
      </c>
      <c r="GK117" s="438">
        <v>4773.18</v>
      </c>
      <c r="GL117" s="438">
        <v>42632</v>
      </c>
      <c r="GM117" s="438">
        <v>0</v>
      </c>
      <c r="GN117" s="438">
        <v>0</v>
      </c>
      <c r="GO117" s="438">
        <v>0</v>
      </c>
      <c r="GP117" s="438">
        <v>31971507</v>
      </c>
      <c r="GQ117" s="438">
        <v>31971507</v>
      </c>
      <c r="GR117" s="438">
        <v>0</v>
      </c>
      <c r="GS117" s="438">
        <v>0</v>
      </c>
      <c r="GT117" s="438">
        <v>0</v>
      </c>
      <c r="HB117" s="438">
        <v>0</v>
      </c>
      <c r="HC117" s="437">
        <v>6.0754000000000002E-2</v>
      </c>
      <c r="HD117" s="438">
        <v>0</v>
      </c>
    </row>
    <row r="118" spans="1:212" x14ac:dyDescent="0.2">
      <c r="A118" s="438">
        <v>25836</v>
      </c>
      <c r="B118" s="442">
        <v>101847</v>
      </c>
      <c r="C118" s="438">
        <v>9</v>
      </c>
      <c r="D118" s="438">
        <v>2020</v>
      </c>
      <c r="E118" s="438">
        <v>5392</v>
      </c>
      <c r="F118" s="438">
        <v>0</v>
      </c>
      <c r="G118" s="438">
        <v>432.31700000000001</v>
      </c>
      <c r="H118" s="438">
        <v>432.1</v>
      </c>
      <c r="I118" s="438">
        <v>432.1</v>
      </c>
      <c r="J118" s="438">
        <v>432.31700000000001</v>
      </c>
      <c r="K118" s="438">
        <v>0</v>
      </c>
      <c r="L118" s="437">
        <v>6544</v>
      </c>
      <c r="M118" s="438">
        <v>0</v>
      </c>
      <c r="N118" s="438">
        <v>0</v>
      </c>
      <c r="P118" s="438">
        <v>434.11700000000002</v>
      </c>
      <c r="Q118" s="438">
        <v>0</v>
      </c>
      <c r="R118" s="438">
        <v>107482</v>
      </c>
      <c r="S118" s="437">
        <v>247.58699999999999</v>
      </c>
      <c r="U118" s="438">
        <v>0</v>
      </c>
      <c r="V118" s="438">
        <v>0</v>
      </c>
      <c r="W118" s="438">
        <v>0</v>
      </c>
      <c r="X118" s="438">
        <v>0</v>
      </c>
      <c r="Z118" s="438">
        <v>0</v>
      </c>
      <c r="AA118" s="438">
        <v>1</v>
      </c>
      <c r="AB118" s="438">
        <v>1</v>
      </c>
      <c r="AC118" s="438">
        <v>0</v>
      </c>
      <c r="AD118" s="438" t="s">
        <v>332</v>
      </c>
      <c r="AE118" s="438">
        <v>0</v>
      </c>
      <c r="AH118" s="438">
        <v>0</v>
      </c>
      <c r="AI118" s="438">
        <v>0</v>
      </c>
      <c r="AJ118" s="437">
        <v>5105</v>
      </c>
      <c r="AK118" s="438" t="s">
        <v>561</v>
      </c>
      <c r="AL118" s="438" t="s">
        <v>33</v>
      </c>
      <c r="AM118" s="438">
        <v>0</v>
      </c>
      <c r="AN118" s="438">
        <v>0</v>
      </c>
      <c r="AO118" s="438">
        <v>0</v>
      </c>
      <c r="AP118" s="438">
        <v>0</v>
      </c>
      <c r="AQ118" s="438">
        <v>0</v>
      </c>
      <c r="AR118" s="438">
        <v>0</v>
      </c>
      <c r="AS118" s="438">
        <v>0</v>
      </c>
      <c r="AT118" s="438">
        <v>0</v>
      </c>
      <c r="AU118" s="438">
        <v>0</v>
      </c>
      <c r="AV118" s="438">
        <v>0</v>
      </c>
      <c r="AW118" s="438">
        <v>4041677</v>
      </c>
      <c r="AX118" s="438">
        <v>4036843</v>
      </c>
      <c r="AY118" s="438">
        <v>0</v>
      </c>
      <c r="AZ118" s="438">
        <v>107482</v>
      </c>
      <c r="BA118" s="438">
        <v>9.6669999999999998</v>
      </c>
      <c r="BB118" s="438">
        <v>0</v>
      </c>
      <c r="BC118" s="438">
        <v>0</v>
      </c>
      <c r="BD118" s="438">
        <v>0</v>
      </c>
      <c r="BE118" s="438">
        <v>0</v>
      </c>
      <c r="BF118" s="438">
        <v>3442241</v>
      </c>
      <c r="BG118" s="438">
        <v>0</v>
      </c>
      <c r="BH118" s="438">
        <v>0</v>
      </c>
      <c r="BI118" s="438">
        <v>0</v>
      </c>
      <c r="BJ118" s="438">
        <v>12</v>
      </c>
      <c r="BK118" s="438">
        <v>0</v>
      </c>
      <c r="BL118" s="438">
        <v>0</v>
      </c>
      <c r="BM118" s="438">
        <v>0</v>
      </c>
      <c r="BN118" s="438">
        <v>0</v>
      </c>
      <c r="BO118" s="438">
        <v>0</v>
      </c>
      <c r="BP118" s="438">
        <v>0</v>
      </c>
      <c r="BQ118" s="437">
        <v>5392</v>
      </c>
      <c r="BR118" s="438">
        <v>1</v>
      </c>
      <c r="BS118" s="438">
        <v>0</v>
      </c>
      <c r="BT118" s="438">
        <v>0</v>
      </c>
      <c r="BU118" s="438">
        <v>0</v>
      </c>
      <c r="BV118" s="438">
        <v>0</v>
      </c>
      <c r="BW118" s="438">
        <v>0</v>
      </c>
      <c r="BX118" s="438">
        <v>0</v>
      </c>
      <c r="BY118" s="438">
        <v>0</v>
      </c>
      <c r="BZ118" s="438">
        <v>0</v>
      </c>
      <c r="CA118" s="438">
        <v>0</v>
      </c>
      <c r="CB118" s="438">
        <v>0</v>
      </c>
      <c r="CC118" s="438">
        <v>0</v>
      </c>
      <c r="CG118" s="438">
        <v>0</v>
      </c>
      <c r="CH118" s="438">
        <v>4834</v>
      </c>
      <c r="CI118" s="438">
        <v>0</v>
      </c>
      <c r="CJ118" s="438">
        <v>4</v>
      </c>
      <c r="CK118" s="438">
        <v>0</v>
      </c>
      <c r="CL118" s="438">
        <v>0</v>
      </c>
      <c r="CN118" s="438">
        <v>0</v>
      </c>
      <c r="CO118" s="438">
        <v>1</v>
      </c>
      <c r="CP118" s="438">
        <v>0</v>
      </c>
      <c r="CQ118" s="438">
        <v>0</v>
      </c>
      <c r="CR118" s="438">
        <v>432.31700000000001</v>
      </c>
      <c r="CS118" s="438">
        <v>0</v>
      </c>
      <c r="CT118" s="438">
        <v>0</v>
      </c>
      <c r="CU118" s="438">
        <v>0</v>
      </c>
      <c r="CV118" s="438">
        <v>0</v>
      </c>
      <c r="CW118" s="438">
        <v>0</v>
      </c>
      <c r="CX118" s="438">
        <v>0</v>
      </c>
      <c r="CY118" s="438">
        <v>0</v>
      </c>
      <c r="CZ118" s="438">
        <v>0</v>
      </c>
      <c r="DA118" s="438">
        <v>1</v>
      </c>
      <c r="DB118" s="438">
        <v>2827662</v>
      </c>
      <c r="DC118" s="438">
        <v>0</v>
      </c>
      <c r="DD118" s="438">
        <v>0</v>
      </c>
      <c r="DE118" s="438">
        <v>490578</v>
      </c>
      <c r="DF118" s="438">
        <v>490578</v>
      </c>
      <c r="DG118" s="438">
        <v>374.83</v>
      </c>
      <c r="DH118" s="438">
        <v>0</v>
      </c>
      <c r="DI118" s="438">
        <v>0</v>
      </c>
      <c r="DK118" s="437">
        <v>5392</v>
      </c>
      <c r="DL118" s="438">
        <v>0</v>
      </c>
      <c r="DM118" s="438">
        <v>218251</v>
      </c>
      <c r="DN118" s="438">
        <v>0</v>
      </c>
      <c r="DO118" s="438">
        <v>0</v>
      </c>
      <c r="DP118" s="438">
        <v>0</v>
      </c>
      <c r="DQ118" s="438">
        <v>0</v>
      </c>
      <c r="DR118" s="438">
        <v>0</v>
      </c>
      <c r="DS118" s="438">
        <v>0</v>
      </c>
      <c r="DT118" s="438">
        <v>0</v>
      </c>
      <c r="DU118" s="438">
        <v>0</v>
      </c>
      <c r="DV118" s="438">
        <v>0</v>
      </c>
      <c r="DW118" s="438">
        <v>0</v>
      </c>
      <c r="DX118" s="438">
        <v>0</v>
      </c>
      <c r="DY118" s="438">
        <v>0</v>
      </c>
      <c r="DZ118" s="438">
        <v>0</v>
      </c>
      <c r="EA118" s="438">
        <v>0</v>
      </c>
      <c r="EB118" s="438">
        <v>0</v>
      </c>
      <c r="EC118" s="438">
        <v>29.332999999999998</v>
      </c>
      <c r="ED118" s="438">
        <v>211151</v>
      </c>
      <c r="EE118" s="438">
        <v>0</v>
      </c>
      <c r="EF118" s="438">
        <v>0</v>
      </c>
      <c r="EG118" s="438">
        <v>0</v>
      </c>
      <c r="EH118" s="438">
        <v>7100</v>
      </c>
      <c r="EI118" s="438">
        <v>0</v>
      </c>
      <c r="EJ118" s="438">
        <v>0</v>
      </c>
      <c r="EK118" s="438">
        <v>0</v>
      </c>
      <c r="EL118" s="438">
        <v>0</v>
      </c>
      <c r="EM118" s="438">
        <v>0</v>
      </c>
      <c r="EN118" s="438">
        <v>0.217</v>
      </c>
      <c r="EO118" s="438">
        <v>0</v>
      </c>
      <c r="EP118" s="438">
        <v>0</v>
      </c>
      <c r="EQ118" s="438">
        <v>0.217</v>
      </c>
      <c r="ER118" s="438">
        <v>0</v>
      </c>
      <c r="ES118" s="438">
        <v>1.085</v>
      </c>
      <c r="ET118" s="438">
        <v>4834</v>
      </c>
      <c r="EU118" s="438">
        <v>107482</v>
      </c>
      <c r="EV118" s="438">
        <v>0</v>
      </c>
      <c r="EW118" s="438">
        <v>0</v>
      </c>
      <c r="EX118" s="438">
        <v>0</v>
      </c>
      <c r="EZ118" s="438">
        <v>3429009</v>
      </c>
      <c r="FA118" s="438">
        <v>0</v>
      </c>
      <c r="FB118" s="438">
        <v>3536491</v>
      </c>
      <c r="FC118" s="438">
        <v>0.97334900000000002</v>
      </c>
      <c r="FD118" s="438">
        <v>0</v>
      </c>
      <c r="FE118" s="438">
        <v>495010</v>
      </c>
      <c r="FF118" s="438">
        <v>112824</v>
      </c>
      <c r="FG118" s="437">
        <v>5.7854999999999997E-2</v>
      </c>
      <c r="FH118" s="437">
        <v>5.2366000000000003E-2</v>
      </c>
      <c r="FI118" s="438">
        <v>0</v>
      </c>
      <c r="FJ118" s="438">
        <v>0</v>
      </c>
      <c r="FK118" s="438">
        <v>674.34100000000001</v>
      </c>
      <c r="FL118" s="438">
        <v>4149159</v>
      </c>
      <c r="FM118" s="438">
        <v>0</v>
      </c>
      <c r="FN118" s="438">
        <v>0</v>
      </c>
      <c r="FO118" s="438">
        <v>0</v>
      </c>
      <c r="FP118" s="438">
        <v>0</v>
      </c>
      <c r="FQ118" s="438">
        <v>0</v>
      </c>
      <c r="FR118" s="438">
        <v>0</v>
      </c>
      <c r="FS118" s="438">
        <v>0</v>
      </c>
      <c r="FT118" s="438">
        <v>0</v>
      </c>
      <c r="FU118" s="438">
        <v>0</v>
      </c>
      <c r="FV118" s="438">
        <v>0</v>
      </c>
      <c r="FW118" s="438">
        <v>0</v>
      </c>
      <c r="FX118" s="438">
        <v>0</v>
      </c>
      <c r="FY118" s="438">
        <v>0</v>
      </c>
      <c r="FZ118" s="438">
        <v>0</v>
      </c>
      <c r="GA118" s="438">
        <v>0</v>
      </c>
      <c r="GB118" s="438">
        <v>0</v>
      </c>
      <c r="GC118" s="438">
        <v>0</v>
      </c>
      <c r="GD118" s="438">
        <v>0</v>
      </c>
      <c r="GF118" s="438">
        <v>0</v>
      </c>
      <c r="GG118" s="438">
        <v>0</v>
      </c>
      <c r="GH118" s="438">
        <v>0</v>
      </c>
      <c r="GI118" s="438">
        <v>0</v>
      </c>
      <c r="GJ118" s="438">
        <v>0</v>
      </c>
      <c r="GK118" s="438">
        <v>4687.0780000000004</v>
      </c>
      <c r="GL118" s="438">
        <v>11892</v>
      </c>
      <c r="GM118" s="438">
        <v>0</v>
      </c>
      <c r="GN118" s="438">
        <v>0</v>
      </c>
      <c r="GO118" s="438">
        <v>0</v>
      </c>
      <c r="GP118" s="438">
        <v>4144325</v>
      </c>
      <c r="GQ118" s="438">
        <v>4144325</v>
      </c>
      <c r="GR118" s="438">
        <v>0</v>
      </c>
      <c r="GS118" s="438">
        <v>0</v>
      </c>
      <c r="GT118" s="438">
        <v>0</v>
      </c>
      <c r="HB118" s="438">
        <v>0</v>
      </c>
      <c r="HC118" s="437">
        <v>6.0754000000000002E-2</v>
      </c>
      <c r="HD118" s="438">
        <v>0</v>
      </c>
    </row>
    <row r="119" spans="1:212" x14ac:dyDescent="0.2">
      <c r="A119" s="438">
        <v>25836</v>
      </c>
      <c r="B119" s="442">
        <v>101849</v>
      </c>
      <c r="C119" s="438">
        <v>9</v>
      </c>
      <c r="D119" s="438">
        <v>2020</v>
      </c>
      <c r="E119" s="438">
        <v>5392</v>
      </c>
      <c r="F119" s="438">
        <v>0</v>
      </c>
      <c r="G119" s="438">
        <v>222.72499999999999</v>
      </c>
      <c r="H119" s="438">
        <v>222.14</v>
      </c>
      <c r="I119" s="438">
        <v>222.14</v>
      </c>
      <c r="J119" s="438">
        <v>222.72499999999999</v>
      </c>
      <c r="K119" s="438">
        <v>0</v>
      </c>
      <c r="L119" s="437">
        <v>6544</v>
      </c>
      <c r="M119" s="438">
        <v>0</v>
      </c>
      <c r="N119" s="438">
        <v>0</v>
      </c>
      <c r="P119" s="438">
        <v>221.75299999999999</v>
      </c>
      <c r="Q119" s="438">
        <v>0</v>
      </c>
      <c r="R119" s="438">
        <v>54903</v>
      </c>
      <c r="S119" s="437">
        <v>247.58699999999999</v>
      </c>
      <c r="U119" s="438">
        <v>0</v>
      </c>
      <c r="V119" s="438">
        <v>74.822999999999993</v>
      </c>
      <c r="W119" s="438">
        <v>48964</v>
      </c>
      <c r="X119" s="438">
        <v>48964</v>
      </c>
      <c r="Z119" s="438">
        <v>0</v>
      </c>
      <c r="AA119" s="438">
        <v>1</v>
      </c>
      <c r="AB119" s="438">
        <v>1</v>
      </c>
      <c r="AC119" s="438">
        <v>0</v>
      </c>
      <c r="AD119" s="438" t="s">
        <v>332</v>
      </c>
      <c r="AE119" s="438">
        <v>0</v>
      </c>
      <c r="AH119" s="438">
        <v>0</v>
      </c>
      <c r="AI119" s="438">
        <v>0</v>
      </c>
      <c r="AJ119" s="437">
        <v>5105</v>
      </c>
      <c r="AK119" s="438" t="s">
        <v>561</v>
      </c>
      <c r="AL119" s="438" t="s">
        <v>15</v>
      </c>
      <c r="AM119" s="438">
        <v>0</v>
      </c>
      <c r="AN119" s="438">
        <v>0</v>
      </c>
      <c r="AO119" s="438">
        <v>0</v>
      </c>
      <c r="AP119" s="438">
        <v>0</v>
      </c>
      <c r="AQ119" s="438">
        <v>0</v>
      </c>
      <c r="AR119" s="438">
        <v>0</v>
      </c>
      <c r="AS119" s="438">
        <v>0</v>
      </c>
      <c r="AT119" s="438">
        <v>0</v>
      </c>
      <c r="AU119" s="438">
        <v>0</v>
      </c>
      <c r="AV119" s="438">
        <v>0</v>
      </c>
      <c r="AW119" s="438">
        <v>2131468</v>
      </c>
      <c r="AX119" s="438">
        <v>2122343</v>
      </c>
      <c r="AY119" s="438">
        <v>0</v>
      </c>
      <c r="AZ119" s="438">
        <v>54903</v>
      </c>
      <c r="BA119" s="438">
        <v>18.25</v>
      </c>
      <c r="BB119" s="438">
        <v>0</v>
      </c>
      <c r="BC119" s="438">
        <v>0</v>
      </c>
      <c r="BD119" s="438">
        <v>0</v>
      </c>
      <c r="BE119" s="438">
        <v>0</v>
      </c>
      <c r="BF119" s="438">
        <v>1808402</v>
      </c>
      <c r="BG119" s="438">
        <v>0</v>
      </c>
      <c r="BH119" s="438">
        <v>0</v>
      </c>
      <c r="BI119" s="438">
        <v>0</v>
      </c>
      <c r="BJ119" s="438">
        <v>12</v>
      </c>
      <c r="BK119" s="438">
        <v>0</v>
      </c>
      <c r="BL119" s="438">
        <v>0</v>
      </c>
      <c r="BM119" s="438">
        <v>0</v>
      </c>
      <c r="BN119" s="438">
        <v>0</v>
      </c>
      <c r="BO119" s="438">
        <v>0</v>
      </c>
      <c r="BP119" s="438">
        <v>0</v>
      </c>
      <c r="BQ119" s="437">
        <v>5392</v>
      </c>
      <c r="BR119" s="438">
        <v>1</v>
      </c>
      <c r="BS119" s="438">
        <v>0</v>
      </c>
      <c r="BT119" s="438">
        <v>0</v>
      </c>
      <c r="BU119" s="438">
        <v>0</v>
      </c>
      <c r="BV119" s="438">
        <v>0</v>
      </c>
      <c r="BW119" s="438">
        <v>0</v>
      </c>
      <c r="BX119" s="438">
        <v>0</v>
      </c>
      <c r="BY119" s="438">
        <v>0</v>
      </c>
      <c r="BZ119" s="438">
        <v>0</v>
      </c>
      <c r="CA119" s="438">
        <v>0</v>
      </c>
      <c r="CB119" s="438">
        <v>0</v>
      </c>
      <c r="CC119" s="438">
        <v>0</v>
      </c>
      <c r="CG119" s="438">
        <v>0</v>
      </c>
      <c r="CH119" s="438">
        <v>9125</v>
      </c>
      <c r="CI119" s="438">
        <v>0</v>
      </c>
      <c r="CJ119" s="438">
        <v>4</v>
      </c>
      <c r="CK119" s="438">
        <v>0</v>
      </c>
      <c r="CL119" s="438">
        <v>0</v>
      </c>
      <c r="CN119" s="438">
        <v>0</v>
      </c>
      <c r="CO119" s="438">
        <v>1</v>
      </c>
      <c r="CP119" s="438">
        <v>0</v>
      </c>
      <c r="CQ119" s="438">
        <v>0</v>
      </c>
      <c r="CR119" s="438">
        <v>222.72499999999999</v>
      </c>
      <c r="CS119" s="438">
        <v>0</v>
      </c>
      <c r="CT119" s="438">
        <v>0</v>
      </c>
      <c r="CU119" s="438">
        <v>0</v>
      </c>
      <c r="CV119" s="438">
        <v>0</v>
      </c>
      <c r="CW119" s="438">
        <v>0</v>
      </c>
      <c r="CX119" s="438">
        <v>0</v>
      </c>
      <c r="CY119" s="438">
        <v>0</v>
      </c>
      <c r="CZ119" s="438">
        <v>0</v>
      </c>
      <c r="DA119" s="438">
        <v>1</v>
      </c>
      <c r="DB119" s="438">
        <v>1453684</v>
      </c>
      <c r="DC119" s="438">
        <v>0</v>
      </c>
      <c r="DD119" s="438">
        <v>18.25</v>
      </c>
      <c r="DE119" s="438">
        <v>329386</v>
      </c>
      <c r="DF119" s="438">
        <v>329386</v>
      </c>
      <c r="DG119" s="438">
        <v>251.67</v>
      </c>
      <c r="DH119" s="438">
        <v>0</v>
      </c>
      <c r="DI119" s="438">
        <v>0</v>
      </c>
      <c r="DK119" s="437">
        <v>5392</v>
      </c>
      <c r="DL119" s="438">
        <v>0</v>
      </c>
      <c r="DM119" s="438">
        <v>25883</v>
      </c>
      <c r="DN119" s="438">
        <v>0</v>
      </c>
      <c r="DO119" s="438">
        <v>0</v>
      </c>
      <c r="DP119" s="438">
        <v>0</v>
      </c>
      <c r="DQ119" s="438">
        <v>0</v>
      </c>
      <c r="DR119" s="438">
        <v>0</v>
      </c>
      <c r="DS119" s="438">
        <v>0</v>
      </c>
      <c r="DT119" s="438">
        <v>0</v>
      </c>
      <c r="DU119" s="438">
        <v>0</v>
      </c>
      <c r="DV119" s="438">
        <v>0</v>
      </c>
      <c r="DW119" s="438">
        <v>0</v>
      </c>
      <c r="DX119" s="438">
        <v>0</v>
      </c>
      <c r="DY119" s="438">
        <v>0</v>
      </c>
      <c r="DZ119" s="438">
        <v>0</v>
      </c>
      <c r="EA119" s="438">
        <v>0</v>
      </c>
      <c r="EB119" s="438">
        <v>0</v>
      </c>
      <c r="EC119" s="438">
        <v>1.782</v>
      </c>
      <c r="ED119" s="438">
        <v>12828</v>
      </c>
      <c r="EE119" s="438">
        <v>0</v>
      </c>
      <c r="EF119" s="438">
        <v>0</v>
      </c>
      <c r="EG119" s="438">
        <v>0</v>
      </c>
      <c r="EH119" s="438">
        <v>13055</v>
      </c>
      <c r="EI119" s="438">
        <v>0</v>
      </c>
      <c r="EJ119" s="438">
        <v>0</v>
      </c>
      <c r="EK119" s="438">
        <v>0.46500000000000002</v>
      </c>
      <c r="EL119" s="438">
        <v>0</v>
      </c>
      <c r="EM119" s="438">
        <v>0</v>
      </c>
      <c r="EN119" s="438">
        <v>0.12</v>
      </c>
      <c r="EO119" s="438">
        <v>0</v>
      </c>
      <c r="EP119" s="438">
        <v>0</v>
      </c>
      <c r="EQ119" s="438">
        <v>0.58499999999999996</v>
      </c>
      <c r="ER119" s="438">
        <v>0</v>
      </c>
      <c r="ES119" s="438">
        <v>1.9950000000000001</v>
      </c>
      <c r="ET119" s="438">
        <v>9125</v>
      </c>
      <c r="EU119" s="438">
        <v>54903</v>
      </c>
      <c r="EV119" s="438">
        <v>0</v>
      </c>
      <c r="EW119" s="438">
        <v>0</v>
      </c>
      <c r="EX119" s="438">
        <v>0</v>
      </c>
      <c r="EZ119" s="438">
        <v>1803014</v>
      </c>
      <c r="FA119" s="438">
        <v>0</v>
      </c>
      <c r="FB119" s="438">
        <v>1857917</v>
      </c>
      <c r="FC119" s="438">
        <v>0.97334900000000002</v>
      </c>
      <c r="FD119" s="438">
        <v>0</v>
      </c>
      <c r="FE119" s="438">
        <v>260056</v>
      </c>
      <c r="FF119" s="438">
        <v>59273</v>
      </c>
      <c r="FG119" s="437">
        <v>5.7854999999999997E-2</v>
      </c>
      <c r="FH119" s="437">
        <v>5.2366000000000003E-2</v>
      </c>
      <c r="FI119" s="438">
        <v>0</v>
      </c>
      <c r="FJ119" s="438">
        <v>0</v>
      </c>
      <c r="FK119" s="438">
        <v>354.26900000000001</v>
      </c>
      <c r="FL119" s="438">
        <v>2186371</v>
      </c>
      <c r="FM119" s="438">
        <v>0</v>
      </c>
      <c r="FN119" s="438">
        <v>0</v>
      </c>
      <c r="FO119" s="438">
        <v>0</v>
      </c>
      <c r="FP119" s="438">
        <v>0</v>
      </c>
      <c r="FQ119" s="438">
        <v>0</v>
      </c>
      <c r="FR119" s="438">
        <v>0</v>
      </c>
      <c r="FS119" s="438">
        <v>0</v>
      </c>
      <c r="FT119" s="438">
        <v>0</v>
      </c>
      <c r="FU119" s="438">
        <v>0</v>
      </c>
      <c r="FV119" s="438">
        <v>0</v>
      </c>
      <c r="FW119" s="438">
        <v>0</v>
      </c>
      <c r="FX119" s="438">
        <v>0</v>
      </c>
      <c r="FY119" s="438">
        <v>0</v>
      </c>
      <c r="FZ119" s="438">
        <v>0</v>
      </c>
      <c r="GA119" s="438">
        <v>0</v>
      </c>
      <c r="GB119" s="438">
        <v>0</v>
      </c>
      <c r="GC119" s="438">
        <v>0</v>
      </c>
      <c r="GD119" s="438">
        <v>0</v>
      </c>
      <c r="GF119" s="438">
        <v>0</v>
      </c>
      <c r="GG119" s="438">
        <v>0</v>
      </c>
      <c r="GH119" s="438">
        <v>0</v>
      </c>
      <c r="GI119" s="438">
        <v>0</v>
      </c>
      <c r="GJ119" s="438">
        <v>0</v>
      </c>
      <c r="GK119" s="438">
        <v>4765.8140000000003</v>
      </c>
      <c r="GL119" s="438">
        <v>16021</v>
      </c>
      <c r="GM119" s="438">
        <v>0</v>
      </c>
      <c r="GN119" s="438">
        <v>26516</v>
      </c>
      <c r="GO119" s="438">
        <v>0</v>
      </c>
      <c r="GP119" s="438">
        <v>2177246</v>
      </c>
      <c r="GQ119" s="438">
        <v>2177246</v>
      </c>
      <c r="GR119" s="438">
        <v>0</v>
      </c>
      <c r="GS119" s="438">
        <v>0</v>
      </c>
      <c r="GT119" s="438">
        <v>0</v>
      </c>
      <c r="HB119" s="438">
        <v>0</v>
      </c>
      <c r="HC119" s="437">
        <v>6.0754000000000002E-2</v>
      </c>
      <c r="HD119" s="438">
        <v>0</v>
      </c>
    </row>
    <row r="120" spans="1:212" x14ac:dyDescent="0.2">
      <c r="A120" s="438">
        <v>25836</v>
      </c>
      <c r="B120" s="442">
        <v>101853</v>
      </c>
      <c r="C120" s="438">
        <v>9</v>
      </c>
      <c r="D120" s="438">
        <v>2020</v>
      </c>
      <c r="E120" s="438">
        <v>5392</v>
      </c>
      <c r="F120" s="438">
        <v>0</v>
      </c>
      <c r="G120" s="438">
        <v>1270.328</v>
      </c>
      <c r="H120" s="438">
        <v>1243.76</v>
      </c>
      <c r="I120" s="438">
        <v>1243.76</v>
      </c>
      <c r="J120" s="438">
        <v>1270.328</v>
      </c>
      <c r="K120" s="438">
        <v>0</v>
      </c>
      <c r="L120" s="437">
        <v>6544</v>
      </c>
      <c r="M120" s="438">
        <v>0</v>
      </c>
      <c r="N120" s="438">
        <v>0</v>
      </c>
      <c r="P120" s="438">
        <v>1270.575</v>
      </c>
      <c r="Q120" s="438">
        <v>0</v>
      </c>
      <c r="R120" s="438">
        <v>314578</v>
      </c>
      <c r="S120" s="437">
        <v>247.58699999999999</v>
      </c>
      <c r="U120" s="438">
        <v>0</v>
      </c>
      <c r="V120" s="438">
        <v>692.62800000000004</v>
      </c>
      <c r="W120" s="438">
        <v>453256</v>
      </c>
      <c r="X120" s="438">
        <v>453256</v>
      </c>
      <c r="Z120" s="438">
        <v>0</v>
      </c>
      <c r="AA120" s="438">
        <v>1</v>
      </c>
      <c r="AB120" s="438">
        <v>1</v>
      </c>
      <c r="AC120" s="438">
        <v>0</v>
      </c>
      <c r="AD120" s="438" t="s">
        <v>332</v>
      </c>
      <c r="AE120" s="438">
        <v>0</v>
      </c>
      <c r="AH120" s="438">
        <v>0</v>
      </c>
      <c r="AI120" s="438">
        <v>0</v>
      </c>
      <c r="AJ120" s="437">
        <v>5105</v>
      </c>
      <c r="AK120" s="438" t="s">
        <v>561</v>
      </c>
      <c r="AL120" s="438" t="s">
        <v>106</v>
      </c>
      <c r="AM120" s="438">
        <v>0</v>
      </c>
      <c r="AN120" s="438">
        <v>0</v>
      </c>
      <c r="AO120" s="438">
        <v>0</v>
      </c>
      <c r="AP120" s="438">
        <v>0</v>
      </c>
      <c r="AQ120" s="438">
        <v>0</v>
      </c>
      <c r="AR120" s="438">
        <v>0</v>
      </c>
      <c r="AS120" s="438">
        <v>0</v>
      </c>
      <c r="AT120" s="438">
        <v>0</v>
      </c>
      <c r="AU120" s="438">
        <v>0</v>
      </c>
      <c r="AV120" s="438">
        <v>0</v>
      </c>
      <c r="AW120" s="438">
        <v>13467228</v>
      </c>
      <c r="AX120" s="438">
        <v>13467228</v>
      </c>
      <c r="AY120" s="438">
        <v>0</v>
      </c>
      <c r="AZ120" s="438">
        <v>314578</v>
      </c>
      <c r="BA120" s="438">
        <v>0</v>
      </c>
      <c r="BB120" s="438">
        <v>3926</v>
      </c>
      <c r="BC120" s="438">
        <v>3926</v>
      </c>
      <c r="BD120" s="438">
        <v>5</v>
      </c>
      <c r="BE120" s="438">
        <v>0</v>
      </c>
      <c r="BF120" s="438">
        <v>11447053</v>
      </c>
      <c r="BG120" s="438">
        <v>0</v>
      </c>
      <c r="BH120" s="438">
        <v>0</v>
      </c>
      <c r="BI120" s="438">
        <v>0</v>
      </c>
      <c r="BJ120" s="438">
        <v>12</v>
      </c>
      <c r="BK120" s="438">
        <v>0</v>
      </c>
      <c r="BL120" s="438">
        <v>0</v>
      </c>
      <c r="BM120" s="438">
        <v>0</v>
      </c>
      <c r="BN120" s="438">
        <v>0</v>
      </c>
      <c r="BO120" s="438">
        <v>0</v>
      </c>
      <c r="BP120" s="438">
        <v>0</v>
      </c>
      <c r="BQ120" s="437">
        <v>5392</v>
      </c>
      <c r="BR120" s="438">
        <v>1</v>
      </c>
      <c r="BS120" s="438">
        <v>0</v>
      </c>
      <c r="BT120" s="438">
        <v>0</v>
      </c>
      <c r="BU120" s="438">
        <v>0</v>
      </c>
      <c r="BV120" s="438">
        <v>0</v>
      </c>
      <c r="BW120" s="438">
        <v>0</v>
      </c>
      <c r="BX120" s="438">
        <v>0</v>
      </c>
      <c r="BY120" s="438">
        <v>0</v>
      </c>
      <c r="BZ120" s="438">
        <v>0</v>
      </c>
      <c r="CA120" s="438">
        <v>0</v>
      </c>
      <c r="CB120" s="438">
        <v>0</v>
      </c>
      <c r="CC120" s="438">
        <v>0</v>
      </c>
      <c r="CG120" s="438">
        <v>0</v>
      </c>
      <c r="CH120" s="438">
        <v>0</v>
      </c>
      <c r="CI120" s="438">
        <v>0</v>
      </c>
      <c r="CJ120" s="438">
        <v>4</v>
      </c>
      <c r="CK120" s="438">
        <v>0</v>
      </c>
      <c r="CL120" s="438">
        <v>0</v>
      </c>
      <c r="CN120" s="438">
        <v>0</v>
      </c>
      <c r="CO120" s="438">
        <v>1</v>
      </c>
      <c r="CP120" s="438">
        <v>0</v>
      </c>
      <c r="CQ120" s="438">
        <v>0</v>
      </c>
      <c r="CR120" s="438">
        <v>1270.328</v>
      </c>
      <c r="CS120" s="438">
        <v>0</v>
      </c>
      <c r="CT120" s="438">
        <v>0</v>
      </c>
      <c r="CU120" s="438">
        <v>0</v>
      </c>
      <c r="CV120" s="438">
        <v>0</v>
      </c>
      <c r="CW120" s="438">
        <v>0</v>
      </c>
      <c r="CX120" s="438">
        <v>0</v>
      </c>
      <c r="CY120" s="438">
        <v>0</v>
      </c>
      <c r="CZ120" s="438">
        <v>0</v>
      </c>
      <c r="DA120" s="438">
        <v>1</v>
      </c>
      <c r="DB120" s="438">
        <v>8139165</v>
      </c>
      <c r="DC120" s="438">
        <v>0</v>
      </c>
      <c r="DD120" s="438">
        <v>0</v>
      </c>
      <c r="DE120" s="438">
        <v>2561322</v>
      </c>
      <c r="DF120" s="438">
        <v>2561322</v>
      </c>
      <c r="DG120" s="438">
        <v>1957</v>
      </c>
      <c r="DH120" s="438">
        <v>0</v>
      </c>
      <c r="DI120" s="438">
        <v>0</v>
      </c>
      <c r="DK120" s="437">
        <v>5392</v>
      </c>
      <c r="DL120" s="438">
        <v>0</v>
      </c>
      <c r="DM120" s="438">
        <v>602808</v>
      </c>
      <c r="DN120" s="438">
        <v>0</v>
      </c>
      <c r="DO120" s="438">
        <v>0</v>
      </c>
      <c r="DP120" s="438">
        <v>0</v>
      </c>
      <c r="DQ120" s="438">
        <v>0</v>
      </c>
      <c r="DR120" s="438">
        <v>0</v>
      </c>
      <c r="DS120" s="438">
        <v>0</v>
      </c>
      <c r="DT120" s="438">
        <v>0</v>
      </c>
      <c r="DU120" s="438">
        <v>0</v>
      </c>
      <c r="DV120" s="438">
        <v>0</v>
      </c>
      <c r="DW120" s="438">
        <v>0</v>
      </c>
      <c r="DX120" s="438">
        <v>0</v>
      </c>
      <c r="DY120" s="438">
        <v>0</v>
      </c>
      <c r="DZ120" s="438">
        <v>0</v>
      </c>
      <c r="EA120" s="438">
        <v>0</v>
      </c>
      <c r="EB120" s="438">
        <v>0</v>
      </c>
      <c r="EC120" s="438">
        <v>4.0419999999999998</v>
      </c>
      <c r="ED120" s="438">
        <v>29096</v>
      </c>
      <c r="EE120" s="438">
        <v>0</v>
      </c>
      <c r="EF120" s="438">
        <v>0</v>
      </c>
      <c r="EG120" s="438">
        <v>0</v>
      </c>
      <c r="EH120" s="438">
        <v>573712</v>
      </c>
      <c r="EI120" s="438">
        <v>0</v>
      </c>
      <c r="EJ120" s="438">
        <v>0</v>
      </c>
      <c r="EK120" s="438">
        <v>21.286999999999999</v>
      </c>
      <c r="EL120" s="438">
        <v>0</v>
      </c>
      <c r="EM120" s="438">
        <v>1.298</v>
      </c>
      <c r="EN120" s="438">
        <v>3.9830000000000001</v>
      </c>
      <c r="EO120" s="438">
        <v>0</v>
      </c>
      <c r="EP120" s="438">
        <v>0</v>
      </c>
      <c r="EQ120" s="438">
        <v>26.568000000000001</v>
      </c>
      <c r="ER120" s="438">
        <v>0</v>
      </c>
      <c r="ES120" s="438">
        <v>87.67</v>
      </c>
      <c r="ET120" s="438">
        <v>0</v>
      </c>
      <c r="EU120" s="438">
        <v>314578</v>
      </c>
      <c r="EV120" s="438">
        <v>0</v>
      </c>
      <c r="EW120" s="438">
        <v>0</v>
      </c>
      <c r="EX120" s="438">
        <v>0</v>
      </c>
      <c r="EZ120" s="438">
        <v>11445899</v>
      </c>
      <c r="FA120" s="438">
        <v>0</v>
      </c>
      <c r="FB120" s="438">
        <v>11760477</v>
      </c>
      <c r="FC120" s="438">
        <v>0.97334900000000002</v>
      </c>
      <c r="FD120" s="438">
        <v>0</v>
      </c>
      <c r="FE120" s="438">
        <v>1646138</v>
      </c>
      <c r="FF120" s="438">
        <v>375191</v>
      </c>
      <c r="FG120" s="437">
        <v>5.7854999999999997E-2</v>
      </c>
      <c r="FH120" s="437">
        <v>5.2366000000000003E-2</v>
      </c>
      <c r="FI120" s="438">
        <v>0</v>
      </c>
      <c r="FJ120" s="438">
        <v>0</v>
      </c>
      <c r="FK120" s="438">
        <v>2242.498</v>
      </c>
      <c r="FL120" s="438">
        <v>13781806</v>
      </c>
      <c r="FM120" s="438">
        <v>0</v>
      </c>
      <c r="FN120" s="438">
        <v>0</v>
      </c>
      <c r="FO120" s="438">
        <v>0</v>
      </c>
      <c r="FP120" s="438">
        <v>0</v>
      </c>
      <c r="FQ120" s="438">
        <v>0</v>
      </c>
      <c r="FR120" s="438">
        <v>0</v>
      </c>
      <c r="FS120" s="438">
        <v>0</v>
      </c>
      <c r="FT120" s="438">
        <v>0</v>
      </c>
      <c r="FU120" s="438">
        <v>0</v>
      </c>
      <c r="FV120" s="438">
        <v>0</v>
      </c>
      <c r="FW120" s="438">
        <v>0</v>
      </c>
      <c r="FX120" s="438">
        <v>0</v>
      </c>
      <c r="FY120" s="438">
        <v>0</v>
      </c>
      <c r="FZ120" s="438">
        <v>0</v>
      </c>
      <c r="GA120" s="438">
        <v>0</v>
      </c>
      <c r="GB120" s="438">
        <v>0</v>
      </c>
      <c r="GC120" s="438">
        <v>0</v>
      </c>
      <c r="GD120" s="438">
        <v>0</v>
      </c>
      <c r="GF120" s="438">
        <v>0</v>
      </c>
      <c r="GG120" s="438">
        <v>0</v>
      </c>
      <c r="GH120" s="438">
        <v>0</v>
      </c>
      <c r="GI120" s="438">
        <v>0</v>
      </c>
      <c r="GJ120" s="438">
        <v>0</v>
      </c>
      <c r="GK120" s="438">
        <v>4694.4880000000003</v>
      </c>
      <c r="GL120" s="438">
        <v>29867</v>
      </c>
      <c r="GM120" s="438">
        <v>0</v>
      </c>
      <c r="GN120" s="438">
        <v>0</v>
      </c>
      <c r="GO120" s="438">
        <v>0</v>
      </c>
      <c r="GP120" s="438">
        <v>13781806</v>
      </c>
      <c r="GQ120" s="438">
        <v>13781806</v>
      </c>
      <c r="GR120" s="438">
        <v>0</v>
      </c>
      <c r="GS120" s="438">
        <v>0</v>
      </c>
      <c r="GT120" s="438">
        <v>0</v>
      </c>
      <c r="HB120" s="438">
        <v>0</v>
      </c>
      <c r="HC120" s="437">
        <v>6.0754000000000002E-2</v>
      </c>
      <c r="HD120" s="438">
        <v>0</v>
      </c>
    </row>
    <row r="121" spans="1:212" x14ac:dyDescent="0.2">
      <c r="A121" s="438">
        <v>25836</v>
      </c>
      <c r="B121" s="442">
        <v>101855</v>
      </c>
      <c r="C121" s="438">
        <v>9</v>
      </c>
      <c r="D121" s="438">
        <v>2020</v>
      </c>
      <c r="E121" s="438">
        <v>5392</v>
      </c>
      <c r="F121" s="438">
        <v>0</v>
      </c>
      <c r="G121" s="438">
        <v>242.58799999999999</v>
      </c>
      <c r="H121" s="438">
        <v>240.53</v>
      </c>
      <c r="I121" s="438">
        <v>240.53</v>
      </c>
      <c r="J121" s="438">
        <v>242.58799999999999</v>
      </c>
      <c r="K121" s="438">
        <v>0</v>
      </c>
      <c r="L121" s="437">
        <v>6544</v>
      </c>
      <c r="M121" s="438">
        <v>0</v>
      </c>
      <c r="N121" s="438">
        <v>0</v>
      </c>
      <c r="P121" s="438">
        <v>248.20699999999999</v>
      </c>
      <c r="Q121" s="438">
        <v>0</v>
      </c>
      <c r="R121" s="438">
        <v>61453</v>
      </c>
      <c r="S121" s="437">
        <v>247.58699999999999</v>
      </c>
      <c r="U121" s="438">
        <v>0</v>
      </c>
      <c r="V121" s="438">
        <v>1.9530000000000001</v>
      </c>
      <c r="W121" s="438">
        <v>1278</v>
      </c>
      <c r="X121" s="438">
        <v>1278</v>
      </c>
      <c r="Z121" s="438">
        <v>0</v>
      </c>
      <c r="AA121" s="438">
        <v>1</v>
      </c>
      <c r="AB121" s="438">
        <v>1</v>
      </c>
      <c r="AC121" s="438">
        <v>0</v>
      </c>
      <c r="AD121" s="438" t="s">
        <v>332</v>
      </c>
      <c r="AE121" s="438">
        <v>0</v>
      </c>
      <c r="AH121" s="438">
        <v>0</v>
      </c>
      <c r="AI121" s="438">
        <v>0</v>
      </c>
      <c r="AJ121" s="437">
        <v>5105</v>
      </c>
      <c r="AK121" s="438" t="s">
        <v>561</v>
      </c>
      <c r="AL121" s="438" t="s">
        <v>2</v>
      </c>
      <c r="AM121" s="438">
        <v>0</v>
      </c>
      <c r="AN121" s="438">
        <v>0</v>
      </c>
      <c r="AO121" s="438">
        <v>0</v>
      </c>
      <c r="AP121" s="438">
        <v>0</v>
      </c>
      <c r="AQ121" s="438">
        <v>0</v>
      </c>
      <c r="AR121" s="438">
        <v>0</v>
      </c>
      <c r="AS121" s="438">
        <v>0</v>
      </c>
      <c r="AT121" s="438">
        <v>0</v>
      </c>
      <c r="AU121" s="438">
        <v>0</v>
      </c>
      <c r="AV121" s="438">
        <v>0</v>
      </c>
      <c r="AW121" s="438">
        <v>2212524</v>
      </c>
      <c r="AX121" s="438">
        <v>2212524</v>
      </c>
      <c r="AY121" s="438">
        <v>0</v>
      </c>
      <c r="AZ121" s="438">
        <v>61453</v>
      </c>
      <c r="BA121" s="438">
        <v>0</v>
      </c>
      <c r="BB121" s="438">
        <v>0</v>
      </c>
      <c r="BC121" s="438">
        <v>0</v>
      </c>
      <c r="BD121" s="438">
        <v>0</v>
      </c>
      <c r="BE121" s="438">
        <v>0</v>
      </c>
      <c r="BF121" s="438">
        <v>1888747</v>
      </c>
      <c r="BG121" s="438">
        <v>0</v>
      </c>
      <c r="BH121" s="438">
        <v>0</v>
      </c>
      <c r="BI121" s="438">
        <v>0</v>
      </c>
      <c r="BJ121" s="438">
        <v>12</v>
      </c>
      <c r="BK121" s="438">
        <v>0</v>
      </c>
      <c r="BL121" s="438">
        <v>0</v>
      </c>
      <c r="BM121" s="438">
        <v>0</v>
      </c>
      <c r="BN121" s="438">
        <v>0</v>
      </c>
      <c r="BO121" s="438">
        <v>0</v>
      </c>
      <c r="BP121" s="438">
        <v>0</v>
      </c>
      <c r="BQ121" s="437">
        <v>5392</v>
      </c>
      <c r="BR121" s="438">
        <v>1</v>
      </c>
      <c r="BS121" s="438">
        <v>0</v>
      </c>
      <c r="BT121" s="438">
        <v>0</v>
      </c>
      <c r="BU121" s="438">
        <v>0</v>
      </c>
      <c r="BV121" s="438">
        <v>0</v>
      </c>
      <c r="BW121" s="438">
        <v>0</v>
      </c>
      <c r="BX121" s="438">
        <v>0</v>
      </c>
      <c r="BY121" s="438">
        <v>0</v>
      </c>
      <c r="BZ121" s="438">
        <v>0</v>
      </c>
      <c r="CA121" s="438">
        <v>0</v>
      </c>
      <c r="CB121" s="438">
        <v>0</v>
      </c>
      <c r="CC121" s="438">
        <v>0</v>
      </c>
      <c r="CG121" s="438">
        <v>0</v>
      </c>
      <c r="CH121" s="438">
        <v>0</v>
      </c>
      <c r="CI121" s="438">
        <v>0</v>
      </c>
      <c r="CJ121" s="438">
        <v>4</v>
      </c>
      <c r="CK121" s="438">
        <v>0</v>
      </c>
      <c r="CL121" s="438">
        <v>0</v>
      </c>
      <c r="CN121" s="438">
        <v>0</v>
      </c>
      <c r="CO121" s="438">
        <v>1</v>
      </c>
      <c r="CP121" s="438">
        <v>0</v>
      </c>
      <c r="CQ121" s="438">
        <v>0</v>
      </c>
      <c r="CR121" s="438">
        <v>242.58799999999999</v>
      </c>
      <c r="CS121" s="438">
        <v>0</v>
      </c>
      <c r="CT121" s="438">
        <v>0</v>
      </c>
      <c r="CU121" s="438">
        <v>0</v>
      </c>
      <c r="CV121" s="438">
        <v>0</v>
      </c>
      <c r="CW121" s="438">
        <v>0</v>
      </c>
      <c r="CX121" s="438">
        <v>0</v>
      </c>
      <c r="CY121" s="438">
        <v>0</v>
      </c>
      <c r="CZ121" s="438">
        <v>0</v>
      </c>
      <c r="DA121" s="438">
        <v>1</v>
      </c>
      <c r="DB121" s="438">
        <v>1574028</v>
      </c>
      <c r="DC121" s="438">
        <v>0</v>
      </c>
      <c r="DD121" s="438">
        <v>0</v>
      </c>
      <c r="DE121" s="438">
        <v>317384</v>
      </c>
      <c r="DF121" s="438">
        <v>317384</v>
      </c>
      <c r="DG121" s="438">
        <v>242.5</v>
      </c>
      <c r="DH121" s="438">
        <v>0</v>
      </c>
      <c r="DI121" s="438">
        <v>0</v>
      </c>
      <c r="DK121" s="437">
        <v>5392</v>
      </c>
      <c r="DL121" s="438">
        <v>0</v>
      </c>
      <c r="DM121" s="438">
        <v>47771</v>
      </c>
      <c r="DN121" s="438">
        <v>0</v>
      </c>
      <c r="DO121" s="438">
        <v>0</v>
      </c>
      <c r="DP121" s="438">
        <v>0</v>
      </c>
      <c r="DQ121" s="438">
        <v>0</v>
      </c>
      <c r="DR121" s="438">
        <v>0</v>
      </c>
      <c r="DS121" s="438">
        <v>0</v>
      </c>
      <c r="DT121" s="438">
        <v>0</v>
      </c>
      <c r="DU121" s="438">
        <v>0</v>
      </c>
      <c r="DV121" s="438">
        <v>0</v>
      </c>
      <c r="DW121" s="438">
        <v>0</v>
      </c>
      <c r="DX121" s="438">
        <v>0</v>
      </c>
      <c r="DY121" s="438">
        <v>0</v>
      </c>
      <c r="DZ121" s="438">
        <v>0</v>
      </c>
      <c r="EA121" s="438">
        <v>0</v>
      </c>
      <c r="EB121" s="438">
        <v>0</v>
      </c>
      <c r="EC121" s="438">
        <v>0</v>
      </c>
      <c r="ED121" s="438">
        <v>0</v>
      </c>
      <c r="EE121" s="438">
        <v>0</v>
      </c>
      <c r="EF121" s="438">
        <v>0</v>
      </c>
      <c r="EG121" s="438">
        <v>0</v>
      </c>
      <c r="EH121" s="438">
        <v>47771</v>
      </c>
      <c r="EI121" s="438">
        <v>0</v>
      </c>
      <c r="EJ121" s="438">
        <v>0</v>
      </c>
      <c r="EK121" s="438">
        <v>1.4950000000000001</v>
      </c>
      <c r="EL121" s="438">
        <v>0</v>
      </c>
      <c r="EM121" s="438">
        <v>0</v>
      </c>
      <c r="EN121" s="438">
        <v>0.56299999999999994</v>
      </c>
      <c r="EO121" s="438">
        <v>0</v>
      </c>
      <c r="EP121" s="438">
        <v>0</v>
      </c>
      <c r="EQ121" s="438">
        <v>2.0579999999999998</v>
      </c>
      <c r="ER121" s="438">
        <v>0</v>
      </c>
      <c r="ES121" s="438">
        <v>7.3</v>
      </c>
      <c r="ET121" s="438">
        <v>0</v>
      </c>
      <c r="EU121" s="438">
        <v>61453</v>
      </c>
      <c r="EV121" s="438">
        <v>0</v>
      </c>
      <c r="EW121" s="438">
        <v>0</v>
      </c>
      <c r="EX121" s="438">
        <v>0</v>
      </c>
      <c r="EZ121" s="438">
        <v>1879008</v>
      </c>
      <c r="FA121" s="438">
        <v>0</v>
      </c>
      <c r="FB121" s="438">
        <v>1940461</v>
      </c>
      <c r="FC121" s="438">
        <v>0.97334900000000002</v>
      </c>
      <c r="FD121" s="438">
        <v>0</v>
      </c>
      <c r="FE121" s="438">
        <v>271610</v>
      </c>
      <c r="FF121" s="438">
        <v>61906</v>
      </c>
      <c r="FG121" s="437">
        <v>5.7854999999999997E-2</v>
      </c>
      <c r="FH121" s="437">
        <v>5.2366000000000003E-2</v>
      </c>
      <c r="FI121" s="438">
        <v>0</v>
      </c>
      <c r="FJ121" s="438">
        <v>0</v>
      </c>
      <c r="FK121" s="438">
        <v>370.00900000000001</v>
      </c>
      <c r="FL121" s="438">
        <v>2273977</v>
      </c>
      <c r="FM121" s="438">
        <v>0</v>
      </c>
      <c r="FN121" s="438">
        <v>0</v>
      </c>
      <c r="FO121" s="438">
        <v>0</v>
      </c>
      <c r="FP121" s="438">
        <v>0</v>
      </c>
      <c r="FQ121" s="438">
        <v>0</v>
      </c>
      <c r="FR121" s="438">
        <v>0</v>
      </c>
      <c r="FS121" s="438">
        <v>0</v>
      </c>
      <c r="FT121" s="438">
        <v>0</v>
      </c>
      <c r="FU121" s="438">
        <v>0</v>
      </c>
      <c r="FV121" s="438">
        <v>0</v>
      </c>
      <c r="FW121" s="438">
        <v>0</v>
      </c>
      <c r="FX121" s="438">
        <v>0</v>
      </c>
      <c r="FY121" s="438">
        <v>0</v>
      </c>
      <c r="FZ121" s="438">
        <v>0</v>
      </c>
      <c r="GA121" s="438">
        <v>0</v>
      </c>
      <c r="GB121" s="438">
        <v>0</v>
      </c>
      <c r="GC121" s="438">
        <v>0</v>
      </c>
      <c r="GD121" s="438">
        <v>0</v>
      </c>
      <c r="GF121" s="438">
        <v>0</v>
      </c>
      <c r="GG121" s="438">
        <v>0</v>
      </c>
      <c r="GH121" s="438">
        <v>0</v>
      </c>
      <c r="GI121" s="438">
        <v>0</v>
      </c>
      <c r="GJ121" s="438">
        <v>0</v>
      </c>
      <c r="GK121" s="438">
        <v>4734.3190000000004</v>
      </c>
      <c r="GL121" s="438">
        <v>4735</v>
      </c>
      <c r="GM121" s="438">
        <v>0</v>
      </c>
      <c r="GN121" s="438">
        <v>11565</v>
      </c>
      <c r="GO121" s="438">
        <v>0</v>
      </c>
      <c r="GP121" s="438">
        <v>2273977</v>
      </c>
      <c r="GQ121" s="438">
        <v>2273977</v>
      </c>
      <c r="GR121" s="438">
        <v>0</v>
      </c>
      <c r="GS121" s="438">
        <v>0</v>
      </c>
      <c r="GT121" s="438">
        <v>0</v>
      </c>
      <c r="HB121" s="438">
        <v>0</v>
      </c>
      <c r="HC121" s="437">
        <v>6.0754000000000002E-2</v>
      </c>
      <c r="HD121" s="438">
        <v>0</v>
      </c>
    </row>
    <row r="122" spans="1:212" x14ac:dyDescent="0.2">
      <c r="A122" s="438">
        <v>25836</v>
      </c>
      <c r="B122" s="442">
        <v>101856</v>
      </c>
      <c r="C122" s="438">
        <v>9</v>
      </c>
      <c r="D122" s="438">
        <v>2020</v>
      </c>
      <c r="E122" s="438">
        <v>5392</v>
      </c>
      <c r="F122" s="438">
        <v>0</v>
      </c>
      <c r="G122" s="438">
        <v>575.14300000000003</v>
      </c>
      <c r="H122" s="438">
        <v>572.09</v>
      </c>
      <c r="I122" s="438">
        <v>572.09</v>
      </c>
      <c r="J122" s="438">
        <v>575.14300000000003</v>
      </c>
      <c r="K122" s="438">
        <v>0</v>
      </c>
      <c r="L122" s="437">
        <v>6544</v>
      </c>
      <c r="M122" s="438">
        <v>0</v>
      </c>
      <c r="N122" s="438">
        <v>0</v>
      </c>
      <c r="P122" s="438">
        <v>574.428</v>
      </c>
      <c r="Q122" s="438">
        <v>0</v>
      </c>
      <c r="R122" s="438">
        <v>142221</v>
      </c>
      <c r="S122" s="437">
        <v>247.58699999999999</v>
      </c>
      <c r="U122" s="438">
        <v>0</v>
      </c>
      <c r="V122" s="438">
        <v>494.91199999999998</v>
      </c>
      <c r="W122" s="438">
        <v>323870</v>
      </c>
      <c r="X122" s="438">
        <v>323870</v>
      </c>
      <c r="Z122" s="438">
        <v>0</v>
      </c>
      <c r="AA122" s="438">
        <v>1</v>
      </c>
      <c r="AB122" s="438">
        <v>1</v>
      </c>
      <c r="AC122" s="438">
        <v>0</v>
      </c>
      <c r="AD122" s="438" t="s">
        <v>332</v>
      </c>
      <c r="AE122" s="438">
        <v>0</v>
      </c>
      <c r="AH122" s="438">
        <v>0</v>
      </c>
      <c r="AI122" s="438">
        <v>0</v>
      </c>
      <c r="AJ122" s="437">
        <v>5105</v>
      </c>
      <c r="AK122" s="438" t="s">
        <v>561</v>
      </c>
      <c r="AL122" s="438" t="s">
        <v>34</v>
      </c>
      <c r="AM122" s="438">
        <v>0</v>
      </c>
      <c r="AN122" s="438">
        <v>0</v>
      </c>
      <c r="AO122" s="438">
        <v>0</v>
      </c>
      <c r="AP122" s="438">
        <v>0</v>
      </c>
      <c r="AQ122" s="438">
        <v>0</v>
      </c>
      <c r="AR122" s="438">
        <v>0</v>
      </c>
      <c r="AS122" s="438">
        <v>0</v>
      </c>
      <c r="AT122" s="438">
        <v>0</v>
      </c>
      <c r="AU122" s="438">
        <v>0</v>
      </c>
      <c r="AV122" s="438">
        <v>0</v>
      </c>
      <c r="AW122" s="438">
        <v>5633525</v>
      </c>
      <c r="AX122" s="438">
        <v>5633525</v>
      </c>
      <c r="AY122" s="438">
        <v>0</v>
      </c>
      <c r="AZ122" s="438">
        <v>142221</v>
      </c>
      <c r="BA122" s="438">
        <v>0</v>
      </c>
      <c r="BB122" s="438">
        <v>785</v>
      </c>
      <c r="BC122" s="438">
        <v>785</v>
      </c>
      <c r="BD122" s="438">
        <v>1</v>
      </c>
      <c r="BE122" s="438">
        <v>0</v>
      </c>
      <c r="BF122" s="438">
        <v>4797287</v>
      </c>
      <c r="BG122" s="438">
        <v>0</v>
      </c>
      <c r="BH122" s="438">
        <v>0</v>
      </c>
      <c r="BI122" s="438">
        <v>0</v>
      </c>
      <c r="BJ122" s="438">
        <v>12</v>
      </c>
      <c r="BK122" s="438">
        <v>0</v>
      </c>
      <c r="BL122" s="438">
        <v>0</v>
      </c>
      <c r="BM122" s="438">
        <v>0</v>
      </c>
      <c r="BN122" s="438">
        <v>0</v>
      </c>
      <c r="BO122" s="438">
        <v>0</v>
      </c>
      <c r="BP122" s="438">
        <v>0</v>
      </c>
      <c r="BQ122" s="437">
        <v>5392</v>
      </c>
      <c r="BR122" s="438">
        <v>1</v>
      </c>
      <c r="BS122" s="438">
        <v>0</v>
      </c>
      <c r="BT122" s="438">
        <v>0</v>
      </c>
      <c r="BU122" s="438">
        <v>0</v>
      </c>
      <c r="BV122" s="438">
        <v>0</v>
      </c>
      <c r="BW122" s="438">
        <v>0</v>
      </c>
      <c r="BX122" s="438">
        <v>0</v>
      </c>
      <c r="BY122" s="438">
        <v>0</v>
      </c>
      <c r="BZ122" s="438">
        <v>0</v>
      </c>
      <c r="CA122" s="438">
        <v>0</v>
      </c>
      <c r="CB122" s="438">
        <v>0</v>
      </c>
      <c r="CC122" s="438">
        <v>0</v>
      </c>
      <c r="CG122" s="438">
        <v>0</v>
      </c>
      <c r="CH122" s="438">
        <v>0</v>
      </c>
      <c r="CI122" s="438">
        <v>0</v>
      </c>
      <c r="CJ122" s="438">
        <v>4</v>
      </c>
      <c r="CK122" s="438">
        <v>0</v>
      </c>
      <c r="CL122" s="438">
        <v>0</v>
      </c>
      <c r="CN122" s="438">
        <v>0</v>
      </c>
      <c r="CO122" s="438">
        <v>1</v>
      </c>
      <c r="CP122" s="438">
        <v>0</v>
      </c>
      <c r="CQ122" s="438">
        <v>0</v>
      </c>
      <c r="CR122" s="438">
        <v>575.14300000000003</v>
      </c>
      <c r="CS122" s="438">
        <v>0</v>
      </c>
      <c r="CT122" s="438">
        <v>0</v>
      </c>
      <c r="CU122" s="438">
        <v>0</v>
      </c>
      <c r="CV122" s="438">
        <v>0</v>
      </c>
      <c r="CW122" s="438">
        <v>0</v>
      </c>
      <c r="CX122" s="438">
        <v>0</v>
      </c>
      <c r="CY122" s="438">
        <v>0</v>
      </c>
      <c r="CZ122" s="438">
        <v>0</v>
      </c>
      <c r="DA122" s="438">
        <v>1</v>
      </c>
      <c r="DB122" s="438">
        <v>3743757</v>
      </c>
      <c r="DC122" s="438">
        <v>0</v>
      </c>
      <c r="DD122" s="438">
        <v>0</v>
      </c>
      <c r="DE122" s="438">
        <v>793565</v>
      </c>
      <c r="DF122" s="438">
        <v>793565</v>
      </c>
      <c r="DG122" s="438">
        <v>606.33000000000004</v>
      </c>
      <c r="DH122" s="438">
        <v>0</v>
      </c>
      <c r="DI122" s="438">
        <v>0</v>
      </c>
      <c r="DK122" s="437">
        <v>5392</v>
      </c>
      <c r="DL122" s="438">
        <v>0</v>
      </c>
      <c r="DM122" s="438">
        <v>66661</v>
      </c>
      <c r="DN122" s="438">
        <v>0</v>
      </c>
      <c r="DO122" s="438">
        <v>0</v>
      </c>
      <c r="DP122" s="438">
        <v>0</v>
      </c>
      <c r="DQ122" s="438">
        <v>0</v>
      </c>
      <c r="DR122" s="438">
        <v>0</v>
      </c>
      <c r="DS122" s="438">
        <v>0</v>
      </c>
      <c r="DT122" s="438">
        <v>0</v>
      </c>
      <c r="DU122" s="438">
        <v>0</v>
      </c>
      <c r="DV122" s="438">
        <v>0</v>
      </c>
      <c r="DW122" s="438">
        <v>0</v>
      </c>
      <c r="DX122" s="438">
        <v>0</v>
      </c>
      <c r="DY122" s="438">
        <v>0</v>
      </c>
      <c r="DZ122" s="438">
        <v>0</v>
      </c>
      <c r="EA122" s="438">
        <v>0</v>
      </c>
      <c r="EB122" s="438">
        <v>0</v>
      </c>
      <c r="EC122" s="438">
        <v>6.7000000000000004E-2</v>
      </c>
      <c r="ED122" s="438">
        <v>482</v>
      </c>
      <c r="EE122" s="438">
        <v>0</v>
      </c>
      <c r="EF122" s="438">
        <v>0</v>
      </c>
      <c r="EG122" s="438">
        <v>0</v>
      </c>
      <c r="EH122" s="438">
        <v>66179</v>
      </c>
      <c r="EI122" s="438">
        <v>0</v>
      </c>
      <c r="EJ122" s="438">
        <v>0</v>
      </c>
      <c r="EK122" s="438">
        <v>2.5760000000000001</v>
      </c>
      <c r="EL122" s="438">
        <v>0</v>
      </c>
      <c r="EM122" s="438">
        <v>0</v>
      </c>
      <c r="EN122" s="438">
        <v>0.47699999999999998</v>
      </c>
      <c r="EO122" s="438">
        <v>0</v>
      </c>
      <c r="EP122" s="438">
        <v>0</v>
      </c>
      <c r="EQ122" s="438">
        <v>3.0529999999999999</v>
      </c>
      <c r="ER122" s="438">
        <v>0</v>
      </c>
      <c r="ES122" s="438">
        <v>10.113</v>
      </c>
      <c r="ET122" s="438">
        <v>0</v>
      </c>
      <c r="EU122" s="438">
        <v>142221</v>
      </c>
      <c r="EV122" s="438">
        <v>0</v>
      </c>
      <c r="EW122" s="438">
        <v>0</v>
      </c>
      <c r="EX122" s="438">
        <v>0</v>
      </c>
      <c r="EZ122" s="438">
        <v>4786417</v>
      </c>
      <c r="FA122" s="438">
        <v>0</v>
      </c>
      <c r="FB122" s="438">
        <v>4928638</v>
      </c>
      <c r="FC122" s="438">
        <v>0.97334900000000002</v>
      </c>
      <c r="FD122" s="438">
        <v>0</v>
      </c>
      <c r="FE122" s="438">
        <v>689871</v>
      </c>
      <c r="FF122" s="438">
        <v>157237</v>
      </c>
      <c r="FG122" s="437">
        <v>5.7854999999999997E-2</v>
      </c>
      <c r="FH122" s="437">
        <v>5.2366000000000003E-2</v>
      </c>
      <c r="FI122" s="438">
        <v>0</v>
      </c>
      <c r="FJ122" s="438">
        <v>0</v>
      </c>
      <c r="FK122" s="438">
        <v>939.79700000000003</v>
      </c>
      <c r="FL122" s="438">
        <v>5775746</v>
      </c>
      <c r="FM122" s="438">
        <v>0</v>
      </c>
      <c r="FN122" s="438">
        <v>0</v>
      </c>
      <c r="FO122" s="438">
        <v>0</v>
      </c>
      <c r="FP122" s="438">
        <v>0</v>
      </c>
      <c r="FQ122" s="438">
        <v>0</v>
      </c>
      <c r="FR122" s="438">
        <v>0</v>
      </c>
      <c r="FS122" s="438">
        <v>0</v>
      </c>
      <c r="FT122" s="438">
        <v>0</v>
      </c>
      <c r="FU122" s="438">
        <v>0</v>
      </c>
      <c r="FV122" s="438">
        <v>0</v>
      </c>
      <c r="FW122" s="438">
        <v>0</v>
      </c>
      <c r="FX122" s="438">
        <v>0</v>
      </c>
      <c r="FY122" s="438">
        <v>0</v>
      </c>
      <c r="FZ122" s="438">
        <v>0</v>
      </c>
      <c r="GA122" s="438">
        <v>0</v>
      </c>
      <c r="GB122" s="438">
        <v>0</v>
      </c>
      <c r="GC122" s="438">
        <v>0</v>
      </c>
      <c r="GD122" s="438">
        <v>0</v>
      </c>
      <c r="GF122" s="438">
        <v>0</v>
      </c>
      <c r="GG122" s="438">
        <v>0</v>
      </c>
      <c r="GH122" s="438">
        <v>0</v>
      </c>
      <c r="GI122" s="438">
        <v>0</v>
      </c>
      <c r="GJ122" s="438">
        <v>0</v>
      </c>
      <c r="GK122" s="438">
        <v>4671.3310000000001</v>
      </c>
      <c r="GL122" s="438">
        <v>8611</v>
      </c>
      <c r="GM122" s="438">
        <v>0</v>
      </c>
      <c r="GN122" s="438">
        <v>0</v>
      </c>
      <c r="GO122" s="438">
        <v>0</v>
      </c>
      <c r="GP122" s="438">
        <v>5775746</v>
      </c>
      <c r="GQ122" s="438">
        <v>5775746</v>
      </c>
      <c r="GR122" s="438">
        <v>0</v>
      </c>
      <c r="GS122" s="438">
        <v>0</v>
      </c>
      <c r="GT122" s="438">
        <v>0</v>
      </c>
      <c r="HB122" s="438">
        <v>0</v>
      </c>
      <c r="HC122" s="437">
        <v>0</v>
      </c>
      <c r="HD122" s="438">
        <v>0</v>
      </c>
    </row>
    <row r="123" spans="1:212" x14ac:dyDescent="0.2">
      <c r="A123" s="438">
        <v>25836</v>
      </c>
      <c r="B123" s="442">
        <v>101858</v>
      </c>
      <c r="C123" s="438">
        <v>9</v>
      </c>
      <c r="D123" s="438">
        <v>2020</v>
      </c>
      <c r="E123" s="438">
        <v>5392</v>
      </c>
      <c r="F123" s="438">
        <v>0</v>
      </c>
      <c r="G123" s="438">
        <v>4773.4750000000004</v>
      </c>
      <c r="H123" s="438">
        <v>4577.2579999999998</v>
      </c>
      <c r="I123" s="438">
        <v>4577.2579999999998</v>
      </c>
      <c r="J123" s="438">
        <v>4773.4750000000004</v>
      </c>
      <c r="K123" s="438">
        <v>0</v>
      </c>
      <c r="L123" s="437">
        <v>6544</v>
      </c>
      <c r="M123" s="438">
        <v>0</v>
      </c>
      <c r="N123" s="438">
        <v>0</v>
      </c>
      <c r="P123" s="438">
        <v>4791.7179999999998</v>
      </c>
      <c r="Q123" s="438">
        <v>0</v>
      </c>
      <c r="R123" s="438">
        <v>1186367</v>
      </c>
      <c r="S123" s="437">
        <v>247.58699999999999</v>
      </c>
      <c r="U123" s="438">
        <v>0</v>
      </c>
      <c r="V123" s="438">
        <v>1163.586</v>
      </c>
      <c r="W123" s="438">
        <v>761451</v>
      </c>
      <c r="X123" s="438">
        <v>761451</v>
      </c>
      <c r="Z123" s="438">
        <v>0</v>
      </c>
      <c r="AA123" s="438">
        <v>1</v>
      </c>
      <c r="AB123" s="438">
        <v>1</v>
      </c>
      <c r="AC123" s="438">
        <v>0</v>
      </c>
      <c r="AD123" s="438" t="s">
        <v>332</v>
      </c>
      <c r="AE123" s="438">
        <v>0</v>
      </c>
      <c r="AH123" s="438">
        <v>0</v>
      </c>
      <c r="AI123" s="438">
        <v>0</v>
      </c>
      <c r="AJ123" s="437">
        <v>5105</v>
      </c>
      <c r="AK123" s="438" t="s">
        <v>561</v>
      </c>
      <c r="AL123" s="438" t="s">
        <v>64</v>
      </c>
      <c r="AM123" s="438">
        <v>0</v>
      </c>
      <c r="AN123" s="438">
        <v>0</v>
      </c>
      <c r="AO123" s="438">
        <v>0</v>
      </c>
      <c r="AP123" s="438">
        <v>0</v>
      </c>
      <c r="AQ123" s="438">
        <v>0</v>
      </c>
      <c r="AR123" s="438">
        <v>0</v>
      </c>
      <c r="AS123" s="438">
        <v>0</v>
      </c>
      <c r="AT123" s="438">
        <v>0</v>
      </c>
      <c r="AU123" s="438">
        <v>0</v>
      </c>
      <c r="AV123" s="438">
        <v>0</v>
      </c>
      <c r="AW123" s="438">
        <v>44387763</v>
      </c>
      <c r="AX123" s="438">
        <v>44093754</v>
      </c>
      <c r="AY123" s="438">
        <v>0</v>
      </c>
      <c r="AZ123" s="438">
        <v>1435126</v>
      </c>
      <c r="BA123" s="438">
        <v>90.5</v>
      </c>
      <c r="BB123" s="438">
        <v>187426</v>
      </c>
      <c r="BC123" s="438">
        <v>187426</v>
      </c>
      <c r="BD123" s="438">
        <v>238.67400000000001</v>
      </c>
      <c r="BE123" s="438">
        <v>0</v>
      </c>
      <c r="BF123" s="438">
        <v>37609292</v>
      </c>
      <c r="BG123" s="438">
        <v>0</v>
      </c>
      <c r="BH123" s="438">
        <v>904.57799999999997</v>
      </c>
      <c r="BI123" s="438">
        <v>248759</v>
      </c>
      <c r="BJ123" s="438">
        <v>12</v>
      </c>
      <c r="BK123" s="438">
        <v>0</v>
      </c>
      <c r="BL123" s="438">
        <v>0</v>
      </c>
      <c r="BM123" s="438">
        <v>0</v>
      </c>
      <c r="BN123" s="438">
        <v>0</v>
      </c>
      <c r="BO123" s="438">
        <v>0</v>
      </c>
      <c r="BP123" s="438">
        <v>0</v>
      </c>
      <c r="BQ123" s="437">
        <v>5392</v>
      </c>
      <c r="BR123" s="438">
        <v>1</v>
      </c>
      <c r="BS123" s="438">
        <v>0</v>
      </c>
      <c r="BT123" s="438">
        <v>0</v>
      </c>
      <c r="BU123" s="438">
        <v>0</v>
      </c>
      <c r="BV123" s="438">
        <v>0</v>
      </c>
      <c r="BW123" s="438">
        <v>0</v>
      </c>
      <c r="BX123" s="438">
        <v>0</v>
      </c>
      <c r="BY123" s="438">
        <v>0</v>
      </c>
      <c r="BZ123" s="438">
        <v>0</v>
      </c>
      <c r="CA123" s="438">
        <v>0</v>
      </c>
      <c r="CB123" s="438">
        <v>0</v>
      </c>
      <c r="CC123" s="438">
        <v>0</v>
      </c>
      <c r="CG123" s="438">
        <v>0</v>
      </c>
      <c r="CH123" s="438">
        <v>45250</v>
      </c>
      <c r="CI123" s="438">
        <v>0</v>
      </c>
      <c r="CJ123" s="438">
        <v>4</v>
      </c>
      <c r="CK123" s="438">
        <v>0</v>
      </c>
      <c r="CL123" s="438">
        <v>0</v>
      </c>
      <c r="CN123" s="438">
        <v>0</v>
      </c>
      <c r="CO123" s="438">
        <v>1</v>
      </c>
      <c r="CP123" s="438">
        <v>0</v>
      </c>
      <c r="CQ123" s="438">
        <v>0</v>
      </c>
      <c r="CR123" s="438">
        <v>4773.4750000000004</v>
      </c>
      <c r="CS123" s="438">
        <v>0</v>
      </c>
      <c r="CT123" s="438">
        <v>0</v>
      </c>
      <c r="CU123" s="438">
        <v>0</v>
      </c>
      <c r="CV123" s="438">
        <v>0</v>
      </c>
      <c r="CW123" s="438">
        <v>0</v>
      </c>
      <c r="CX123" s="438">
        <v>0</v>
      </c>
      <c r="CY123" s="438">
        <v>0</v>
      </c>
      <c r="CZ123" s="438">
        <v>0</v>
      </c>
      <c r="DA123" s="438">
        <v>1</v>
      </c>
      <c r="DB123" s="438">
        <v>29953576</v>
      </c>
      <c r="DC123" s="438">
        <v>0</v>
      </c>
      <c r="DD123" s="438">
        <v>90.5</v>
      </c>
      <c r="DE123" s="438">
        <v>4389283</v>
      </c>
      <c r="DF123" s="438">
        <v>4389283</v>
      </c>
      <c r="DG123" s="438">
        <v>3353.67</v>
      </c>
      <c r="DH123" s="438">
        <v>0</v>
      </c>
      <c r="DI123" s="438">
        <v>0</v>
      </c>
      <c r="DK123" s="437">
        <v>5392</v>
      </c>
      <c r="DL123" s="438">
        <v>0</v>
      </c>
      <c r="DM123" s="438">
        <v>2322415</v>
      </c>
      <c r="DN123" s="438">
        <v>0</v>
      </c>
      <c r="DO123" s="438">
        <v>0</v>
      </c>
      <c r="DP123" s="438">
        <v>0</v>
      </c>
      <c r="DQ123" s="438">
        <v>0</v>
      </c>
      <c r="DR123" s="438">
        <v>0</v>
      </c>
      <c r="DS123" s="438">
        <v>0</v>
      </c>
      <c r="DT123" s="438">
        <v>0</v>
      </c>
      <c r="DU123" s="438">
        <v>0</v>
      </c>
      <c r="DV123" s="438">
        <v>0</v>
      </c>
      <c r="DW123" s="438">
        <v>0</v>
      </c>
      <c r="DX123" s="438">
        <v>0</v>
      </c>
      <c r="DY123" s="438">
        <v>0</v>
      </c>
      <c r="DZ123" s="438">
        <v>0</v>
      </c>
      <c r="EA123" s="438">
        <v>7.4999999999999997E-2</v>
      </c>
      <c r="EB123" s="438">
        <v>0</v>
      </c>
      <c r="EC123" s="438">
        <v>92.311999999999998</v>
      </c>
      <c r="ED123" s="438">
        <v>664499</v>
      </c>
      <c r="EE123" s="438">
        <v>0</v>
      </c>
      <c r="EF123" s="438">
        <v>0</v>
      </c>
      <c r="EG123" s="438">
        <v>0</v>
      </c>
      <c r="EH123" s="438">
        <v>1657916</v>
      </c>
      <c r="EI123" s="438">
        <v>0</v>
      </c>
      <c r="EJ123" s="438">
        <v>0</v>
      </c>
      <c r="EK123" s="438">
        <v>54.927</v>
      </c>
      <c r="EL123" s="438">
        <v>0</v>
      </c>
      <c r="EM123" s="438">
        <v>18.911000000000001</v>
      </c>
      <c r="EN123" s="438">
        <v>6.2919999999999998</v>
      </c>
      <c r="EO123" s="438">
        <v>0</v>
      </c>
      <c r="EP123" s="438">
        <v>0</v>
      </c>
      <c r="EQ123" s="438">
        <v>80.204999999999998</v>
      </c>
      <c r="ER123" s="438">
        <v>0</v>
      </c>
      <c r="ES123" s="438">
        <v>253.34899999999999</v>
      </c>
      <c r="ET123" s="438">
        <v>45250</v>
      </c>
      <c r="EU123" s="438">
        <v>1435126</v>
      </c>
      <c r="EV123" s="438">
        <v>0</v>
      </c>
      <c r="EW123" s="438">
        <v>0</v>
      </c>
      <c r="EX123" s="438">
        <v>0</v>
      </c>
      <c r="EZ123" s="438">
        <v>37452680</v>
      </c>
      <c r="FA123" s="438">
        <v>0</v>
      </c>
      <c r="FB123" s="438">
        <v>38887806</v>
      </c>
      <c r="FC123" s="438">
        <v>0.97334900000000002</v>
      </c>
      <c r="FD123" s="438">
        <v>0</v>
      </c>
      <c r="FE123" s="438">
        <v>5408384</v>
      </c>
      <c r="FF123" s="438">
        <v>1232690</v>
      </c>
      <c r="FG123" s="437">
        <v>5.7854999999999997E-2</v>
      </c>
      <c r="FH123" s="437">
        <v>5.2366000000000003E-2</v>
      </c>
      <c r="FI123" s="438">
        <v>0</v>
      </c>
      <c r="FJ123" s="438">
        <v>0</v>
      </c>
      <c r="FK123" s="438">
        <v>7367.7259999999997</v>
      </c>
      <c r="FL123" s="438">
        <v>45574130</v>
      </c>
      <c r="FM123" s="438">
        <v>0</v>
      </c>
      <c r="FN123" s="438">
        <v>0</v>
      </c>
      <c r="FO123" s="438">
        <v>0</v>
      </c>
      <c r="FP123" s="438">
        <v>0</v>
      </c>
      <c r="FQ123" s="438">
        <v>0</v>
      </c>
      <c r="FR123" s="438">
        <v>0</v>
      </c>
      <c r="FS123" s="438">
        <v>0</v>
      </c>
      <c r="FT123" s="438">
        <v>0</v>
      </c>
      <c r="FU123" s="438">
        <v>0</v>
      </c>
      <c r="FV123" s="438">
        <v>0</v>
      </c>
      <c r="FW123" s="438">
        <v>0</v>
      </c>
      <c r="FX123" s="438">
        <v>0</v>
      </c>
      <c r="FY123" s="438">
        <v>0</v>
      </c>
      <c r="FZ123" s="438">
        <v>0</v>
      </c>
      <c r="GA123" s="438">
        <v>0</v>
      </c>
      <c r="GB123" s="438">
        <v>1024896</v>
      </c>
      <c r="GC123" s="438">
        <v>1024896</v>
      </c>
      <c r="GD123" s="438">
        <v>116.012</v>
      </c>
      <c r="GF123" s="438">
        <v>0</v>
      </c>
      <c r="GG123" s="438">
        <v>0</v>
      </c>
      <c r="GH123" s="438">
        <v>0</v>
      </c>
      <c r="GI123" s="438">
        <v>0</v>
      </c>
      <c r="GJ123" s="438">
        <v>0</v>
      </c>
      <c r="GK123" s="438">
        <v>4743.5820000000003</v>
      </c>
      <c r="GL123" s="438">
        <v>16750</v>
      </c>
      <c r="GM123" s="438">
        <v>0</v>
      </c>
      <c r="GN123" s="438">
        <v>0</v>
      </c>
      <c r="GO123" s="438">
        <v>0</v>
      </c>
      <c r="GP123" s="438">
        <v>45528880</v>
      </c>
      <c r="GQ123" s="438">
        <v>45528880</v>
      </c>
      <c r="GR123" s="438">
        <v>0</v>
      </c>
      <c r="GS123" s="438">
        <v>0</v>
      </c>
      <c r="GT123" s="438">
        <v>0</v>
      </c>
      <c r="HB123" s="438">
        <v>0</v>
      </c>
      <c r="HC123" s="437">
        <v>6.0754000000000002E-2</v>
      </c>
      <c r="HD123" s="438">
        <v>0</v>
      </c>
    </row>
    <row r="124" spans="1:212" x14ac:dyDescent="0.2">
      <c r="A124" s="438">
        <v>25836</v>
      </c>
      <c r="B124" s="442">
        <v>101859</v>
      </c>
      <c r="C124" s="438">
        <v>9</v>
      </c>
      <c r="D124" s="438">
        <v>2020</v>
      </c>
      <c r="E124" s="438">
        <v>5392</v>
      </c>
      <c r="F124" s="438">
        <v>0</v>
      </c>
      <c r="G124" s="438">
        <v>495.19299999999998</v>
      </c>
      <c r="H124" s="438">
        <v>493.90699999999998</v>
      </c>
      <c r="I124" s="438">
        <v>493.90699999999998</v>
      </c>
      <c r="J124" s="438">
        <v>495.19299999999998</v>
      </c>
      <c r="K124" s="438">
        <v>0</v>
      </c>
      <c r="L124" s="437">
        <v>6544</v>
      </c>
      <c r="M124" s="438">
        <v>0</v>
      </c>
      <c r="N124" s="438">
        <v>0</v>
      </c>
      <c r="P124" s="438">
        <v>494.78</v>
      </c>
      <c r="Q124" s="438">
        <v>0</v>
      </c>
      <c r="R124" s="438">
        <v>122501</v>
      </c>
      <c r="S124" s="437">
        <v>247.58699999999999</v>
      </c>
      <c r="U124" s="438">
        <v>0</v>
      </c>
      <c r="V124" s="438">
        <v>258.517</v>
      </c>
      <c r="W124" s="438">
        <v>169174</v>
      </c>
      <c r="X124" s="438">
        <v>169174</v>
      </c>
      <c r="Z124" s="438">
        <v>0</v>
      </c>
      <c r="AA124" s="438">
        <v>1</v>
      </c>
      <c r="AB124" s="438">
        <v>1</v>
      </c>
      <c r="AC124" s="438">
        <v>0</v>
      </c>
      <c r="AD124" s="438" t="s">
        <v>332</v>
      </c>
      <c r="AE124" s="438">
        <v>0</v>
      </c>
      <c r="AH124" s="438">
        <v>0</v>
      </c>
      <c r="AI124" s="438">
        <v>0</v>
      </c>
      <c r="AJ124" s="437">
        <v>5105</v>
      </c>
      <c r="AK124" s="438" t="s">
        <v>561</v>
      </c>
      <c r="AL124" s="438" t="s">
        <v>366</v>
      </c>
      <c r="AM124" s="438">
        <v>0</v>
      </c>
      <c r="AN124" s="438">
        <v>0</v>
      </c>
      <c r="AO124" s="438">
        <v>0</v>
      </c>
      <c r="AP124" s="438">
        <v>0</v>
      </c>
      <c r="AQ124" s="438">
        <v>0</v>
      </c>
      <c r="AR124" s="438">
        <v>0</v>
      </c>
      <c r="AS124" s="438">
        <v>0</v>
      </c>
      <c r="AT124" s="438">
        <v>0</v>
      </c>
      <c r="AU124" s="438">
        <v>0</v>
      </c>
      <c r="AV124" s="438">
        <v>0</v>
      </c>
      <c r="AW124" s="438">
        <v>4797870</v>
      </c>
      <c r="AX124" s="438">
        <v>4797870</v>
      </c>
      <c r="AY124" s="438">
        <v>0</v>
      </c>
      <c r="AZ124" s="438">
        <v>122501</v>
      </c>
      <c r="BA124" s="438">
        <v>0</v>
      </c>
      <c r="BB124" s="438">
        <v>0</v>
      </c>
      <c r="BC124" s="438">
        <v>0</v>
      </c>
      <c r="BD124" s="438">
        <v>0</v>
      </c>
      <c r="BE124" s="438">
        <v>0</v>
      </c>
      <c r="BF124" s="438">
        <v>4086820</v>
      </c>
      <c r="BG124" s="438">
        <v>0</v>
      </c>
      <c r="BH124" s="438">
        <v>0</v>
      </c>
      <c r="BI124" s="438">
        <v>0</v>
      </c>
      <c r="BJ124" s="438">
        <v>12</v>
      </c>
      <c r="BK124" s="438">
        <v>0</v>
      </c>
      <c r="BL124" s="438">
        <v>0</v>
      </c>
      <c r="BM124" s="438">
        <v>0</v>
      </c>
      <c r="BN124" s="438">
        <v>0</v>
      </c>
      <c r="BO124" s="438">
        <v>0</v>
      </c>
      <c r="BP124" s="438">
        <v>0</v>
      </c>
      <c r="BQ124" s="437">
        <v>5392</v>
      </c>
      <c r="BR124" s="438">
        <v>1</v>
      </c>
      <c r="BS124" s="438">
        <v>0</v>
      </c>
      <c r="BT124" s="438">
        <v>0</v>
      </c>
      <c r="BU124" s="438">
        <v>0</v>
      </c>
      <c r="BV124" s="438">
        <v>0</v>
      </c>
      <c r="BW124" s="438">
        <v>0</v>
      </c>
      <c r="BX124" s="438">
        <v>0</v>
      </c>
      <c r="BY124" s="438">
        <v>0</v>
      </c>
      <c r="BZ124" s="438">
        <v>0</v>
      </c>
      <c r="CA124" s="438">
        <v>0</v>
      </c>
      <c r="CB124" s="438">
        <v>0</v>
      </c>
      <c r="CC124" s="438">
        <v>0</v>
      </c>
      <c r="CG124" s="438">
        <v>0</v>
      </c>
      <c r="CH124" s="438">
        <v>0</v>
      </c>
      <c r="CI124" s="438">
        <v>0</v>
      </c>
      <c r="CJ124" s="438">
        <v>4</v>
      </c>
      <c r="CK124" s="438">
        <v>0</v>
      </c>
      <c r="CL124" s="438">
        <v>0</v>
      </c>
      <c r="CN124" s="438">
        <v>0</v>
      </c>
      <c r="CO124" s="438">
        <v>1</v>
      </c>
      <c r="CP124" s="438">
        <v>0</v>
      </c>
      <c r="CQ124" s="438">
        <v>0</v>
      </c>
      <c r="CR124" s="438">
        <v>495.19299999999998</v>
      </c>
      <c r="CS124" s="438">
        <v>0</v>
      </c>
      <c r="CT124" s="438">
        <v>0</v>
      </c>
      <c r="CU124" s="438">
        <v>0</v>
      </c>
      <c r="CV124" s="438">
        <v>0</v>
      </c>
      <c r="CW124" s="438">
        <v>0</v>
      </c>
      <c r="CX124" s="438">
        <v>0</v>
      </c>
      <c r="CY124" s="438">
        <v>0</v>
      </c>
      <c r="CZ124" s="438">
        <v>0</v>
      </c>
      <c r="DA124" s="438">
        <v>1</v>
      </c>
      <c r="DB124" s="438">
        <v>3232127</v>
      </c>
      <c r="DC124" s="438">
        <v>0</v>
      </c>
      <c r="DD124" s="438">
        <v>0</v>
      </c>
      <c r="DE124" s="438">
        <v>636954</v>
      </c>
      <c r="DF124" s="438">
        <v>636954</v>
      </c>
      <c r="DG124" s="438">
        <v>486.67</v>
      </c>
      <c r="DH124" s="438">
        <v>0</v>
      </c>
      <c r="DI124" s="438">
        <v>0</v>
      </c>
      <c r="DK124" s="437">
        <v>5392</v>
      </c>
      <c r="DL124" s="438">
        <v>0</v>
      </c>
      <c r="DM124" s="438">
        <v>160463</v>
      </c>
      <c r="DN124" s="438">
        <v>0</v>
      </c>
      <c r="DO124" s="438">
        <v>0</v>
      </c>
      <c r="DP124" s="438">
        <v>0</v>
      </c>
      <c r="DQ124" s="438">
        <v>0</v>
      </c>
      <c r="DR124" s="438">
        <v>0</v>
      </c>
      <c r="DS124" s="438">
        <v>0</v>
      </c>
      <c r="DT124" s="438">
        <v>0</v>
      </c>
      <c r="DU124" s="438">
        <v>0</v>
      </c>
      <c r="DV124" s="438">
        <v>0</v>
      </c>
      <c r="DW124" s="438">
        <v>0</v>
      </c>
      <c r="DX124" s="438">
        <v>0</v>
      </c>
      <c r="DY124" s="438">
        <v>0</v>
      </c>
      <c r="DZ124" s="438">
        <v>0</v>
      </c>
      <c r="EA124" s="438">
        <v>0</v>
      </c>
      <c r="EB124" s="438">
        <v>0</v>
      </c>
      <c r="EC124" s="438">
        <v>17.677</v>
      </c>
      <c r="ED124" s="438">
        <v>127246</v>
      </c>
      <c r="EE124" s="438">
        <v>0</v>
      </c>
      <c r="EF124" s="438">
        <v>0</v>
      </c>
      <c r="EG124" s="438">
        <v>0</v>
      </c>
      <c r="EH124" s="438">
        <v>33217</v>
      </c>
      <c r="EI124" s="438">
        <v>0</v>
      </c>
      <c r="EJ124" s="438">
        <v>0</v>
      </c>
      <c r="EK124" s="438">
        <v>0.67700000000000005</v>
      </c>
      <c r="EL124" s="438">
        <v>0</v>
      </c>
      <c r="EM124" s="438">
        <v>0</v>
      </c>
      <c r="EN124" s="438">
        <v>0.60899999999999999</v>
      </c>
      <c r="EO124" s="438">
        <v>0</v>
      </c>
      <c r="EP124" s="438">
        <v>0</v>
      </c>
      <c r="EQ124" s="438">
        <v>1.286</v>
      </c>
      <c r="ER124" s="438">
        <v>0</v>
      </c>
      <c r="ES124" s="438">
        <v>5.0759999999999996</v>
      </c>
      <c r="ET124" s="438">
        <v>0</v>
      </c>
      <c r="EU124" s="438">
        <v>122501</v>
      </c>
      <c r="EV124" s="438">
        <v>0</v>
      </c>
      <c r="EW124" s="438">
        <v>0</v>
      </c>
      <c r="EX124" s="438">
        <v>0</v>
      </c>
      <c r="EZ124" s="438">
        <v>4076217</v>
      </c>
      <c r="FA124" s="438">
        <v>0</v>
      </c>
      <c r="FB124" s="438">
        <v>4198718</v>
      </c>
      <c r="FC124" s="438">
        <v>0.97334900000000002</v>
      </c>
      <c r="FD124" s="438">
        <v>0</v>
      </c>
      <c r="FE124" s="438">
        <v>587703</v>
      </c>
      <c r="FF124" s="438">
        <v>133950</v>
      </c>
      <c r="FG124" s="437">
        <v>5.7854999999999997E-2</v>
      </c>
      <c r="FH124" s="437">
        <v>5.2366000000000003E-2</v>
      </c>
      <c r="FI124" s="438">
        <v>0</v>
      </c>
      <c r="FJ124" s="438">
        <v>0</v>
      </c>
      <c r="FK124" s="438">
        <v>800.61500000000001</v>
      </c>
      <c r="FL124" s="438">
        <v>4920371</v>
      </c>
      <c r="FM124" s="438">
        <v>0</v>
      </c>
      <c r="FN124" s="438">
        <v>0</v>
      </c>
      <c r="FO124" s="438">
        <v>0</v>
      </c>
      <c r="FP124" s="438">
        <v>0</v>
      </c>
      <c r="FQ124" s="438">
        <v>0</v>
      </c>
      <c r="FR124" s="438">
        <v>0</v>
      </c>
      <c r="FS124" s="438">
        <v>0</v>
      </c>
      <c r="FT124" s="438">
        <v>0</v>
      </c>
      <c r="FU124" s="438">
        <v>0</v>
      </c>
      <c r="FV124" s="438">
        <v>0</v>
      </c>
      <c r="FW124" s="438">
        <v>0</v>
      </c>
      <c r="FX124" s="438">
        <v>0</v>
      </c>
      <c r="FY124" s="438">
        <v>0</v>
      </c>
      <c r="FZ124" s="438">
        <v>0</v>
      </c>
      <c r="GA124" s="438">
        <v>0</v>
      </c>
      <c r="GB124" s="438">
        <v>0</v>
      </c>
      <c r="GC124" s="438">
        <v>0</v>
      </c>
      <c r="GD124" s="438">
        <v>0</v>
      </c>
      <c r="GF124" s="438">
        <v>0</v>
      </c>
      <c r="GG124" s="438">
        <v>0</v>
      </c>
      <c r="GH124" s="438">
        <v>0</v>
      </c>
      <c r="GI124" s="438">
        <v>0</v>
      </c>
      <c r="GJ124" s="438">
        <v>0</v>
      </c>
      <c r="GK124" s="438">
        <v>4604.6369999999997</v>
      </c>
      <c r="GL124" s="438">
        <v>5939</v>
      </c>
      <c r="GM124" s="438">
        <v>0</v>
      </c>
      <c r="GN124" s="438">
        <v>0</v>
      </c>
      <c r="GO124" s="438">
        <v>0</v>
      </c>
      <c r="GP124" s="438">
        <v>4920371</v>
      </c>
      <c r="GQ124" s="438">
        <v>4920371</v>
      </c>
      <c r="GR124" s="438">
        <v>0</v>
      </c>
      <c r="GS124" s="438">
        <v>0</v>
      </c>
      <c r="GT124" s="438">
        <v>0</v>
      </c>
      <c r="HB124" s="438">
        <v>0</v>
      </c>
      <c r="HC124" s="437">
        <v>6.0754000000000002E-2</v>
      </c>
      <c r="HD124" s="438">
        <v>0</v>
      </c>
    </row>
    <row r="125" spans="1:212" x14ac:dyDescent="0.2">
      <c r="A125" s="438">
        <v>25836</v>
      </c>
      <c r="B125" s="442">
        <v>101861</v>
      </c>
      <c r="C125" s="438">
        <v>9</v>
      </c>
      <c r="D125" s="438">
        <v>2020</v>
      </c>
      <c r="E125" s="438">
        <v>5392</v>
      </c>
      <c r="F125" s="438">
        <v>0</v>
      </c>
      <c r="G125" s="438">
        <v>1056.4580000000001</v>
      </c>
      <c r="H125" s="438">
        <v>1042.135</v>
      </c>
      <c r="I125" s="438">
        <v>1042.135</v>
      </c>
      <c r="J125" s="438">
        <v>1056.4580000000001</v>
      </c>
      <c r="K125" s="438">
        <v>0</v>
      </c>
      <c r="L125" s="437">
        <v>6544</v>
      </c>
      <c r="M125" s="438">
        <v>0</v>
      </c>
      <c r="N125" s="438">
        <v>0</v>
      </c>
      <c r="P125" s="438">
        <v>1062.3520000000001</v>
      </c>
      <c r="Q125" s="438">
        <v>0</v>
      </c>
      <c r="R125" s="438">
        <v>263025</v>
      </c>
      <c r="S125" s="437">
        <v>247.58699999999999</v>
      </c>
      <c r="U125" s="438">
        <v>0</v>
      </c>
      <c r="V125" s="438">
        <v>28.558</v>
      </c>
      <c r="W125" s="438">
        <v>18688</v>
      </c>
      <c r="X125" s="438">
        <v>18688</v>
      </c>
      <c r="Z125" s="438">
        <v>0</v>
      </c>
      <c r="AA125" s="438">
        <v>1</v>
      </c>
      <c r="AB125" s="438">
        <v>1</v>
      </c>
      <c r="AC125" s="438">
        <v>0</v>
      </c>
      <c r="AD125" s="438" t="s">
        <v>332</v>
      </c>
      <c r="AE125" s="438">
        <v>0</v>
      </c>
      <c r="AH125" s="438">
        <v>0</v>
      </c>
      <c r="AI125" s="438">
        <v>0</v>
      </c>
      <c r="AJ125" s="437">
        <v>5105</v>
      </c>
      <c r="AK125" s="438" t="s">
        <v>561</v>
      </c>
      <c r="AL125" s="438" t="s">
        <v>367</v>
      </c>
      <c r="AM125" s="438">
        <v>0</v>
      </c>
      <c r="AN125" s="438">
        <v>0</v>
      </c>
      <c r="AO125" s="438">
        <v>0</v>
      </c>
      <c r="AP125" s="438">
        <v>0</v>
      </c>
      <c r="AQ125" s="438">
        <v>0</v>
      </c>
      <c r="AR125" s="438">
        <v>0</v>
      </c>
      <c r="AS125" s="438">
        <v>0</v>
      </c>
      <c r="AT125" s="438">
        <v>0</v>
      </c>
      <c r="AU125" s="438">
        <v>0</v>
      </c>
      <c r="AV125" s="438">
        <v>0</v>
      </c>
      <c r="AW125" s="438">
        <v>9926334</v>
      </c>
      <c r="AX125" s="438">
        <v>9926334</v>
      </c>
      <c r="AY125" s="438">
        <v>0</v>
      </c>
      <c r="AZ125" s="438">
        <v>263025</v>
      </c>
      <c r="BA125" s="438">
        <v>0</v>
      </c>
      <c r="BB125" s="438">
        <v>25129</v>
      </c>
      <c r="BC125" s="438">
        <v>25129</v>
      </c>
      <c r="BD125" s="438">
        <v>32</v>
      </c>
      <c r="BE125" s="438">
        <v>0</v>
      </c>
      <c r="BF125" s="438">
        <v>8372220</v>
      </c>
      <c r="BG125" s="438">
        <v>0</v>
      </c>
      <c r="BH125" s="438">
        <v>0</v>
      </c>
      <c r="BI125" s="438">
        <v>0</v>
      </c>
      <c r="BJ125" s="438">
        <v>12</v>
      </c>
      <c r="BK125" s="438">
        <v>0</v>
      </c>
      <c r="BL125" s="438">
        <v>0</v>
      </c>
      <c r="BM125" s="438">
        <v>0</v>
      </c>
      <c r="BN125" s="438">
        <v>0</v>
      </c>
      <c r="BO125" s="438">
        <v>0</v>
      </c>
      <c r="BP125" s="438">
        <v>0</v>
      </c>
      <c r="BQ125" s="437">
        <v>5392</v>
      </c>
      <c r="BR125" s="438">
        <v>1</v>
      </c>
      <c r="BS125" s="438">
        <v>0</v>
      </c>
      <c r="BT125" s="438">
        <v>0</v>
      </c>
      <c r="BU125" s="438">
        <v>0</v>
      </c>
      <c r="BV125" s="438">
        <v>0</v>
      </c>
      <c r="BW125" s="438">
        <v>0</v>
      </c>
      <c r="BX125" s="438">
        <v>0</v>
      </c>
      <c r="BY125" s="438">
        <v>0</v>
      </c>
      <c r="BZ125" s="438">
        <v>0</v>
      </c>
      <c r="CA125" s="438">
        <v>0</v>
      </c>
      <c r="CB125" s="438">
        <v>0</v>
      </c>
      <c r="CC125" s="438">
        <v>0</v>
      </c>
      <c r="CG125" s="438">
        <v>0</v>
      </c>
      <c r="CH125" s="438">
        <v>0</v>
      </c>
      <c r="CI125" s="438">
        <v>0</v>
      </c>
      <c r="CJ125" s="438">
        <v>5</v>
      </c>
      <c r="CK125" s="438">
        <v>0</v>
      </c>
      <c r="CL125" s="438">
        <v>0</v>
      </c>
      <c r="CN125" s="438">
        <v>0</v>
      </c>
      <c r="CO125" s="438">
        <v>1</v>
      </c>
      <c r="CP125" s="438">
        <v>0</v>
      </c>
      <c r="CQ125" s="438">
        <v>0</v>
      </c>
      <c r="CR125" s="438">
        <v>1056.4580000000001</v>
      </c>
      <c r="CS125" s="438">
        <v>0</v>
      </c>
      <c r="CT125" s="438">
        <v>0</v>
      </c>
      <c r="CU125" s="438">
        <v>0</v>
      </c>
      <c r="CV125" s="438">
        <v>0</v>
      </c>
      <c r="CW125" s="438">
        <v>0</v>
      </c>
      <c r="CX125" s="438">
        <v>0</v>
      </c>
      <c r="CY125" s="438">
        <v>0</v>
      </c>
      <c r="CZ125" s="438">
        <v>0</v>
      </c>
      <c r="DA125" s="438">
        <v>1</v>
      </c>
      <c r="DB125" s="438">
        <v>6819731</v>
      </c>
      <c r="DC125" s="438">
        <v>0</v>
      </c>
      <c r="DD125" s="438">
        <v>0</v>
      </c>
      <c r="DE125" s="438">
        <v>1105282</v>
      </c>
      <c r="DF125" s="438">
        <v>1105282</v>
      </c>
      <c r="DG125" s="438">
        <v>844.5</v>
      </c>
      <c r="DH125" s="438">
        <v>0</v>
      </c>
      <c r="DI125" s="438">
        <v>0</v>
      </c>
      <c r="DK125" s="437">
        <v>5392</v>
      </c>
      <c r="DL125" s="438">
        <v>0</v>
      </c>
      <c r="DM125" s="438">
        <v>632624</v>
      </c>
      <c r="DN125" s="438">
        <v>0</v>
      </c>
      <c r="DO125" s="438">
        <v>0</v>
      </c>
      <c r="DP125" s="438">
        <v>0</v>
      </c>
      <c r="DQ125" s="438">
        <v>0</v>
      </c>
      <c r="DR125" s="438">
        <v>0</v>
      </c>
      <c r="DS125" s="438">
        <v>0</v>
      </c>
      <c r="DT125" s="438">
        <v>0</v>
      </c>
      <c r="DU125" s="438">
        <v>0</v>
      </c>
      <c r="DV125" s="438">
        <v>0</v>
      </c>
      <c r="DW125" s="438">
        <v>0</v>
      </c>
      <c r="DX125" s="438">
        <v>0</v>
      </c>
      <c r="DY125" s="438">
        <v>0</v>
      </c>
      <c r="DZ125" s="438">
        <v>0</v>
      </c>
      <c r="EA125" s="438">
        <v>0</v>
      </c>
      <c r="EB125" s="438">
        <v>0</v>
      </c>
      <c r="EC125" s="438">
        <v>46.734000000000002</v>
      </c>
      <c r="ED125" s="438">
        <v>336410</v>
      </c>
      <c r="EE125" s="438">
        <v>0</v>
      </c>
      <c r="EF125" s="438">
        <v>0</v>
      </c>
      <c r="EG125" s="438">
        <v>0</v>
      </c>
      <c r="EH125" s="438">
        <v>296214</v>
      </c>
      <c r="EI125" s="438">
        <v>0</v>
      </c>
      <c r="EJ125" s="438">
        <v>0</v>
      </c>
      <c r="EK125" s="438">
        <v>13.175000000000001</v>
      </c>
      <c r="EL125" s="438">
        <v>0</v>
      </c>
      <c r="EM125" s="438">
        <v>0</v>
      </c>
      <c r="EN125" s="438">
        <v>1.1479999999999999</v>
      </c>
      <c r="EO125" s="438">
        <v>0</v>
      </c>
      <c r="EP125" s="438">
        <v>0</v>
      </c>
      <c r="EQ125" s="438">
        <v>14.323</v>
      </c>
      <c r="ER125" s="438">
        <v>0</v>
      </c>
      <c r="ES125" s="438">
        <v>45.265000000000001</v>
      </c>
      <c r="ET125" s="438">
        <v>0</v>
      </c>
      <c r="EU125" s="438">
        <v>263025</v>
      </c>
      <c r="EV125" s="438">
        <v>0</v>
      </c>
      <c r="EW125" s="438">
        <v>0</v>
      </c>
      <c r="EX125" s="438">
        <v>0</v>
      </c>
      <c r="EZ125" s="438">
        <v>8447961</v>
      </c>
      <c r="FA125" s="438">
        <v>0</v>
      </c>
      <c r="FB125" s="438">
        <v>8710986</v>
      </c>
      <c r="FC125" s="438">
        <v>0.97334900000000002</v>
      </c>
      <c r="FD125" s="438">
        <v>0</v>
      </c>
      <c r="FE125" s="438">
        <v>1203963</v>
      </c>
      <c r="FF125" s="438">
        <v>274410</v>
      </c>
      <c r="FG125" s="437">
        <v>5.7854999999999997E-2</v>
      </c>
      <c r="FH125" s="437">
        <v>5.2366000000000003E-2</v>
      </c>
      <c r="FI125" s="438">
        <v>0</v>
      </c>
      <c r="FJ125" s="438">
        <v>0</v>
      </c>
      <c r="FK125" s="438">
        <v>1640.133</v>
      </c>
      <c r="FL125" s="438">
        <v>10189359</v>
      </c>
      <c r="FM125" s="438">
        <v>0</v>
      </c>
      <c r="FN125" s="438">
        <v>0</v>
      </c>
      <c r="FO125" s="438">
        <v>109532</v>
      </c>
      <c r="FP125" s="438">
        <v>0</v>
      </c>
      <c r="FQ125" s="438">
        <v>109532</v>
      </c>
      <c r="FR125" s="438">
        <v>109532</v>
      </c>
      <c r="FS125" s="438">
        <v>0</v>
      </c>
      <c r="FT125" s="438">
        <v>0</v>
      </c>
      <c r="FU125" s="438">
        <v>0</v>
      </c>
      <c r="FV125" s="438">
        <v>0</v>
      </c>
      <c r="FW125" s="438">
        <v>0</v>
      </c>
      <c r="FX125" s="438">
        <v>0</v>
      </c>
      <c r="FY125" s="438">
        <v>0</v>
      </c>
      <c r="FZ125" s="438">
        <v>0</v>
      </c>
      <c r="GA125" s="438">
        <v>0</v>
      </c>
      <c r="GB125" s="438">
        <v>0</v>
      </c>
      <c r="GC125" s="438">
        <v>0</v>
      </c>
      <c r="GD125" s="438">
        <v>0</v>
      </c>
      <c r="GF125" s="438">
        <v>0</v>
      </c>
      <c r="GG125" s="438">
        <v>0</v>
      </c>
      <c r="GH125" s="438">
        <v>0</v>
      </c>
      <c r="GI125" s="438">
        <v>0</v>
      </c>
      <c r="GJ125" s="438">
        <v>0</v>
      </c>
      <c r="GK125" s="438">
        <v>4604.6369999999997</v>
      </c>
      <c r="GL125" s="438">
        <v>4069</v>
      </c>
      <c r="GM125" s="438">
        <v>0</v>
      </c>
      <c r="GN125" s="438">
        <v>0</v>
      </c>
      <c r="GO125" s="438">
        <v>0</v>
      </c>
      <c r="GP125" s="438">
        <v>10189359</v>
      </c>
      <c r="GQ125" s="438">
        <v>10189359</v>
      </c>
      <c r="GR125" s="438">
        <v>0</v>
      </c>
      <c r="GS125" s="438">
        <v>0</v>
      </c>
      <c r="GT125" s="438">
        <v>0</v>
      </c>
      <c r="HB125" s="438">
        <v>0</v>
      </c>
      <c r="HC125" s="437">
        <v>6.0754000000000002E-2</v>
      </c>
      <c r="HD125" s="438">
        <v>0</v>
      </c>
    </row>
    <row r="126" spans="1:212" x14ac:dyDescent="0.2">
      <c r="A126" s="438">
        <v>25836</v>
      </c>
      <c r="B126" s="442">
        <v>101862</v>
      </c>
      <c r="C126" s="438">
        <v>9</v>
      </c>
      <c r="D126" s="438">
        <v>2020</v>
      </c>
      <c r="E126" s="438">
        <v>5392</v>
      </c>
      <c r="F126" s="438">
        <v>0</v>
      </c>
      <c r="G126" s="438">
        <v>3615.201</v>
      </c>
      <c r="H126" s="438">
        <v>3321.1039999999998</v>
      </c>
      <c r="I126" s="438">
        <v>3321.1039999999998</v>
      </c>
      <c r="J126" s="438">
        <v>3615.201</v>
      </c>
      <c r="K126" s="438">
        <v>0</v>
      </c>
      <c r="L126" s="437">
        <v>6544</v>
      </c>
      <c r="M126" s="438">
        <v>0</v>
      </c>
      <c r="N126" s="438">
        <v>0</v>
      </c>
      <c r="P126" s="438">
        <v>3632.2260000000001</v>
      </c>
      <c r="Q126" s="438">
        <v>0</v>
      </c>
      <c r="R126" s="438">
        <v>899292</v>
      </c>
      <c r="S126" s="437">
        <v>247.58699999999999</v>
      </c>
      <c r="U126" s="438">
        <v>0</v>
      </c>
      <c r="V126" s="438">
        <v>678.87699999999995</v>
      </c>
      <c r="W126" s="438">
        <v>444257</v>
      </c>
      <c r="X126" s="438">
        <v>444257</v>
      </c>
      <c r="Z126" s="438">
        <v>0</v>
      </c>
      <c r="AA126" s="438">
        <v>1</v>
      </c>
      <c r="AB126" s="438">
        <v>1</v>
      </c>
      <c r="AC126" s="438">
        <v>0</v>
      </c>
      <c r="AD126" s="438" t="s">
        <v>332</v>
      </c>
      <c r="AE126" s="438">
        <v>0</v>
      </c>
      <c r="AH126" s="438">
        <v>0</v>
      </c>
      <c r="AI126" s="438">
        <v>0</v>
      </c>
      <c r="AJ126" s="437">
        <v>5105</v>
      </c>
      <c r="AK126" s="438" t="s">
        <v>561</v>
      </c>
      <c r="AL126" s="438" t="s">
        <v>368</v>
      </c>
      <c r="AM126" s="438">
        <v>0</v>
      </c>
      <c r="AN126" s="438">
        <v>0</v>
      </c>
      <c r="AO126" s="438">
        <v>0</v>
      </c>
      <c r="AP126" s="438">
        <v>0</v>
      </c>
      <c r="AQ126" s="438">
        <v>0</v>
      </c>
      <c r="AR126" s="438">
        <v>0</v>
      </c>
      <c r="AS126" s="438">
        <v>0</v>
      </c>
      <c r="AT126" s="438">
        <v>0</v>
      </c>
      <c r="AU126" s="438">
        <v>0</v>
      </c>
      <c r="AV126" s="438">
        <v>0</v>
      </c>
      <c r="AW126" s="438">
        <v>32935607</v>
      </c>
      <c r="AX126" s="438">
        <v>32629513</v>
      </c>
      <c r="AY126" s="438">
        <v>0</v>
      </c>
      <c r="AZ126" s="438">
        <v>1170261</v>
      </c>
      <c r="BA126" s="438">
        <v>70.25</v>
      </c>
      <c r="BB126" s="438">
        <v>141947</v>
      </c>
      <c r="BC126" s="438">
        <v>141947</v>
      </c>
      <c r="BD126" s="438">
        <v>180.76</v>
      </c>
      <c r="BE126" s="438">
        <v>0</v>
      </c>
      <c r="BF126" s="438">
        <v>27848747</v>
      </c>
      <c r="BG126" s="438">
        <v>0</v>
      </c>
      <c r="BH126" s="438">
        <v>985.34299999999996</v>
      </c>
      <c r="BI126" s="438">
        <v>270969</v>
      </c>
      <c r="BJ126" s="438">
        <v>12</v>
      </c>
      <c r="BK126" s="438">
        <v>0</v>
      </c>
      <c r="BL126" s="438">
        <v>0</v>
      </c>
      <c r="BM126" s="438">
        <v>0</v>
      </c>
      <c r="BN126" s="438">
        <v>0</v>
      </c>
      <c r="BO126" s="438">
        <v>0</v>
      </c>
      <c r="BP126" s="438">
        <v>0</v>
      </c>
      <c r="BQ126" s="437">
        <v>5392</v>
      </c>
      <c r="BR126" s="438">
        <v>1</v>
      </c>
      <c r="BS126" s="438">
        <v>0</v>
      </c>
      <c r="BT126" s="438">
        <v>0</v>
      </c>
      <c r="BU126" s="438">
        <v>0</v>
      </c>
      <c r="BV126" s="438">
        <v>0</v>
      </c>
      <c r="BW126" s="438">
        <v>0</v>
      </c>
      <c r="BX126" s="438">
        <v>0</v>
      </c>
      <c r="BY126" s="438">
        <v>0</v>
      </c>
      <c r="BZ126" s="438">
        <v>0</v>
      </c>
      <c r="CA126" s="438">
        <v>0</v>
      </c>
      <c r="CB126" s="438">
        <v>0</v>
      </c>
      <c r="CC126" s="438">
        <v>0</v>
      </c>
      <c r="CG126" s="438">
        <v>0</v>
      </c>
      <c r="CH126" s="438">
        <v>35125</v>
      </c>
      <c r="CI126" s="438">
        <v>0</v>
      </c>
      <c r="CJ126" s="438">
        <v>4</v>
      </c>
      <c r="CK126" s="438">
        <v>0</v>
      </c>
      <c r="CL126" s="438">
        <v>0</v>
      </c>
      <c r="CN126" s="438">
        <v>0</v>
      </c>
      <c r="CO126" s="438">
        <v>1</v>
      </c>
      <c r="CP126" s="438">
        <v>0</v>
      </c>
      <c r="CQ126" s="438">
        <v>0</v>
      </c>
      <c r="CR126" s="438">
        <v>3615.201</v>
      </c>
      <c r="CS126" s="438">
        <v>0</v>
      </c>
      <c r="CT126" s="438">
        <v>0</v>
      </c>
      <c r="CU126" s="438">
        <v>0</v>
      </c>
      <c r="CV126" s="438">
        <v>0</v>
      </c>
      <c r="CW126" s="438">
        <v>0</v>
      </c>
      <c r="CX126" s="438">
        <v>0</v>
      </c>
      <c r="CY126" s="438">
        <v>0</v>
      </c>
      <c r="CZ126" s="438">
        <v>0</v>
      </c>
      <c r="DA126" s="438">
        <v>1</v>
      </c>
      <c r="DB126" s="438">
        <v>21733305</v>
      </c>
      <c r="DC126" s="438">
        <v>0</v>
      </c>
      <c r="DD126" s="438">
        <v>70.25</v>
      </c>
      <c r="DE126" s="438">
        <v>2505698</v>
      </c>
      <c r="DF126" s="438">
        <v>2505698</v>
      </c>
      <c r="DG126" s="438">
        <v>1914.5</v>
      </c>
      <c r="DH126" s="438">
        <v>0</v>
      </c>
      <c r="DI126" s="438">
        <v>0</v>
      </c>
      <c r="DK126" s="437">
        <v>5392</v>
      </c>
      <c r="DL126" s="438">
        <v>0</v>
      </c>
      <c r="DM126" s="438">
        <v>1877279</v>
      </c>
      <c r="DN126" s="438">
        <v>0</v>
      </c>
      <c r="DO126" s="438">
        <v>0</v>
      </c>
      <c r="DP126" s="438">
        <v>0</v>
      </c>
      <c r="DQ126" s="438">
        <v>0</v>
      </c>
      <c r="DR126" s="438">
        <v>0</v>
      </c>
      <c r="DS126" s="438">
        <v>0</v>
      </c>
      <c r="DT126" s="438">
        <v>0</v>
      </c>
      <c r="DU126" s="438">
        <v>0</v>
      </c>
      <c r="DV126" s="438">
        <v>0</v>
      </c>
      <c r="DW126" s="438">
        <v>0</v>
      </c>
      <c r="DX126" s="438">
        <v>0</v>
      </c>
      <c r="DY126" s="438">
        <v>0</v>
      </c>
      <c r="DZ126" s="438">
        <v>0</v>
      </c>
      <c r="EA126" s="438">
        <v>5.1999999999999998E-2</v>
      </c>
      <c r="EB126" s="438">
        <v>0</v>
      </c>
      <c r="EC126" s="438">
        <v>37.649000000000001</v>
      </c>
      <c r="ED126" s="438">
        <v>271013</v>
      </c>
      <c r="EE126" s="438">
        <v>12972</v>
      </c>
      <c r="EF126" s="438">
        <v>1.1659999999999999</v>
      </c>
      <c r="EG126" s="438">
        <v>0</v>
      </c>
      <c r="EH126" s="438">
        <v>1593294</v>
      </c>
      <c r="EI126" s="438">
        <v>0</v>
      </c>
      <c r="EJ126" s="438">
        <v>0</v>
      </c>
      <c r="EK126" s="438">
        <v>67.239999999999995</v>
      </c>
      <c r="EL126" s="438">
        <v>0</v>
      </c>
      <c r="EM126" s="438">
        <v>6.1130000000000004</v>
      </c>
      <c r="EN126" s="438">
        <v>4.6310000000000002</v>
      </c>
      <c r="EO126" s="438">
        <v>0</v>
      </c>
      <c r="EP126" s="438">
        <v>0</v>
      </c>
      <c r="EQ126" s="438">
        <v>78.036000000000001</v>
      </c>
      <c r="ER126" s="438">
        <v>0</v>
      </c>
      <c r="ES126" s="438">
        <v>243.47399999999999</v>
      </c>
      <c r="ET126" s="438">
        <v>35125</v>
      </c>
      <c r="EU126" s="438">
        <v>1170261</v>
      </c>
      <c r="EV126" s="438">
        <v>0</v>
      </c>
      <c r="EW126" s="438">
        <v>0</v>
      </c>
      <c r="EX126" s="438">
        <v>0</v>
      </c>
      <c r="EZ126" s="438">
        <v>27711963</v>
      </c>
      <c r="FA126" s="438">
        <v>0</v>
      </c>
      <c r="FB126" s="438">
        <v>28882224</v>
      </c>
      <c r="FC126" s="438">
        <v>0.97334900000000002</v>
      </c>
      <c r="FD126" s="438">
        <v>0</v>
      </c>
      <c r="FE126" s="438">
        <v>4004774</v>
      </c>
      <c r="FF126" s="438">
        <v>912776</v>
      </c>
      <c r="FG126" s="437">
        <v>5.7854999999999997E-2</v>
      </c>
      <c r="FH126" s="437">
        <v>5.2366000000000003E-2</v>
      </c>
      <c r="FI126" s="438">
        <v>0</v>
      </c>
      <c r="FJ126" s="438">
        <v>0</v>
      </c>
      <c r="FK126" s="438">
        <v>5455.6180000000004</v>
      </c>
      <c r="FL126" s="438">
        <v>33834899</v>
      </c>
      <c r="FM126" s="438">
        <v>0</v>
      </c>
      <c r="FN126" s="438">
        <v>0</v>
      </c>
      <c r="FO126" s="438">
        <v>0</v>
      </c>
      <c r="FP126" s="438">
        <v>0</v>
      </c>
      <c r="FQ126" s="438">
        <v>0</v>
      </c>
      <c r="FR126" s="438">
        <v>0</v>
      </c>
      <c r="FS126" s="438">
        <v>0</v>
      </c>
      <c r="FT126" s="438">
        <v>0</v>
      </c>
      <c r="FU126" s="438">
        <v>0</v>
      </c>
      <c r="FV126" s="438">
        <v>0</v>
      </c>
      <c r="FW126" s="438">
        <v>0</v>
      </c>
      <c r="FX126" s="438">
        <v>0</v>
      </c>
      <c r="FY126" s="438">
        <v>0</v>
      </c>
      <c r="FZ126" s="438">
        <v>0</v>
      </c>
      <c r="GA126" s="438">
        <v>0</v>
      </c>
      <c r="GB126" s="438">
        <v>1908769</v>
      </c>
      <c r="GC126" s="438">
        <v>1908769</v>
      </c>
      <c r="GD126" s="438">
        <v>216.06100000000001</v>
      </c>
      <c r="GF126" s="438">
        <v>0</v>
      </c>
      <c r="GG126" s="438">
        <v>0</v>
      </c>
      <c r="GH126" s="438">
        <v>0</v>
      </c>
      <c r="GI126" s="438">
        <v>0</v>
      </c>
      <c r="GJ126" s="438">
        <v>0</v>
      </c>
      <c r="GK126" s="438">
        <v>4725.0559999999996</v>
      </c>
      <c r="GL126" s="438">
        <v>10056</v>
      </c>
      <c r="GM126" s="438">
        <v>0</v>
      </c>
      <c r="GN126" s="438">
        <v>0</v>
      </c>
      <c r="GO126" s="438">
        <v>0</v>
      </c>
      <c r="GP126" s="438">
        <v>33799774</v>
      </c>
      <c r="GQ126" s="438">
        <v>33799774</v>
      </c>
      <c r="GR126" s="438">
        <v>0</v>
      </c>
      <c r="GS126" s="438">
        <v>0</v>
      </c>
      <c r="GT126" s="438">
        <v>0</v>
      </c>
      <c r="HB126" s="438">
        <v>0</v>
      </c>
      <c r="HC126" s="437">
        <v>6.0754000000000002E-2</v>
      </c>
      <c r="HD126" s="438">
        <v>0</v>
      </c>
    </row>
    <row r="127" spans="1:212" x14ac:dyDescent="0.2">
      <c r="A127" s="438">
        <v>25836</v>
      </c>
      <c r="B127" s="442">
        <v>101864</v>
      </c>
      <c r="C127" s="438">
        <v>9</v>
      </c>
      <c r="D127" s="438">
        <v>2020</v>
      </c>
      <c r="E127" s="438">
        <v>5392</v>
      </c>
      <c r="F127" s="438">
        <v>0</v>
      </c>
      <c r="G127" s="438">
        <v>215.71799999999999</v>
      </c>
      <c r="H127" s="438">
        <v>213.065</v>
      </c>
      <c r="I127" s="438">
        <v>213.065</v>
      </c>
      <c r="J127" s="438">
        <v>215.71799999999999</v>
      </c>
      <c r="K127" s="438">
        <v>0</v>
      </c>
      <c r="L127" s="437">
        <v>6544</v>
      </c>
      <c r="M127" s="438">
        <v>0</v>
      </c>
      <c r="N127" s="438">
        <v>0</v>
      </c>
      <c r="P127" s="438">
        <v>217.167</v>
      </c>
      <c r="Q127" s="438">
        <v>0</v>
      </c>
      <c r="R127" s="438">
        <v>53768</v>
      </c>
      <c r="S127" s="437">
        <v>247.58699999999999</v>
      </c>
      <c r="U127" s="438">
        <v>0</v>
      </c>
      <c r="V127" s="438">
        <v>0</v>
      </c>
      <c r="W127" s="438">
        <v>0</v>
      </c>
      <c r="X127" s="438">
        <v>0</v>
      </c>
      <c r="Z127" s="438">
        <v>0</v>
      </c>
      <c r="AA127" s="438">
        <v>1</v>
      </c>
      <c r="AB127" s="438">
        <v>1</v>
      </c>
      <c r="AC127" s="438">
        <v>0</v>
      </c>
      <c r="AD127" s="438" t="s">
        <v>332</v>
      </c>
      <c r="AE127" s="438">
        <v>0</v>
      </c>
      <c r="AH127" s="438">
        <v>0</v>
      </c>
      <c r="AI127" s="438">
        <v>0</v>
      </c>
      <c r="AJ127" s="437">
        <v>5105</v>
      </c>
      <c r="AK127" s="438" t="s">
        <v>561</v>
      </c>
      <c r="AL127" s="438" t="s">
        <v>369</v>
      </c>
      <c r="AM127" s="438">
        <v>0</v>
      </c>
      <c r="AN127" s="438">
        <v>0</v>
      </c>
      <c r="AO127" s="438">
        <v>0</v>
      </c>
      <c r="AP127" s="438">
        <v>0</v>
      </c>
      <c r="AQ127" s="438">
        <v>0</v>
      </c>
      <c r="AR127" s="438">
        <v>0</v>
      </c>
      <c r="AS127" s="438">
        <v>0</v>
      </c>
      <c r="AT127" s="438">
        <v>0</v>
      </c>
      <c r="AU127" s="438">
        <v>0</v>
      </c>
      <c r="AV127" s="438">
        <v>0</v>
      </c>
      <c r="AW127" s="438">
        <v>2053583</v>
      </c>
      <c r="AX127" s="438">
        <v>2053583</v>
      </c>
      <c r="AY127" s="438">
        <v>0</v>
      </c>
      <c r="AZ127" s="438">
        <v>53768</v>
      </c>
      <c r="BA127" s="438">
        <v>0</v>
      </c>
      <c r="BB127" s="438">
        <v>0</v>
      </c>
      <c r="BC127" s="438">
        <v>0</v>
      </c>
      <c r="BD127" s="438">
        <v>0</v>
      </c>
      <c r="BE127" s="438">
        <v>0</v>
      </c>
      <c r="BF127" s="438">
        <v>1732989</v>
      </c>
      <c r="BG127" s="438">
        <v>0</v>
      </c>
      <c r="BH127" s="438">
        <v>0</v>
      </c>
      <c r="BI127" s="438">
        <v>0</v>
      </c>
      <c r="BJ127" s="438">
        <v>12</v>
      </c>
      <c r="BK127" s="438">
        <v>0</v>
      </c>
      <c r="BL127" s="438">
        <v>0</v>
      </c>
      <c r="BM127" s="438">
        <v>0</v>
      </c>
      <c r="BN127" s="438">
        <v>0</v>
      </c>
      <c r="BO127" s="438">
        <v>0</v>
      </c>
      <c r="BP127" s="438">
        <v>0</v>
      </c>
      <c r="BQ127" s="437">
        <v>5392</v>
      </c>
      <c r="BR127" s="438">
        <v>1</v>
      </c>
      <c r="BS127" s="438">
        <v>0</v>
      </c>
      <c r="BT127" s="438">
        <v>0</v>
      </c>
      <c r="BU127" s="438">
        <v>0</v>
      </c>
      <c r="BV127" s="438">
        <v>0</v>
      </c>
      <c r="BW127" s="438">
        <v>0</v>
      </c>
      <c r="BX127" s="438">
        <v>0</v>
      </c>
      <c r="BY127" s="438">
        <v>0</v>
      </c>
      <c r="BZ127" s="438">
        <v>0</v>
      </c>
      <c r="CA127" s="438">
        <v>0</v>
      </c>
      <c r="CB127" s="438">
        <v>0</v>
      </c>
      <c r="CC127" s="438">
        <v>0</v>
      </c>
      <c r="CG127" s="438">
        <v>0</v>
      </c>
      <c r="CH127" s="438">
        <v>0</v>
      </c>
      <c r="CI127" s="438">
        <v>0</v>
      </c>
      <c r="CJ127" s="438">
        <v>4</v>
      </c>
      <c r="CK127" s="438">
        <v>0</v>
      </c>
      <c r="CL127" s="438">
        <v>0</v>
      </c>
      <c r="CN127" s="438">
        <v>0</v>
      </c>
      <c r="CO127" s="438">
        <v>1</v>
      </c>
      <c r="CP127" s="438">
        <v>0</v>
      </c>
      <c r="CQ127" s="438">
        <v>0</v>
      </c>
      <c r="CR127" s="438">
        <v>215.71799999999999</v>
      </c>
      <c r="CS127" s="438">
        <v>0</v>
      </c>
      <c r="CT127" s="438">
        <v>0</v>
      </c>
      <c r="CU127" s="438">
        <v>0</v>
      </c>
      <c r="CV127" s="438">
        <v>0</v>
      </c>
      <c r="CW127" s="438">
        <v>0</v>
      </c>
      <c r="CX127" s="438">
        <v>0</v>
      </c>
      <c r="CY127" s="438">
        <v>0</v>
      </c>
      <c r="CZ127" s="438">
        <v>0</v>
      </c>
      <c r="DA127" s="438">
        <v>1</v>
      </c>
      <c r="DB127" s="438">
        <v>1394297</v>
      </c>
      <c r="DC127" s="438">
        <v>0</v>
      </c>
      <c r="DD127" s="438">
        <v>0</v>
      </c>
      <c r="DE127" s="438">
        <v>229917</v>
      </c>
      <c r="DF127" s="438">
        <v>229917</v>
      </c>
      <c r="DG127" s="438">
        <v>175.67</v>
      </c>
      <c r="DH127" s="438">
        <v>0</v>
      </c>
      <c r="DI127" s="438">
        <v>0</v>
      </c>
      <c r="DK127" s="437">
        <v>5392</v>
      </c>
      <c r="DL127" s="438">
        <v>0</v>
      </c>
      <c r="DM127" s="438">
        <v>156225</v>
      </c>
      <c r="DN127" s="438">
        <v>0</v>
      </c>
      <c r="DO127" s="438">
        <v>0</v>
      </c>
      <c r="DP127" s="438">
        <v>0</v>
      </c>
      <c r="DQ127" s="438">
        <v>0</v>
      </c>
      <c r="DR127" s="438">
        <v>0</v>
      </c>
      <c r="DS127" s="438">
        <v>0</v>
      </c>
      <c r="DT127" s="438">
        <v>0</v>
      </c>
      <c r="DU127" s="438">
        <v>0</v>
      </c>
      <c r="DV127" s="438">
        <v>0</v>
      </c>
      <c r="DW127" s="438">
        <v>0</v>
      </c>
      <c r="DX127" s="438">
        <v>0</v>
      </c>
      <c r="DY127" s="438">
        <v>0</v>
      </c>
      <c r="DZ127" s="438">
        <v>0</v>
      </c>
      <c r="EA127" s="438">
        <v>0</v>
      </c>
      <c r="EB127" s="438">
        <v>0</v>
      </c>
      <c r="EC127" s="438">
        <v>14.28</v>
      </c>
      <c r="ED127" s="438">
        <v>102793</v>
      </c>
      <c r="EE127" s="438">
        <v>0</v>
      </c>
      <c r="EF127" s="438">
        <v>0</v>
      </c>
      <c r="EG127" s="438">
        <v>0</v>
      </c>
      <c r="EH127" s="438">
        <v>53432</v>
      </c>
      <c r="EI127" s="438">
        <v>0</v>
      </c>
      <c r="EJ127" s="438">
        <v>0</v>
      </c>
      <c r="EK127" s="438">
        <v>2.5499999999999998</v>
      </c>
      <c r="EL127" s="438">
        <v>0</v>
      </c>
      <c r="EM127" s="438">
        <v>0</v>
      </c>
      <c r="EN127" s="438">
        <v>0.10299999999999999</v>
      </c>
      <c r="EO127" s="438">
        <v>0</v>
      </c>
      <c r="EP127" s="438">
        <v>0</v>
      </c>
      <c r="EQ127" s="438">
        <v>2.653</v>
      </c>
      <c r="ER127" s="438">
        <v>0</v>
      </c>
      <c r="ES127" s="438">
        <v>8.1649999999999991</v>
      </c>
      <c r="ET127" s="438">
        <v>0</v>
      </c>
      <c r="EU127" s="438">
        <v>53768</v>
      </c>
      <c r="EV127" s="438">
        <v>0</v>
      </c>
      <c r="EW127" s="438">
        <v>0</v>
      </c>
      <c r="EX127" s="438">
        <v>0</v>
      </c>
      <c r="EZ127" s="438">
        <v>1747570</v>
      </c>
      <c r="FA127" s="438">
        <v>0</v>
      </c>
      <c r="FB127" s="438">
        <v>1801338</v>
      </c>
      <c r="FC127" s="438">
        <v>0.97334900000000002</v>
      </c>
      <c r="FD127" s="438">
        <v>0</v>
      </c>
      <c r="FE127" s="438">
        <v>249212</v>
      </c>
      <c r="FF127" s="438">
        <v>56801</v>
      </c>
      <c r="FG127" s="437">
        <v>5.7854999999999997E-2</v>
      </c>
      <c r="FH127" s="437">
        <v>5.2366000000000003E-2</v>
      </c>
      <c r="FI127" s="438">
        <v>0</v>
      </c>
      <c r="FJ127" s="438">
        <v>0</v>
      </c>
      <c r="FK127" s="438">
        <v>339.49599999999998</v>
      </c>
      <c r="FL127" s="438">
        <v>2107351</v>
      </c>
      <c r="FM127" s="438">
        <v>0</v>
      </c>
      <c r="FN127" s="438">
        <v>0</v>
      </c>
      <c r="FO127" s="438">
        <v>20899</v>
      </c>
      <c r="FP127" s="438">
        <v>0</v>
      </c>
      <c r="FQ127" s="438">
        <v>20899</v>
      </c>
      <c r="FR127" s="438">
        <v>20899</v>
      </c>
      <c r="FS127" s="438">
        <v>0</v>
      </c>
      <c r="FT127" s="438">
        <v>0</v>
      </c>
      <c r="FU127" s="438">
        <v>0</v>
      </c>
      <c r="FV127" s="438">
        <v>0</v>
      </c>
      <c r="FW127" s="438">
        <v>0</v>
      </c>
      <c r="FX127" s="438">
        <v>0</v>
      </c>
      <c r="FY127" s="438">
        <v>0</v>
      </c>
      <c r="FZ127" s="438">
        <v>0</v>
      </c>
      <c r="GA127" s="438">
        <v>0</v>
      </c>
      <c r="GB127" s="438">
        <v>0</v>
      </c>
      <c r="GC127" s="438">
        <v>0</v>
      </c>
      <c r="GD127" s="438">
        <v>0</v>
      </c>
      <c r="GF127" s="438">
        <v>0</v>
      </c>
      <c r="GG127" s="438">
        <v>0</v>
      </c>
      <c r="GH127" s="438">
        <v>0</v>
      </c>
      <c r="GI127" s="438">
        <v>0</v>
      </c>
      <c r="GJ127" s="438">
        <v>0</v>
      </c>
      <c r="GK127" s="438">
        <v>4604.6369999999997</v>
      </c>
      <c r="GL127" s="438">
        <v>0</v>
      </c>
      <c r="GM127" s="438">
        <v>0</v>
      </c>
      <c r="GN127" s="438">
        <v>0</v>
      </c>
      <c r="GO127" s="438">
        <v>0</v>
      </c>
      <c r="GP127" s="438">
        <v>2107351</v>
      </c>
      <c r="GQ127" s="438">
        <v>2107351</v>
      </c>
      <c r="GR127" s="438">
        <v>0</v>
      </c>
      <c r="GS127" s="438">
        <v>0</v>
      </c>
      <c r="GT127" s="438">
        <v>0</v>
      </c>
      <c r="HB127" s="438">
        <v>0</v>
      </c>
      <c r="HC127" s="437">
        <v>6.0754000000000002E-2</v>
      </c>
      <c r="HD127" s="438">
        <v>0</v>
      </c>
    </row>
    <row r="128" spans="1:212" x14ac:dyDescent="0.2">
      <c r="A128" s="438">
        <v>25836</v>
      </c>
      <c r="B128" s="442">
        <v>101868</v>
      </c>
      <c r="C128" s="438">
        <v>9</v>
      </c>
      <c r="D128" s="438">
        <v>2020</v>
      </c>
      <c r="E128" s="438">
        <v>5392</v>
      </c>
      <c r="F128" s="438">
        <v>0</v>
      </c>
      <c r="G128" s="438">
        <v>448.31700000000001</v>
      </c>
      <c r="H128" s="438">
        <v>423.041</v>
      </c>
      <c r="I128" s="438">
        <v>423.041</v>
      </c>
      <c r="J128" s="438">
        <v>448.31700000000001</v>
      </c>
      <c r="K128" s="438">
        <v>0</v>
      </c>
      <c r="L128" s="437">
        <v>6544</v>
      </c>
      <c r="M128" s="438">
        <v>0</v>
      </c>
      <c r="N128" s="438">
        <v>0</v>
      </c>
      <c r="P128" s="438">
        <v>450.63200000000001</v>
      </c>
      <c r="Q128" s="438">
        <v>0</v>
      </c>
      <c r="R128" s="438">
        <v>111571</v>
      </c>
      <c r="S128" s="437">
        <v>247.58699999999999</v>
      </c>
      <c r="U128" s="438">
        <v>0</v>
      </c>
      <c r="V128" s="438">
        <v>0</v>
      </c>
      <c r="W128" s="438">
        <v>0</v>
      </c>
      <c r="X128" s="438">
        <v>0</v>
      </c>
      <c r="Z128" s="438">
        <v>0</v>
      </c>
      <c r="AA128" s="438">
        <v>1</v>
      </c>
      <c r="AB128" s="438">
        <v>1</v>
      </c>
      <c r="AC128" s="438">
        <v>0</v>
      </c>
      <c r="AD128" s="438" t="s">
        <v>332</v>
      </c>
      <c r="AE128" s="438">
        <v>0</v>
      </c>
      <c r="AH128" s="438">
        <v>0</v>
      </c>
      <c r="AI128" s="438">
        <v>0</v>
      </c>
      <c r="AJ128" s="437">
        <v>5105</v>
      </c>
      <c r="AK128" s="438" t="s">
        <v>561</v>
      </c>
      <c r="AL128" s="438" t="s">
        <v>370</v>
      </c>
      <c r="AM128" s="438">
        <v>0</v>
      </c>
      <c r="AN128" s="438">
        <v>0</v>
      </c>
      <c r="AO128" s="438">
        <v>0</v>
      </c>
      <c r="AP128" s="438">
        <v>0</v>
      </c>
      <c r="AQ128" s="438">
        <v>0</v>
      </c>
      <c r="AR128" s="438">
        <v>0</v>
      </c>
      <c r="AS128" s="438">
        <v>0</v>
      </c>
      <c r="AT128" s="438">
        <v>0</v>
      </c>
      <c r="AU128" s="438">
        <v>0</v>
      </c>
      <c r="AV128" s="438">
        <v>0</v>
      </c>
      <c r="AW128" s="438">
        <v>4482566</v>
      </c>
      <c r="AX128" s="438">
        <v>4423679</v>
      </c>
      <c r="AY128" s="438">
        <v>0</v>
      </c>
      <c r="AZ128" s="438">
        <v>170458</v>
      </c>
      <c r="BA128" s="438">
        <v>0</v>
      </c>
      <c r="BB128" s="438">
        <v>0</v>
      </c>
      <c r="BC128" s="438">
        <v>0</v>
      </c>
      <c r="BD128" s="438">
        <v>0</v>
      </c>
      <c r="BE128" s="438">
        <v>0</v>
      </c>
      <c r="BF128" s="438">
        <v>3723553</v>
      </c>
      <c r="BG128" s="438">
        <v>0</v>
      </c>
      <c r="BH128" s="438">
        <v>214.13499999999999</v>
      </c>
      <c r="BI128" s="438">
        <v>58887</v>
      </c>
      <c r="BJ128" s="438">
        <v>12</v>
      </c>
      <c r="BK128" s="438">
        <v>0</v>
      </c>
      <c r="BL128" s="438">
        <v>0</v>
      </c>
      <c r="BM128" s="438">
        <v>0</v>
      </c>
      <c r="BN128" s="438">
        <v>0</v>
      </c>
      <c r="BO128" s="438">
        <v>0</v>
      </c>
      <c r="BP128" s="438">
        <v>0</v>
      </c>
      <c r="BQ128" s="437">
        <v>5392</v>
      </c>
      <c r="BR128" s="438">
        <v>1</v>
      </c>
      <c r="BS128" s="438">
        <v>0</v>
      </c>
      <c r="BT128" s="438">
        <v>0</v>
      </c>
      <c r="BU128" s="438">
        <v>0</v>
      </c>
      <c r="BV128" s="438">
        <v>0</v>
      </c>
      <c r="BW128" s="438">
        <v>0</v>
      </c>
      <c r="BX128" s="438">
        <v>0</v>
      </c>
      <c r="BY128" s="438">
        <v>0</v>
      </c>
      <c r="BZ128" s="438">
        <v>0</v>
      </c>
      <c r="CA128" s="438">
        <v>0</v>
      </c>
      <c r="CB128" s="438">
        <v>0</v>
      </c>
      <c r="CC128" s="438">
        <v>0</v>
      </c>
      <c r="CG128" s="438">
        <v>0</v>
      </c>
      <c r="CH128" s="438">
        <v>0</v>
      </c>
      <c r="CI128" s="438">
        <v>0</v>
      </c>
      <c r="CJ128" s="438">
        <v>5</v>
      </c>
      <c r="CK128" s="438">
        <v>0</v>
      </c>
      <c r="CL128" s="438">
        <v>0</v>
      </c>
      <c r="CN128" s="438">
        <v>0</v>
      </c>
      <c r="CO128" s="438">
        <v>1</v>
      </c>
      <c r="CP128" s="438">
        <v>0.34599999999999997</v>
      </c>
      <c r="CQ128" s="438">
        <v>0</v>
      </c>
      <c r="CR128" s="438">
        <v>448.31700000000001</v>
      </c>
      <c r="CS128" s="438">
        <v>0</v>
      </c>
      <c r="CT128" s="438">
        <v>0</v>
      </c>
      <c r="CU128" s="438">
        <v>0</v>
      </c>
      <c r="CV128" s="438">
        <v>0</v>
      </c>
      <c r="CW128" s="438">
        <v>0</v>
      </c>
      <c r="CX128" s="438">
        <v>0</v>
      </c>
      <c r="CY128" s="438">
        <v>0</v>
      </c>
      <c r="CZ128" s="438">
        <v>0</v>
      </c>
      <c r="DA128" s="438">
        <v>1</v>
      </c>
      <c r="DB128" s="438">
        <v>2768380</v>
      </c>
      <c r="DC128" s="438">
        <v>0</v>
      </c>
      <c r="DD128" s="438">
        <v>0</v>
      </c>
      <c r="DE128" s="438">
        <v>468550</v>
      </c>
      <c r="DF128" s="438">
        <v>474007</v>
      </c>
      <c r="DG128" s="438">
        <v>358</v>
      </c>
      <c r="DH128" s="438">
        <v>0</v>
      </c>
      <c r="DI128" s="438">
        <v>5457</v>
      </c>
      <c r="DK128" s="437">
        <v>5392</v>
      </c>
      <c r="DL128" s="438">
        <v>0</v>
      </c>
      <c r="DM128" s="438">
        <v>399893</v>
      </c>
      <c r="DN128" s="438">
        <v>0</v>
      </c>
      <c r="DO128" s="438">
        <v>0</v>
      </c>
      <c r="DP128" s="438">
        <v>0</v>
      </c>
      <c r="DQ128" s="438">
        <v>0</v>
      </c>
      <c r="DR128" s="438">
        <v>0</v>
      </c>
      <c r="DS128" s="438">
        <v>0</v>
      </c>
      <c r="DT128" s="438">
        <v>0</v>
      </c>
      <c r="DU128" s="438">
        <v>0</v>
      </c>
      <c r="DV128" s="438">
        <v>0</v>
      </c>
      <c r="DW128" s="438">
        <v>0</v>
      </c>
      <c r="DX128" s="438">
        <v>0</v>
      </c>
      <c r="DY128" s="438">
        <v>0</v>
      </c>
      <c r="DZ128" s="438">
        <v>0</v>
      </c>
      <c r="EA128" s="438">
        <v>5.2999999999999999E-2</v>
      </c>
      <c r="EB128" s="438">
        <v>0</v>
      </c>
      <c r="EC128" s="438">
        <v>43.061999999999998</v>
      </c>
      <c r="ED128" s="438">
        <v>309978</v>
      </c>
      <c r="EE128" s="438">
        <v>0</v>
      </c>
      <c r="EF128" s="438">
        <v>0</v>
      </c>
      <c r="EG128" s="438">
        <v>0</v>
      </c>
      <c r="EH128" s="438">
        <v>89915</v>
      </c>
      <c r="EI128" s="438">
        <v>0</v>
      </c>
      <c r="EJ128" s="438">
        <v>0</v>
      </c>
      <c r="EK128" s="438">
        <v>4.2370000000000001</v>
      </c>
      <c r="EL128" s="438">
        <v>0</v>
      </c>
      <c r="EM128" s="438">
        <v>0.23300000000000001</v>
      </c>
      <c r="EN128" s="438">
        <v>1.2999999999999999E-2</v>
      </c>
      <c r="EO128" s="438">
        <v>0</v>
      </c>
      <c r="EP128" s="438">
        <v>0</v>
      </c>
      <c r="EQ128" s="438">
        <v>4.5359999999999996</v>
      </c>
      <c r="ER128" s="438">
        <v>0</v>
      </c>
      <c r="ES128" s="438">
        <v>13.74</v>
      </c>
      <c r="ET128" s="438">
        <v>0</v>
      </c>
      <c r="EU128" s="438">
        <v>170458</v>
      </c>
      <c r="EV128" s="438">
        <v>0</v>
      </c>
      <c r="EW128" s="438">
        <v>0</v>
      </c>
      <c r="EX128" s="438">
        <v>0</v>
      </c>
      <c r="EZ128" s="438">
        <v>3766171</v>
      </c>
      <c r="FA128" s="438">
        <v>0</v>
      </c>
      <c r="FB128" s="438">
        <v>3936629</v>
      </c>
      <c r="FC128" s="438">
        <v>0.97334900000000002</v>
      </c>
      <c r="FD128" s="438">
        <v>0</v>
      </c>
      <c r="FE128" s="438">
        <v>535464</v>
      </c>
      <c r="FF128" s="438">
        <v>122044</v>
      </c>
      <c r="FG128" s="437">
        <v>5.7854999999999997E-2</v>
      </c>
      <c r="FH128" s="437">
        <v>5.2366000000000003E-2</v>
      </c>
      <c r="FI128" s="438">
        <v>0</v>
      </c>
      <c r="FJ128" s="438">
        <v>0</v>
      </c>
      <c r="FK128" s="438">
        <v>729.45100000000002</v>
      </c>
      <c r="FL128" s="438">
        <v>4594137</v>
      </c>
      <c r="FM128" s="438">
        <v>0</v>
      </c>
      <c r="FN128" s="438">
        <v>0</v>
      </c>
      <c r="FO128" s="438">
        <v>52237</v>
      </c>
      <c r="FP128" s="438">
        <v>0</v>
      </c>
      <c r="FQ128" s="438">
        <v>52237</v>
      </c>
      <c r="FR128" s="438">
        <v>52237</v>
      </c>
      <c r="FS128" s="438">
        <v>0</v>
      </c>
      <c r="FT128" s="438">
        <v>0</v>
      </c>
      <c r="FU128" s="438">
        <v>0</v>
      </c>
      <c r="FV128" s="438">
        <v>0</v>
      </c>
      <c r="FW128" s="438">
        <v>0</v>
      </c>
      <c r="FX128" s="438">
        <v>0</v>
      </c>
      <c r="FY128" s="438">
        <v>0</v>
      </c>
      <c r="FZ128" s="438">
        <v>0</v>
      </c>
      <c r="GA128" s="438">
        <v>0</v>
      </c>
      <c r="GB128" s="438">
        <v>183225</v>
      </c>
      <c r="GC128" s="438">
        <v>183225</v>
      </c>
      <c r="GD128" s="438">
        <v>20.74</v>
      </c>
      <c r="GF128" s="438">
        <v>0</v>
      </c>
      <c r="GG128" s="438">
        <v>0</v>
      </c>
      <c r="GH128" s="438">
        <v>0</v>
      </c>
      <c r="GI128" s="438">
        <v>0</v>
      </c>
      <c r="GJ128" s="438">
        <v>0</v>
      </c>
      <c r="GK128" s="438">
        <v>4604.6369999999997</v>
      </c>
      <c r="GL128" s="438">
        <v>0</v>
      </c>
      <c r="GM128" s="438">
        <v>0</v>
      </c>
      <c r="GN128" s="438">
        <v>0</v>
      </c>
      <c r="GO128" s="438">
        <v>0</v>
      </c>
      <c r="GP128" s="438">
        <v>4594137</v>
      </c>
      <c r="GQ128" s="438">
        <v>4594137</v>
      </c>
      <c r="GR128" s="438">
        <v>0</v>
      </c>
      <c r="GS128" s="438">
        <v>0</v>
      </c>
      <c r="GT128" s="438">
        <v>0</v>
      </c>
      <c r="HB128" s="438">
        <v>0</v>
      </c>
      <c r="HC128" s="437">
        <v>6.0754000000000002E-2</v>
      </c>
      <c r="HD128" s="438">
        <v>0</v>
      </c>
    </row>
    <row r="129" spans="1:212" x14ac:dyDescent="0.2">
      <c r="A129" s="438">
        <v>25836</v>
      </c>
      <c r="B129" s="442">
        <v>101870</v>
      </c>
      <c r="C129" s="438">
        <v>9</v>
      </c>
      <c r="D129" s="438">
        <v>2020</v>
      </c>
      <c r="E129" s="438">
        <v>5392</v>
      </c>
      <c r="F129" s="438">
        <v>0</v>
      </c>
      <c r="G129" s="438">
        <v>631.06200000000001</v>
      </c>
      <c r="H129" s="438">
        <v>612.98800000000006</v>
      </c>
      <c r="I129" s="438">
        <v>612.98800000000006</v>
      </c>
      <c r="J129" s="438">
        <v>631.06200000000001</v>
      </c>
      <c r="K129" s="438">
        <v>0</v>
      </c>
      <c r="L129" s="437">
        <v>6544</v>
      </c>
      <c r="M129" s="438">
        <v>0</v>
      </c>
      <c r="N129" s="438">
        <v>0</v>
      </c>
      <c r="P129" s="438">
        <v>634.14</v>
      </c>
      <c r="Q129" s="438">
        <v>0</v>
      </c>
      <c r="R129" s="438">
        <v>157005</v>
      </c>
      <c r="S129" s="437">
        <v>247.58699999999999</v>
      </c>
      <c r="U129" s="438">
        <v>0</v>
      </c>
      <c r="V129" s="438">
        <v>114.09699999999999</v>
      </c>
      <c r="W129" s="438">
        <v>74665</v>
      </c>
      <c r="X129" s="438">
        <v>74665</v>
      </c>
      <c r="Z129" s="438">
        <v>0</v>
      </c>
      <c r="AA129" s="438">
        <v>1</v>
      </c>
      <c r="AB129" s="438">
        <v>1</v>
      </c>
      <c r="AC129" s="438">
        <v>0</v>
      </c>
      <c r="AD129" s="438" t="s">
        <v>332</v>
      </c>
      <c r="AE129" s="438">
        <v>0</v>
      </c>
      <c r="AH129" s="438">
        <v>0</v>
      </c>
      <c r="AI129" s="438">
        <v>0</v>
      </c>
      <c r="AJ129" s="437">
        <v>5105</v>
      </c>
      <c r="AK129" s="438" t="s">
        <v>561</v>
      </c>
      <c r="AL129" s="438" t="s">
        <v>390</v>
      </c>
      <c r="AM129" s="438">
        <v>0</v>
      </c>
      <c r="AN129" s="438">
        <v>0</v>
      </c>
      <c r="AO129" s="438">
        <v>0</v>
      </c>
      <c r="AP129" s="438">
        <v>0</v>
      </c>
      <c r="AQ129" s="438">
        <v>0</v>
      </c>
      <c r="AR129" s="438">
        <v>0</v>
      </c>
      <c r="AS129" s="438">
        <v>0</v>
      </c>
      <c r="AT129" s="438">
        <v>0</v>
      </c>
      <c r="AU129" s="438">
        <v>0</v>
      </c>
      <c r="AV129" s="438">
        <v>0</v>
      </c>
      <c r="AW129" s="438">
        <v>5802913</v>
      </c>
      <c r="AX129" s="438">
        <v>5802913</v>
      </c>
      <c r="AY129" s="438">
        <v>0</v>
      </c>
      <c r="AZ129" s="438">
        <v>157005</v>
      </c>
      <c r="BA129" s="438">
        <v>0</v>
      </c>
      <c r="BB129" s="438">
        <v>0</v>
      </c>
      <c r="BC129" s="438">
        <v>0</v>
      </c>
      <c r="BD129" s="438">
        <v>0</v>
      </c>
      <c r="BE129" s="438">
        <v>0</v>
      </c>
      <c r="BF129" s="438">
        <v>4950258</v>
      </c>
      <c r="BG129" s="438">
        <v>0</v>
      </c>
      <c r="BH129" s="438">
        <v>0</v>
      </c>
      <c r="BI129" s="438">
        <v>0</v>
      </c>
      <c r="BJ129" s="438">
        <v>12</v>
      </c>
      <c r="BK129" s="438">
        <v>0</v>
      </c>
      <c r="BL129" s="438">
        <v>0</v>
      </c>
      <c r="BM129" s="438">
        <v>0</v>
      </c>
      <c r="BN129" s="438">
        <v>0</v>
      </c>
      <c r="BO129" s="438">
        <v>0</v>
      </c>
      <c r="BP129" s="438">
        <v>0</v>
      </c>
      <c r="BQ129" s="437">
        <v>5392</v>
      </c>
      <c r="BR129" s="438">
        <v>1</v>
      </c>
      <c r="BS129" s="438">
        <v>0</v>
      </c>
      <c r="BT129" s="438">
        <v>0</v>
      </c>
      <c r="BU129" s="438">
        <v>0</v>
      </c>
      <c r="BV129" s="438">
        <v>0</v>
      </c>
      <c r="BW129" s="438">
        <v>0</v>
      </c>
      <c r="BX129" s="438">
        <v>0</v>
      </c>
      <c r="BY129" s="438">
        <v>0</v>
      </c>
      <c r="BZ129" s="438">
        <v>0</v>
      </c>
      <c r="CA129" s="438">
        <v>0</v>
      </c>
      <c r="CB129" s="438">
        <v>0</v>
      </c>
      <c r="CC129" s="438">
        <v>0</v>
      </c>
      <c r="CG129" s="438">
        <v>0</v>
      </c>
      <c r="CH129" s="438">
        <v>0</v>
      </c>
      <c r="CI129" s="438">
        <v>0</v>
      </c>
      <c r="CJ129" s="438">
        <v>4</v>
      </c>
      <c r="CK129" s="438">
        <v>0</v>
      </c>
      <c r="CL129" s="438">
        <v>0</v>
      </c>
      <c r="CN129" s="438">
        <v>0</v>
      </c>
      <c r="CO129" s="438">
        <v>1</v>
      </c>
      <c r="CP129" s="438">
        <v>0</v>
      </c>
      <c r="CQ129" s="438">
        <v>0</v>
      </c>
      <c r="CR129" s="438">
        <v>631.06200000000001</v>
      </c>
      <c r="CS129" s="438">
        <v>0</v>
      </c>
      <c r="CT129" s="438">
        <v>0</v>
      </c>
      <c r="CU129" s="438">
        <v>0</v>
      </c>
      <c r="CV129" s="438">
        <v>0</v>
      </c>
      <c r="CW129" s="438">
        <v>0</v>
      </c>
      <c r="CX129" s="438">
        <v>0</v>
      </c>
      <c r="CY129" s="438">
        <v>0</v>
      </c>
      <c r="CZ129" s="438">
        <v>0</v>
      </c>
      <c r="DA129" s="438">
        <v>1</v>
      </c>
      <c r="DB129" s="438">
        <v>4011393</v>
      </c>
      <c r="DC129" s="438">
        <v>0</v>
      </c>
      <c r="DD129" s="438">
        <v>0</v>
      </c>
      <c r="DE129" s="438">
        <v>609469</v>
      </c>
      <c r="DF129" s="438">
        <v>609469</v>
      </c>
      <c r="DG129" s="438">
        <v>465.67</v>
      </c>
      <c r="DH129" s="438">
        <v>0</v>
      </c>
      <c r="DI129" s="438">
        <v>0</v>
      </c>
      <c r="DK129" s="437">
        <v>5392</v>
      </c>
      <c r="DL129" s="438">
        <v>0</v>
      </c>
      <c r="DM129" s="438">
        <v>376710</v>
      </c>
      <c r="DN129" s="438">
        <v>0</v>
      </c>
      <c r="DO129" s="438">
        <v>0</v>
      </c>
      <c r="DP129" s="438">
        <v>0</v>
      </c>
      <c r="DQ129" s="438">
        <v>0</v>
      </c>
      <c r="DR129" s="438">
        <v>0</v>
      </c>
      <c r="DS129" s="438">
        <v>0</v>
      </c>
      <c r="DT129" s="438">
        <v>0</v>
      </c>
      <c r="DU129" s="438">
        <v>0</v>
      </c>
      <c r="DV129" s="438">
        <v>0</v>
      </c>
      <c r="DW129" s="438">
        <v>0</v>
      </c>
      <c r="DX129" s="438">
        <v>0</v>
      </c>
      <c r="DY129" s="438">
        <v>0</v>
      </c>
      <c r="DZ129" s="438">
        <v>0</v>
      </c>
      <c r="EA129" s="438">
        <v>0</v>
      </c>
      <c r="EB129" s="438">
        <v>0</v>
      </c>
      <c r="EC129" s="438">
        <v>5.9080000000000004</v>
      </c>
      <c r="ED129" s="438">
        <v>42528</v>
      </c>
      <c r="EE129" s="438">
        <v>0</v>
      </c>
      <c r="EF129" s="438">
        <v>0</v>
      </c>
      <c r="EG129" s="438">
        <v>0</v>
      </c>
      <c r="EH129" s="438">
        <v>334182</v>
      </c>
      <c r="EI129" s="438">
        <v>0</v>
      </c>
      <c r="EJ129" s="438">
        <v>0</v>
      </c>
      <c r="EK129" s="438">
        <v>15.814</v>
      </c>
      <c r="EL129" s="438">
        <v>0</v>
      </c>
      <c r="EM129" s="438">
        <v>0</v>
      </c>
      <c r="EN129" s="438">
        <v>0.72499999999999998</v>
      </c>
      <c r="EO129" s="438">
        <v>0</v>
      </c>
      <c r="EP129" s="438">
        <v>0</v>
      </c>
      <c r="EQ129" s="438">
        <v>16.539000000000001</v>
      </c>
      <c r="ER129" s="438">
        <v>0</v>
      </c>
      <c r="ES129" s="438">
        <v>51.067</v>
      </c>
      <c r="ET129" s="438">
        <v>0</v>
      </c>
      <c r="EU129" s="438">
        <v>157005</v>
      </c>
      <c r="EV129" s="438">
        <v>0</v>
      </c>
      <c r="EW129" s="438">
        <v>0</v>
      </c>
      <c r="EX129" s="438">
        <v>0</v>
      </c>
      <c r="EZ129" s="438">
        <v>4928793</v>
      </c>
      <c r="FA129" s="438">
        <v>0</v>
      </c>
      <c r="FB129" s="438">
        <v>5085798</v>
      </c>
      <c r="FC129" s="438">
        <v>0.97334900000000002</v>
      </c>
      <c r="FD129" s="438">
        <v>0</v>
      </c>
      <c r="FE129" s="438">
        <v>711869</v>
      </c>
      <c r="FF129" s="438">
        <v>162251</v>
      </c>
      <c r="FG129" s="437">
        <v>5.7854999999999997E-2</v>
      </c>
      <c r="FH129" s="437">
        <v>5.2366000000000003E-2</v>
      </c>
      <c r="FI129" s="438">
        <v>0</v>
      </c>
      <c r="FJ129" s="438">
        <v>0</v>
      </c>
      <c r="FK129" s="438">
        <v>969.76400000000001</v>
      </c>
      <c r="FL129" s="438">
        <v>5959918</v>
      </c>
      <c r="FM129" s="438">
        <v>0</v>
      </c>
      <c r="FN129" s="438">
        <v>0</v>
      </c>
      <c r="FO129" s="438">
        <v>0</v>
      </c>
      <c r="FP129" s="438">
        <v>0</v>
      </c>
      <c r="FQ129" s="438">
        <v>0</v>
      </c>
      <c r="FR129" s="438">
        <v>0</v>
      </c>
      <c r="FS129" s="438">
        <v>0</v>
      </c>
      <c r="FT129" s="438">
        <v>0</v>
      </c>
      <c r="FU129" s="438">
        <v>0</v>
      </c>
      <c r="FV129" s="438">
        <v>0</v>
      </c>
      <c r="FW129" s="438">
        <v>0</v>
      </c>
      <c r="FX129" s="438">
        <v>0</v>
      </c>
      <c r="FY129" s="438">
        <v>0</v>
      </c>
      <c r="FZ129" s="438">
        <v>0</v>
      </c>
      <c r="GA129" s="438">
        <v>0</v>
      </c>
      <c r="GB129" s="438">
        <v>13561</v>
      </c>
      <c r="GC129" s="438">
        <v>13561</v>
      </c>
      <c r="GD129" s="438">
        <v>1.5349999999999999</v>
      </c>
      <c r="GF129" s="438">
        <v>0</v>
      </c>
      <c r="GG129" s="438">
        <v>0</v>
      </c>
      <c r="GH129" s="438">
        <v>0</v>
      </c>
      <c r="GI129" s="438">
        <v>0</v>
      </c>
      <c r="GJ129" s="438">
        <v>0</v>
      </c>
      <c r="GK129" s="438">
        <v>4604.6369999999997</v>
      </c>
      <c r="GL129" s="438">
        <v>0</v>
      </c>
      <c r="GM129" s="438">
        <v>0</v>
      </c>
      <c r="GN129" s="438">
        <v>0</v>
      </c>
      <c r="GO129" s="438">
        <v>0</v>
      </c>
      <c r="GP129" s="438">
        <v>5959918</v>
      </c>
      <c r="GQ129" s="438">
        <v>5959918</v>
      </c>
      <c r="GR129" s="438">
        <v>0</v>
      </c>
      <c r="GS129" s="438">
        <v>0</v>
      </c>
      <c r="GT129" s="438">
        <v>0</v>
      </c>
      <c r="HB129" s="438">
        <v>0</v>
      </c>
      <c r="HC129" s="437">
        <v>6.0754000000000002E-2</v>
      </c>
      <c r="HD129" s="438">
        <v>0</v>
      </c>
    </row>
    <row r="130" spans="1:212" x14ac:dyDescent="0.2">
      <c r="A130" s="438">
        <v>25836</v>
      </c>
      <c r="B130" s="442">
        <v>101871</v>
      </c>
      <c r="C130" s="438">
        <v>9</v>
      </c>
      <c r="D130" s="438">
        <v>2020</v>
      </c>
      <c r="E130" s="438">
        <v>5392</v>
      </c>
      <c r="F130" s="438">
        <v>0</v>
      </c>
      <c r="G130" s="438">
        <v>157.76499999999999</v>
      </c>
      <c r="H130" s="438">
        <v>157.648</v>
      </c>
      <c r="I130" s="438">
        <v>157.648</v>
      </c>
      <c r="J130" s="438">
        <v>157.76499999999999</v>
      </c>
      <c r="K130" s="438">
        <v>0</v>
      </c>
      <c r="L130" s="437">
        <v>6544</v>
      </c>
      <c r="M130" s="438">
        <v>0</v>
      </c>
      <c r="N130" s="438">
        <v>0</v>
      </c>
      <c r="P130" s="438">
        <v>159.44800000000001</v>
      </c>
      <c r="Q130" s="438">
        <v>0</v>
      </c>
      <c r="R130" s="438">
        <v>39477</v>
      </c>
      <c r="S130" s="437">
        <v>247.58699999999999</v>
      </c>
      <c r="U130" s="438">
        <v>0</v>
      </c>
      <c r="V130" s="438">
        <v>8.7360000000000007</v>
      </c>
      <c r="W130" s="438">
        <v>5717</v>
      </c>
      <c r="X130" s="438">
        <v>5717</v>
      </c>
      <c r="Z130" s="438">
        <v>0</v>
      </c>
      <c r="AA130" s="438">
        <v>1</v>
      </c>
      <c r="AB130" s="438">
        <v>1</v>
      </c>
      <c r="AC130" s="438">
        <v>0</v>
      </c>
      <c r="AD130" s="438" t="s">
        <v>332</v>
      </c>
      <c r="AE130" s="438">
        <v>0</v>
      </c>
      <c r="AH130" s="438">
        <v>0</v>
      </c>
      <c r="AI130" s="438">
        <v>0</v>
      </c>
      <c r="AJ130" s="437">
        <v>5105</v>
      </c>
      <c r="AK130" s="438" t="s">
        <v>561</v>
      </c>
      <c r="AL130" s="438" t="s">
        <v>409</v>
      </c>
      <c r="AM130" s="438">
        <v>0</v>
      </c>
      <c r="AN130" s="438">
        <v>0</v>
      </c>
      <c r="AO130" s="438">
        <v>0</v>
      </c>
      <c r="AP130" s="438">
        <v>0</v>
      </c>
      <c r="AQ130" s="438">
        <v>0</v>
      </c>
      <c r="AR130" s="438">
        <v>0</v>
      </c>
      <c r="AS130" s="438">
        <v>0</v>
      </c>
      <c r="AT130" s="438">
        <v>0</v>
      </c>
      <c r="AU130" s="438">
        <v>0</v>
      </c>
      <c r="AV130" s="438">
        <v>0</v>
      </c>
      <c r="AW130" s="438">
        <v>1550382</v>
      </c>
      <c r="AX130" s="438">
        <v>1550382</v>
      </c>
      <c r="AY130" s="438">
        <v>0</v>
      </c>
      <c r="AZ130" s="438">
        <v>39477</v>
      </c>
      <c r="BA130" s="438">
        <v>0</v>
      </c>
      <c r="BB130" s="438">
        <v>0</v>
      </c>
      <c r="BC130" s="438">
        <v>0</v>
      </c>
      <c r="BD130" s="438">
        <v>0</v>
      </c>
      <c r="BE130" s="438">
        <v>0</v>
      </c>
      <c r="BF130" s="438">
        <v>1320524</v>
      </c>
      <c r="BG130" s="438">
        <v>0</v>
      </c>
      <c r="BH130" s="438">
        <v>0</v>
      </c>
      <c r="BI130" s="438">
        <v>0</v>
      </c>
      <c r="BJ130" s="438">
        <v>12</v>
      </c>
      <c r="BK130" s="438">
        <v>0</v>
      </c>
      <c r="BL130" s="438">
        <v>0</v>
      </c>
      <c r="BM130" s="438">
        <v>0</v>
      </c>
      <c r="BN130" s="438">
        <v>0</v>
      </c>
      <c r="BO130" s="438">
        <v>0</v>
      </c>
      <c r="BP130" s="438">
        <v>0</v>
      </c>
      <c r="BQ130" s="437">
        <v>5392</v>
      </c>
      <c r="BR130" s="438">
        <v>1</v>
      </c>
      <c r="BS130" s="438">
        <v>0</v>
      </c>
      <c r="BT130" s="438">
        <v>0</v>
      </c>
      <c r="BU130" s="438">
        <v>0</v>
      </c>
      <c r="BV130" s="438">
        <v>0</v>
      </c>
      <c r="BW130" s="438">
        <v>0</v>
      </c>
      <c r="BX130" s="438">
        <v>0</v>
      </c>
      <c r="BY130" s="438">
        <v>0</v>
      </c>
      <c r="BZ130" s="438">
        <v>0</v>
      </c>
      <c r="CA130" s="438">
        <v>0</v>
      </c>
      <c r="CB130" s="438">
        <v>0</v>
      </c>
      <c r="CC130" s="438">
        <v>0</v>
      </c>
      <c r="CG130" s="438">
        <v>0</v>
      </c>
      <c r="CH130" s="438">
        <v>0</v>
      </c>
      <c r="CI130" s="438">
        <v>0</v>
      </c>
      <c r="CJ130" s="438">
        <v>5</v>
      </c>
      <c r="CK130" s="438">
        <v>0</v>
      </c>
      <c r="CL130" s="438">
        <v>0</v>
      </c>
      <c r="CN130" s="438">
        <v>0</v>
      </c>
      <c r="CO130" s="438">
        <v>1</v>
      </c>
      <c r="CP130" s="438">
        <v>0</v>
      </c>
      <c r="CQ130" s="438">
        <v>0</v>
      </c>
      <c r="CR130" s="438">
        <v>157.76499999999999</v>
      </c>
      <c r="CS130" s="438">
        <v>0</v>
      </c>
      <c r="CT130" s="438">
        <v>0</v>
      </c>
      <c r="CU130" s="438">
        <v>0</v>
      </c>
      <c r="CV130" s="438">
        <v>0</v>
      </c>
      <c r="CW130" s="438">
        <v>0</v>
      </c>
      <c r="CX130" s="438">
        <v>0</v>
      </c>
      <c r="CY130" s="438">
        <v>0</v>
      </c>
      <c r="CZ130" s="438">
        <v>0</v>
      </c>
      <c r="DA130" s="438">
        <v>1</v>
      </c>
      <c r="DB130" s="438">
        <v>1031649</v>
      </c>
      <c r="DC130" s="438">
        <v>0</v>
      </c>
      <c r="DD130" s="438">
        <v>0</v>
      </c>
      <c r="DE130" s="438">
        <v>135238</v>
      </c>
      <c r="DF130" s="438">
        <v>135238</v>
      </c>
      <c r="DG130" s="438">
        <v>103.33</v>
      </c>
      <c r="DH130" s="438">
        <v>0</v>
      </c>
      <c r="DI130" s="438">
        <v>0</v>
      </c>
      <c r="DK130" s="437">
        <v>5392</v>
      </c>
      <c r="DL130" s="438">
        <v>0</v>
      </c>
      <c r="DM130" s="438">
        <v>184076</v>
      </c>
      <c r="DN130" s="438">
        <v>0</v>
      </c>
      <c r="DO130" s="438">
        <v>0</v>
      </c>
      <c r="DP130" s="438">
        <v>0</v>
      </c>
      <c r="DQ130" s="438">
        <v>0</v>
      </c>
      <c r="DR130" s="438">
        <v>0</v>
      </c>
      <c r="DS130" s="438">
        <v>0</v>
      </c>
      <c r="DT130" s="438">
        <v>0</v>
      </c>
      <c r="DU130" s="438">
        <v>0</v>
      </c>
      <c r="DV130" s="438">
        <v>0</v>
      </c>
      <c r="DW130" s="438">
        <v>0</v>
      </c>
      <c r="DX130" s="438">
        <v>0</v>
      </c>
      <c r="DY130" s="438">
        <v>0</v>
      </c>
      <c r="DZ130" s="438">
        <v>0</v>
      </c>
      <c r="EA130" s="438">
        <v>0</v>
      </c>
      <c r="EB130" s="438">
        <v>0</v>
      </c>
      <c r="EC130" s="438">
        <v>25.04</v>
      </c>
      <c r="ED130" s="438">
        <v>180248</v>
      </c>
      <c r="EE130" s="438">
        <v>0</v>
      </c>
      <c r="EF130" s="438">
        <v>0</v>
      </c>
      <c r="EG130" s="438">
        <v>0</v>
      </c>
      <c r="EH130" s="438">
        <v>3828</v>
      </c>
      <c r="EI130" s="438">
        <v>0</v>
      </c>
      <c r="EJ130" s="438">
        <v>0</v>
      </c>
      <c r="EK130" s="438">
        <v>0</v>
      </c>
      <c r="EL130" s="438">
        <v>0</v>
      </c>
      <c r="EM130" s="438">
        <v>0</v>
      </c>
      <c r="EN130" s="438">
        <v>0.11700000000000001</v>
      </c>
      <c r="EO130" s="438">
        <v>0</v>
      </c>
      <c r="EP130" s="438">
        <v>0</v>
      </c>
      <c r="EQ130" s="438">
        <v>0.11700000000000001</v>
      </c>
      <c r="ER130" s="438">
        <v>0</v>
      </c>
      <c r="ES130" s="438">
        <v>0.58499999999999996</v>
      </c>
      <c r="ET130" s="438">
        <v>0</v>
      </c>
      <c r="EU130" s="438">
        <v>39477</v>
      </c>
      <c r="EV130" s="438">
        <v>0</v>
      </c>
      <c r="EW130" s="438">
        <v>0</v>
      </c>
      <c r="EX130" s="438">
        <v>0</v>
      </c>
      <c r="EZ130" s="438">
        <v>1317203</v>
      </c>
      <c r="FA130" s="438">
        <v>0</v>
      </c>
      <c r="FB130" s="438">
        <v>1356680</v>
      </c>
      <c r="FC130" s="438">
        <v>0.97334900000000002</v>
      </c>
      <c r="FD130" s="438">
        <v>0</v>
      </c>
      <c r="FE130" s="438">
        <v>189897</v>
      </c>
      <c r="FF130" s="438">
        <v>43282</v>
      </c>
      <c r="FG130" s="437">
        <v>5.7854999999999997E-2</v>
      </c>
      <c r="FH130" s="437">
        <v>5.2366000000000003E-2</v>
      </c>
      <c r="FI130" s="438">
        <v>0</v>
      </c>
      <c r="FJ130" s="438">
        <v>0</v>
      </c>
      <c r="FK130" s="438">
        <v>258.69299999999998</v>
      </c>
      <c r="FL130" s="438">
        <v>1589859</v>
      </c>
      <c r="FM130" s="438">
        <v>0</v>
      </c>
      <c r="FN130" s="438">
        <v>0</v>
      </c>
      <c r="FO130" s="438">
        <v>0</v>
      </c>
      <c r="FP130" s="438">
        <v>0</v>
      </c>
      <c r="FQ130" s="438">
        <v>0</v>
      </c>
      <c r="FR130" s="438">
        <v>0</v>
      </c>
      <c r="FS130" s="438">
        <v>0</v>
      </c>
      <c r="FT130" s="438">
        <v>0</v>
      </c>
      <c r="FU130" s="438">
        <v>0</v>
      </c>
      <c r="FV130" s="438">
        <v>0</v>
      </c>
      <c r="FW130" s="438">
        <v>0</v>
      </c>
      <c r="FX130" s="438">
        <v>0</v>
      </c>
      <c r="FY130" s="438">
        <v>0</v>
      </c>
      <c r="FZ130" s="438">
        <v>0</v>
      </c>
      <c r="GA130" s="438">
        <v>0</v>
      </c>
      <c r="GB130" s="438">
        <v>0</v>
      </c>
      <c r="GC130" s="438">
        <v>0</v>
      </c>
      <c r="GD130" s="438">
        <v>0</v>
      </c>
      <c r="GF130" s="438">
        <v>0</v>
      </c>
      <c r="GG130" s="438">
        <v>0</v>
      </c>
      <c r="GH130" s="438">
        <v>0</v>
      </c>
      <c r="GI130" s="438">
        <v>0</v>
      </c>
      <c r="GJ130" s="438">
        <v>0</v>
      </c>
      <c r="GK130" s="438">
        <v>4604.6369999999997</v>
      </c>
      <c r="GL130" s="438">
        <v>0</v>
      </c>
      <c r="GM130" s="438">
        <v>0</v>
      </c>
      <c r="GN130" s="438">
        <v>0</v>
      </c>
      <c r="GO130" s="438">
        <v>0</v>
      </c>
      <c r="GP130" s="438">
        <v>1589859</v>
      </c>
      <c r="GQ130" s="438">
        <v>1589859</v>
      </c>
      <c r="GR130" s="438">
        <v>0</v>
      </c>
      <c r="GS130" s="438">
        <v>0</v>
      </c>
      <c r="GT130" s="438">
        <v>0</v>
      </c>
      <c r="HB130" s="438">
        <v>0</v>
      </c>
      <c r="HC130" s="437">
        <v>0</v>
      </c>
      <c r="HD130" s="438">
        <v>0</v>
      </c>
    </row>
    <row r="131" spans="1:212" x14ac:dyDescent="0.2">
      <c r="A131" s="438">
        <v>25836</v>
      </c>
      <c r="B131" s="442">
        <v>101872</v>
      </c>
      <c r="C131" s="438">
        <v>9</v>
      </c>
      <c r="D131" s="438">
        <v>2020</v>
      </c>
      <c r="E131" s="438">
        <v>5392</v>
      </c>
      <c r="F131" s="438">
        <v>0</v>
      </c>
      <c r="G131" s="438">
        <v>63.466999999999999</v>
      </c>
      <c r="H131" s="438">
        <v>63.293999999999997</v>
      </c>
      <c r="I131" s="438">
        <v>63.293999999999997</v>
      </c>
      <c r="J131" s="438">
        <v>63.466999999999999</v>
      </c>
      <c r="K131" s="438">
        <v>0</v>
      </c>
      <c r="L131" s="437">
        <v>6544</v>
      </c>
      <c r="M131" s="438">
        <v>0</v>
      </c>
      <c r="N131" s="438">
        <v>0</v>
      </c>
      <c r="P131" s="438">
        <v>62.713000000000001</v>
      </c>
      <c r="Q131" s="438">
        <v>0</v>
      </c>
      <c r="R131" s="438">
        <v>15527</v>
      </c>
      <c r="S131" s="437">
        <v>247.58699999999999</v>
      </c>
      <c r="U131" s="438">
        <v>0</v>
      </c>
      <c r="V131" s="438">
        <v>26.727</v>
      </c>
      <c r="W131" s="438">
        <v>17490</v>
      </c>
      <c r="X131" s="438">
        <v>17490</v>
      </c>
      <c r="Z131" s="438">
        <v>0</v>
      </c>
      <c r="AA131" s="438">
        <v>1</v>
      </c>
      <c r="AB131" s="438">
        <v>1</v>
      </c>
      <c r="AC131" s="438">
        <v>0</v>
      </c>
      <c r="AD131" s="438" t="s">
        <v>332</v>
      </c>
      <c r="AE131" s="438">
        <v>0</v>
      </c>
      <c r="AH131" s="438">
        <v>0</v>
      </c>
      <c r="AI131" s="438">
        <v>0</v>
      </c>
      <c r="AJ131" s="437">
        <v>5105</v>
      </c>
      <c r="AK131" s="438" t="s">
        <v>561</v>
      </c>
      <c r="AL131" s="438" t="s">
        <v>547</v>
      </c>
      <c r="AM131" s="438">
        <v>0</v>
      </c>
      <c r="AN131" s="438">
        <v>0</v>
      </c>
      <c r="AO131" s="438">
        <v>0</v>
      </c>
      <c r="AP131" s="438">
        <v>0</v>
      </c>
      <c r="AQ131" s="438">
        <v>0</v>
      </c>
      <c r="AR131" s="438">
        <v>0</v>
      </c>
      <c r="AS131" s="438">
        <v>0</v>
      </c>
      <c r="AT131" s="438">
        <v>0</v>
      </c>
      <c r="AU131" s="438">
        <v>0</v>
      </c>
      <c r="AV131" s="438">
        <v>0</v>
      </c>
      <c r="AW131" s="438">
        <v>518623</v>
      </c>
      <c r="AX131" s="438">
        <v>518623</v>
      </c>
      <c r="AY131" s="438">
        <v>0</v>
      </c>
      <c r="AZ131" s="438">
        <v>15527</v>
      </c>
      <c r="BA131" s="438">
        <v>0</v>
      </c>
      <c r="BB131" s="438">
        <v>0</v>
      </c>
      <c r="BC131" s="438">
        <v>0</v>
      </c>
      <c r="BD131" s="438">
        <v>0</v>
      </c>
      <c r="BE131" s="438">
        <v>0</v>
      </c>
      <c r="BF131" s="438">
        <v>436978</v>
      </c>
      <c r="BG131" s="438">
        <v>0</v>
      </c>
      <c r="BH131" s="438">
        <v>0</v>
      </c>
      <c r="BI131" s="438">
        <v>0</v>
      </c>
      <c r="BJ131" s="438">
        <v>12</v>
      </c>
      <c r="BK131" s="438">
        <v>0</v>
      </c>
      <c r="BL131" s="438">
        <v>0</v>
      </c>
      <c r="BM131" s="438">
        <v>0</v>
      </c>
      <c r="BN131" s="438">
        <v>0</v>
      </c>
      <c r="BO131" s="438">
        <v>0</v>
      </c>
      <c r="BP131" s="438">
        <v>0</v>
      </c>
      <c r="BQ131" s="437">
        <v>5392</v>
      </c>
      <c r="BR131" s="438">
        <v>1</v>
      </c>
      <c r="BS131" s="438">
        <v>0</v>
      </c>
      <c r="BT131" s="438">
        <v>0</v>
      </c>
      <c r="BU131" s="438">
        <v>0</v>
      </c>
      <c r="BV131" s="438">
        <v>0</v>
      </c>
      <c r="BW131" s="438">
        <v>0</v>
      </c>
      <c r="BX131" s="438">
        <v>0</v>
      </c>
      <c r="BY131" s="438">
        <v>0</v>
      </c>
      <c r="BZ131" s="438">
        <v>0</v>
      </c>
      <c r="CA131" s="438">
        <v>0</v>
      </c>
      <c r="CB131" s="438">
        <v>0</v>
      </c>
      <c r="CC131" s="438">
        <v>0</v>
      </c>
      <c r="CG131" s="438">
        <v>0</v>
      </c>
      <c r="CH131" s="438">
        <v>0</v>
      </c>
      <c r="CI131" s="438">
        <v>0</v>
      </c>
      <c r="CJ131" s="438">
        <v>4</v>
      </c>
      <c r="CK131" s="438">
        <v>0</v>
      </c>
      <c r="CL131" s="438">
        <v>0</v>
      </c>
      <c r="CN131" s="438">
        <v>0</v>
      </c>
      <c r="CO131" s="438">
        <v>1</v>
      </c>
      <c r="CP131" s="438">
        <v>0</v>
      </c>
      <c r="CQ131" s="438">
        <v>0</v>
      </c>
      <c r="CR131" s="438">
        <v>63.466999999999999</v>
      </c>
      <c r="CS131" s="438">
        <v>0</v>
      </c>
      <c r="CT131" s="438">
        <v>0</v>
      </c>
      <c r="CU131" s="438">
        <v>0</v>
      </c>
      <c r="CV131" s="438">
        <v>0</v>
      </c>
      <c r="CW131" s="438">
        <v>0</v>
      </c>
      <c r="CX131" s="438">
        <v>0</v>
      </c>
      <c r="CY131" s="438">
        <v>0</v>
      </c>
      <c r="CZ131" s="438">
        <v>0</v>
      </c>
      <c r="DA131" s="438">
        <v>1</v>
      </c>
      <c r="DB131" s="438">
        <v>414196</v>
      </c>
      <c r="DC131" s="438">
        <v>0</v>
      </c>
      <c r="DD131" s="438">
        <v>0</v>
      </c>
      <c r="DE131" s="438">
        <v>0</v>
      </c>
      <c r="DF131" s="438">
        <v>0</v>
      </c>
      <c r="DG131" s="438">
        <v>0</v>
      </c>
      <c r="DH131" s="438">
        <v>0</v>
      </c>
      <c r="DI131" s="438">
        <v>0</v>
      </c>
      <c r="DK131" s="437">
        <v>5392</v>
      </c>
      <c r="DL131" s="438">
        <v>0</v>
      </c>
      <c r="DM131" s="438">
        <v>17257</v>
      </c>
      <c r="DN131" s="438">
        <v>0</v>
      </c>
      <c r="DO131" s="438">
        <v>0</v>
      </c>
      <c r="DP131" s="438">
        <v>0</v>
      </c>
      <c r="DQ131" s="438">
        <v>0</v>
      </c>
      <c r="DR131" s="438">
        <v>0</v>
      </c>
      <c r="DS131" s="438">
        <v>0</v>
      </c>
      <c r="DT131" s="438">
        <v>0</v>
      </c>
      <c r="DU131" s="438">
        <v>0</v>
      </c>
      <c r="DV131" s="438">
        <v>0</v>
      </c>
      <c r="DW131" s="438">
        <v>0</v>
      </c>
      <c r="DX131" s="438">
        <v>0</v>
      </c>
      <c r="DY131" s="438">
        <v>0</v>
      </c>
      <c r="DZ131" s="438">
        <v>0</v>
      </c>
      <c r="EA131" s="438">
        <v>0</v>
      </c>
      <c r="EB131" s="438">
        <v>0</v>
      </c>
      <c r="EC131" s="438">
        <v>1.9</v>
      </c>
      <c r="ED131" s="438">
        <v>13677</v>
      </c>
      <c r="EE131" s="438">
        <v>0</v>
      </c>
      <c r="EF131" s="438">
        <v>0</v>
      </c>
      <c r="EG131" s="438">
        <v>0</v>
      </c>
      <c r="EH131" s="438">
        <v>3580</v>
      </c>
      <c r="EI131" s="438">
        <v>0</v>
      </c>
      <c r="EJ131" s="438">
        <v>0</v>
      </c>
      <c r="EK131" s="438">
        <v>0.159</v>
      </c>
      <c r="EL131" s="438">
        <v>0</v>
      </c>
      <c r="EM131" s="438">
        <v>0</v>
      </c>
      <c r="EN131" s="438">
        <v>1.4E-2</v>
      </c>
      <c r="EO131" s="438">
        <v>0</v>
      </c>
      <c r="EP131" s="438">
        <v>0</v>
      </c>
      <c r="EQ131" s="438">
        <v>0.17299999999999999</v>
      </c>
      <c r="ER131" s="438">
        <v>0</v>
      </c>
      <c r="ES131" s="438">
        <v>0.54700000000000004</v>
      </c>
      <c r="ET131" s="438">
        <v>0</v>
      </c>
      <c r="EU131" s="438">
        <v>15527</v>
      </c>
      <c r="EV131" s="438">
        <v>0</v>
      </c>
      <c r="EW131" s="438">
        <v>0</v>
      </c>
      <c r="EX131" s="438">
        <v>0</v>
      </c>
      <c r="EZ131" s="438">
        <v>441460</v>
      </c>
      <c r="FA131" s="438">
        <v>0</v>
      </c>
      <c r="FB131" s="438">
        <v>456987</v>
      </c>
      <c r="FC131" s="438">
        <v>0.97334900000000002</v>
      </c>
      <c r="FD131" s="438">
        <v>0</v>
      </c>
      <c r="FE131" s="438">
        <v>62840</v>
      </c>
      <c r="FF131" s="438">
        <v>14323</v>
      </c>
      <c r="FG131" s="437">
        <v>5.7854999999999997E-2</v>
      </c>
      <c r="FH131" s="437">
        <v>5.2366000000000003E-2</v>
      </c>
      <c r="FI131" s="438">
        <v>0</v>
      </c>
      <c r="FJ131" s="438">
        <v>0</v>
      </c>
      <c r="FK131" s="438">
        <v>85.605000000000004</v>
      </c>
      <c r="FL131" s="438">
        <v>534150</v>
      </c>
      <c r="FM131" s="438">
        <v>0</v>
      </c>
      <c r="FN131" s="438">
        <v>0</v>
      </c>
      <c r="FO131" s="438">
        <v>8044</v>
      </c>
      <c r="FP131" s="438">
        <v>0</v>
      </c>
      <c r="FQ131" s="438">
        <v>8044</v>
      </c>
      <c r="FR131" s="438">
        <v>8044</v>
      </c>
      <c r="FS131" s="438">
        <v>0</v>
      </c>
      <c r="FT131" s="438">
        <v>0</v>
      </c>
      <c r="FU131" s="438">
        <v>0</v>
      </c>
      <c r="FV131" s="438">
        <v>0</v>
      </c>
      <c r="FW131" s="438">
        <v>0</v>
      </c>
      <c r="FX131" s="438">
        <v>0</v>
      </c>
      <c r="FY131" s="438">
        <v>0</v>
      </c>
      <c r="FZ131" s="438">
        <v>0</v>
      </c>
      <c r="GA131" s="438">
        <v>0</v>
      </c>
      <c r="GB131" s="438">
        <v>0</v>
      </c>
      <c r="GC131" s="438">
        <v>0</v>
      </c>
      <c r="GD131" s="438">
        <v>0</v>
      </c>
      <c r="GF131" s="438">
        <v>0</v>
      </c>
      <c r="GG131" s="438">
        <v>0</v>
      </c>
      <c r="GH131" s="438">
        <v>0</v>
      </c>
      <c r="GI131" s="438">
        <v>0</v>
      </c>
      <c r="GJ131" s="438">
        <v>0</v>
      </c>
      <c r="GK131" s="438">
        <v>4604.6369999999997</v>
      </c>
      <c r="GL131" s="438">
        <v>0</v>
      </c>
      <c r="GM131" s="438">
        <v>0</v>
      </c>
      <c r="GN131" s="438">
        <v>0</v>
      </c>
      <c r="GO131" s="438">
        <v>0</v>
      </c>
      <c r="GP131" s="438">
        <v>534150</v>
      </c>
      <c r="GQ131" s="438">
        <v>534150</v>
      </c>
      <c r="GR131" s="438">
        <v>0</v>
      </c>
      <c r="GS131" s="438">
        <v>0</v>
      </c>
      <c r="GT131" s="438">
        <v>0</v>
      </c>
      <c r="HB131" s="438">
        <v>0</v>
      </c>
      <c r="HC131" s="437">
        <v>0</v>
      </c>
      <c r="HD131" s="438">
        <v>0</v>
      </c>
    </row>
    <row r="132" spans="1:212" x14ac:dyDescent="0.2">
      <c r="A132" s="438">
        <v>25836</v>
      </c>
      <c r="B132" s="442">
        <v>101873</v>
      </c>
      <c r="C132" s="438">
        <v>9</v>
      </c>
      <c r="D132" s="438">
        <v>2020</v>
      </c>
      <c r="E132" s="438">
        <v>5392</v>
      </c>
      <c r="F132" s="438">
        <v>0</v>
      </c>
      <c r="G132" s="438">
        <v>203.77799999999999</v>
      </c>
      <c r="H132" s="438">
        <v>202.74</v>
      </c>
      <c r="I132" s="438">
        <v>202.74</v>
      </c>
      <c r="J132" s="438">
        <v>203.77799999999999</v>
      </c>
      <c r="K132" s="438">
        <v>0</v>
      </c>
      <c r="L132" s="437">
        <v>6544</v>
      </c>
      <c r="M132" s="438">
        <v>0</v>
      </c>
      <c r="N132" s="438">
        <v>0</v>
      </c>
      <c r="P132" s="438">
        <v>205.267</v>
      </c>
      <c r="Q132" s="438">
        <v>0</v>
      </c>
      <c r="R132" s="438">
        <v>50821</v>
      </c>
      <c r="S132" s="437">
        <v>247.58699999999999</v>
      </c>
      <c r="U132" s="438">
        <v>0</v>
      </c>
      <c r="V132" s="438">
        <v>0</v>
      </c>
      <c r="W132" s="438">
        <v>0</v>
      </c>
      <c r="X132" s="438">
        <v>0</v>
      </c>
      <c r="Z132" s="438">
        <v>0</v>
      </c>
      <c r="AA132" s="438">
        <v>1</v>
      </c>
      <c r="AB132" s="438">
        <v>1</v>
      </c>
      <c r="AC132" s="438">
        <v>0</v>
      </c>
      <c r="AD132" s="438" t="s">
        <v>332</v>
      </c>
      <c r="AE132" s="438">
        <v>0</v>
      </c>
      <c r="AH132" s="438">
        <v>0</v>
      </c>
      <c r="AI132" s="438">
        <v>0</v>
      </c>
      <c r="AJ132" s="437">
        <v>5105</v>
      </c>
      <c r="AK132" s="438" t="s">
        <v>561</v>
      </c>
      <c r="AL132" s="438" t="s">
        <v>556</v>
      </c>
      <c r="AM132" s="438">
        <v>0</v>
      </c>
      <c r="AN132" s="438">
        <v>0</v>
      </c>
      <c r="AO132" s="438">
        <v>0</v>
      </c>
      <c r="AP132" s="438">
        <v>0</v>
      </c>
      <c r="AQ132" s="438">
        <v>0</v>
      </c>
      <c r="AR132" s="438">
        <v>0</v>
      </c>
      <c r="AS132" s="438">
        <v>0</v>
      </c>
      <c r="AT132" s="438">
        <v>0</v>
      </c>
      <c r="AU132" s="438">
        <v>0</v>
      </c>
      <c r="AV132" s="438">
        <v>0</v>
      </c>
      <c r="AW132" s="438">
        <v>1634880</v>
      </c>
      <c r="AX132" s="438">
        <v>1634880</v>
      </c>
      <c r="AY132" s="438">
        <v>0</v>
      </c>
      <c r="AZ132" s="438">
        <v>50821</v>
      </c>
      <c r="BA132" s="438">
        <v>0</v>
      </c>
      <c r="BB132" s="438">
        <v>0</v>
      </c>
      <c r="BC132" s="438">
        <v>0</v>
      </c>
      <c r="BD132" s="438">
        <v>0</v>
      </c>
      <c r="BE132" s="438">
        <v>0</v>
      </c>
      <c r="BF132" s="438">
        <v>1363692</v>
      </c>
      <c r="BG132" s="438">
        <v>0</v>
      </c>
      <c r="BH132" s="438">
        <v>0</v>
      </c>
      <c r="BI132" s="438">
        <v>0</v>
      </c>
      <c r="BJ132" s="438">
        <v>12</v>
      </c>
      <c r="BK132" s="438">
        <v>0</v>
      </c>
      <c r="BL132" s="438">
        <v>0</v>
      </c>
      <c r="BM132" s="438">
        <v>0</v>
      </c>
      <c r="BN132" s="438">
        <v>0</v>
      </c>
      <c r="BO132" s="438">
        <v>0</v>
      </c>
      <c r="BP132" s="438">
        <v>0</v>
      </c>
      <c r="BQ132" s="437">
        <v>5392</v>
      </c>
      <c r="BR132" s="438">
        <v>1</v>
      </c>
      <c r="BS132" s="438">
        <v>0</v>
      </c>
      <c r="BT132" s="438">
        <v>0</v>
      </c>
      <c r="BU132" s="438">
        <v>0</v>
      </c>
      <c r="BV132" s="438">
        <v>0</v>
      </c>
      <c r="BW132" s="438">
        <v>0</v>
      </c>
      <c r="BX132" s="438">
        <v>0</v>
      </c>
      <c r="BY132" s="438">
        <v>0</v>
      </c>
      <c r="BZ132" s="438">
        <v>0</v>
      </c>
      <c r="CA132" s="438">
        <v>0</v>
      </c>
      <c r="CB132" s="438">
        <v>0</v>
      </c>
      <c r="CC132" s="438">
        <v>0</v>
      </c>
      <c r="CG132" s="438">
        <v>0</v>
      </c>
      <c r="CH132" s="438">
        <v>0</v>
      </c>
      <c r="CI132" s="438">
        <v>0</v>
      </c>
      <c r="CJ132" s="438">
        <v>4</v>
      </c>
      <c r="CK132" s="438">
        <v>0</v>
      </c>
      <c r="CL132" s="438">
        <v>0</v>
      </c>
      <c r="CN132" s="438">
        <v>0</v>
      </c>
      <c r="CO132" s="438">
        <v>1</v>
      </c>
      <c r="CP132" s="438">
        <v>0</v>
      </c>
      <c r="CQ132" s="438">
        <v>0</v>
      </c>
      <c r="CR132" s="438">
        <v>203.77799999999999</v>
      </c>
      <c r="CS132" s="438">
        <v>0</v>
      </c>
      <c r="CT132" s="438">
        <v>0</v>
      </c>
      <c r="CU132" s="438">
        <v>0</v>
      </c>
      <c r="CV132" s="438">
        <v>0</v>
      </c>
      <c r="CW132" s="438">
        <v>0</v>
      </c>
      <c r="CX132" s="438">
        <v>0</v>
      </c>
      <c r="CY132" s="438">
        <v>0</v>
      </c>
      <c r="CZ132" s="438">
        <v>0</v>
      </c>
      <c r="DA132" s="438">
        <v>1</v>
      </c>
      <c r="DB132" s="438">
        <v>1326731</v>
      </c>
      <c r="DC132" s="438">
        <v>0</v>
      </c>
      <c r="DD132" s="438">
        <v>0</v>
      </c>
      <c r="DE132" s="438">
        <v>0</v>
      </c>
      <c r="DF132" s="438">
        <v>0</v>
      </c>
      <c r="DG132" s="438">
        <v>0</v>
      </c>
      <c r="DH132" s="438">
        <v>0</v>
      </c>
      <c r="DI132" s="438">
        <v>0</v>
      </c>
      <c r="DK132" s="437">
        <v>5392</v>
      </c>
      <c r="DL132" s="438">
        <v>0</v>
      </c>
      <c r="DM132" s="438">
        <v>74299</v>
      </c>
      <c r="DN132" s="438">
        <v>0</v>
      </c>
      <c r="DO132" s="438">
        <v>0</v>
      </c>
      <c r="DP132" s="438">
        <v>0</v>
      </c>
      <c r="DQ132" s="438">
        <v>0</v>
      </c>
      <c r="DR132" s="438">
        <v>0</v>
      </c>
      <c r="DS132" s="438">
        <v>0</v>
      </c>
      <c r="DT132" s="438">
        <v>0</v>
      </c>
      <c r="DU132" s="438">
        <v>0</v>
      </c>
      <c r="DV132" s="438">
        <v>0</v>
      </c>
      <c r="DW132" s="438">
        <v>0</v>
      </c>
      <c r="DX132" s="438">
        <v>0</v>
      </c>
      <c r="DY132" s="438">
        <v>0</v>
      </c>
      <c r="DZ132" s="438">
        <v>0</v>
      </c>
      <c r="EA132" s="438">
        <v>0</v>
      </c>
      <c r="EB132" s="438">
        <v>0</v>
      </c>
      <c r="EC132" s="438">
        <v>7.298</v>
      </c>
      <c r="ED132" s="438">
        <v>52534</v>
      </c>
      <c r="EE132" s="438">
        <v>0</v>
      </c>
      <c r="EF132" s="438">
        <v>0</v>
      </c>
      <c r="EG132" s="438">
        <v>0</v>
      </c>
      <c r="EH132" s="438">
        <v>21765</v>
      </c>
      <c r="EI132" s="438">
        <v>0</v>
      </c>
      <c r="EJ132" s="438">
        <v>0</v>
      </c>
      <c r="EK132" s="438">
        <v>0.60599999999999998</v>
      </c>
      <c r="EL132" s="438">
        <v>0</v>
      </c>
      <c r="EM132" s="438">
        <v>0.32600000000000001</v>
      </c>
      <c r="EN132" s="438">
        <v>0.106</v>
      </c>
      <c r="EO132" s="438">
        <v>0</v>
      </c>
      <c r="EP132" s="438">
        <v>0</v>
      </c>
      <c r="EQ132" s="438">
        <v>1.038</v>
      </c>
      <c r="ER132" s="438">
        <v>0</v>
      </c>
      <c r="ES132" s="438">
        <v>3.3260000000000001</v>
      </c>
      <c r="ET132" s="438">
        <v>0</v>
      </c>
      <c r="EU132" s="438">
        <v>50821</v>
      </c>
      <c r="EV132" s="438">
        <v>0</v>
      </c>
      <c r="EW132" s="438">
        <v>0</v>
      </c>
      <c r="EX132" s="438">
        <v>0</v>
      </c>
      <c r="EZ132" s="438">
        <v>1394078</v>
      </c>
      <c r="FA132" s="438">
        <v>0</v>
      </c>
      <c r="FB132" s="438">
        <v>1444899</v>
      </c>
      <c r="FC132" s="438">
        <v>0.97334900000000002</v>
      </c>
      <c r="FD132" s="438">
        <v>0</v>
      </c>
      <c r="FE132" s="438">
        <v>196105</v>
      </c>
      <c r="FF132" s="438">
        <v>44697</v>
      </c>
      <c r="FG132" s="437">
        <v>5.7854999999999997E-2</v>
      </c>
      <c r="FH132" s="437">
        <v>5.2366000000000003E-2</v>
      </c>
      <c r="FI132" s="438">
        <v>0</v>
      </c>
      <c r="FJ132" s="438">
        <v>0</v>
      </c>
      <c r="FK132" s="438">
        <v>267.14999999999998</v>
      </c>
      <c r="FL132" s="438">
        <v>1685701</v>
      </c>
      <c r="FM132" s="438">
        <v>0</v>
      </c>
      <c r="FN132" s="438">
        <v>0</v>
      </c>
      <c r="FO132" s="438">
        <v>43869</v>
      </c>
      <c r="FP132" s="438">
        <v>0</v>
      </c>
      <c r="FQ132" s="438">
        <v>43869</v>
      </c>
      <c r="FR132" s="438">
        <v>43869</v>
      </c>
      <c r="FS132" s="438">
        <v>0</v>
      </c>
      <c r="FT132" s="438">
        <v>0</v>
      </c>
      <c r="FU132" s="438">
        <v>0</v>
      </c>
      <c r="FV132" s="438">
        <v>0</v>
      </c>
      <c r="FW132" s="438">
        <v>0</v>
      </c>
      <c r="FX132" s="438">
        <v>0</v>
      </c>
      <c r="FY132" s="438">
        <v>0</v>
      </c>
      <c r="FZ132" s="438">
        <v>0</v>
      </c>
      <c r="GA132" s="438">
        <v>0</v>
      </c>
      <c r="GB132" s="438">
        <v>0</v>
      </c>
      <c r="GC132" s="438">
        <v>0</v>
      </c>
      <c r="GD132" s="438">
        <v>0</v>
      </c>
      <c r="GF132" s="438">
        <v>0</v>
      </c>
      <c r="GG132" s="438">
        <v>0</v>
      </c>
      <c r="GH132" s="438">
        <v>0</v>
      </c>
      <c r="GI132" s="438">
        <v>0</v>
      </c>
      <c r="GJ132" s="438">
        <v>0</v>
      </c>
      <c r="GK132" s="438">
        <v>4604.6369999999997</v>
      </c>
      <c r="GL132" s="438">
        <v>0</v>
      </c>
      <c r="GM132" s="438">
        <v>0</v>
      </c>
      <c r="GN132" s="438">
        <v>0</v>
      </c>
      <c r="GO132" s="438">
        <v>0</v>
      </c>
      <c r="GP132" s="438">
        <v>1685701</v>
      </c>
      <c r="GQ132" s="438">
        <v>1685701</v>
      </c>
      <c r="GR132" s="438">
        <v>0</v>
      </c>
      <c r="GS132" s="438">
        <v>0</v>
      </c>
      <c r="GT132" s="438">
        <v>0</v>
      </c>
      <c r="HB132" s="438">
        <v>0</v>
      </c>
      <c r="HC132" s="437">
        <v>0</v>
      </c>
      <c r="HD132" s="438">
        <v>0</v>
      </c>
    </row>
    <row r="133" spans="1:212" x14ac:dyDescent="0.2">
      <c r="A133" s="438">
        <v>25836</v>
      </c>
      <c r="B133" s="442">
        <v>101874</v>
      </c>
      <c r="C133" s="438">
        <v>9</v>
      </c>
      <c r="D133" s="438">
        <v>2020</v>
      </c>
      <c r="E133" s="438">
        <v>5392</v>
      </c>
      <c r="F133" s="438">
        <v>0</v>
      </c>
      <c r="G133" s="438">
        <v>356.99</v>
      </c>
      <c r="H133" s="438">
        <v>326.27800000000002</v>
      </c>
      <c r="I133" s="438">
        <v>326.27800000000002</v>
      </c>
      <c r="J133" s="438">
        <v>356.99</v>
      </c>
      <c r="K133" s="438">
        <v>0</v>
      </c>
      <c r="L133" s="437">
        <v>6544</v>
      </c>
      <c r="M133" s="438">
        <v>0</v>
      </c>
      <c r="N133" s="438">
        <v>0</v>
      </c>
      <c r="P133" s="438">
        <v>363.29700000000003</v>
      </c>
      <c r="Q133" s="438">
        <v>0</v>
      </c>
      <c r="R133" s="438">
        <v>89948</v>
      </c>
      <c r="S133" s="437">
        <v>247.58699999999999</v>
      </c>
      <c r="U133" s="438">
        <v>0</v>
      </c>
      <c r="V133" s="438">
        <v>3.7040000000000002</v>
      </c>
      <c r="W133" s="438">
        <v>2424</v>
      </c>
      <c r="X133" s="438">
        <v>2424</v>
      </c>
      <c r="Z133" s="438">
        <v>0</v>
      </c>
      <c r="AA133" s="438">
        <v>1</v>
      </c>
      <c r="AB133" s="438">
        <v>1</v>
      </c>
      <c r="AC133" s="438">
        <v>0</v>
      </c>
      <c r="AD133" s="438" t="s">
        <v>332</v>
      </c>
      <c r="AE133" s="438">
        <v>0</v>
      </c>
      <c r="AH133" s="438">
        <v>0</v>
      </c>
      <c r="AI133" s="438">
        <v>0</v>
      </c>
      <c r="AJ133" s="437">
        <v>5105</v>
      </c>
      <c r="AK133" s="438" t="s">
        <v>561</v>
      </c>
      <c r="AL133" s="438" t="s">
        <v>549</v>
      </c>
      <c r="AM133" s="438">
        <v>0</v>
      </c>
      <c r="AN133" s="438">
        <v>0</v>
      </c>
      <c r="AO133" s="438">
        <v>0</v>
      </c>
      <c r="AP133" s="438">
        <v>0</v>
      </c>
      <c r="AQ133" s="438">
        <v>0</v>
      </c>
      <c r="AR133" s="438">
        <v>0</v>
      </c>
      <c r="AS133" s="438">
        <v>0</v>
      </c>
      <c r="AT133" s="438">
        <v>0</v>
      </c>
      <c r="AU133" s="438">
        <v>0</v>
      </c>
      <c r="AV133" s="438">
        <v>0</v>
      </c>
      <c r="AW133" s="438">
        <v>2881177</v>
      </c>
      <c r="AX133" s="438">
        <v>2815864</v>
      </c>
      <c r="AY133" s="438">
        <v>0</v>
      </c>
      <c r="AZ133" s="438">
        <v>155261</v>
      </c>
      <c r="BA133" s="438">
        <v>0</v>
      </c>
      <c r="BB133" s="438">
        <v>0</v>
      </c>
      <c r="BC133" s="438">
        <v>0</v>
      </c>
      <c r="BD133" s="438">
        <v>0</v>
      </c>
      <c r="BE133" s="438">
        <v>0</v>
      </c>
      <c r="BF133" s="438">
        <v>2413543</v>
      </c>
      <c r="BG133" s="438">
        <v>0</v>
      </c>
      <c r="BH133" s="438">
        <v>237.5</v>
      </c>
      <c r="BI133" s="438">
        <v>65313</v>
      </c>
      <c r="BJ133" s="438">
        <v>12</v>
      </c>
      <c r="BK133" s="438">
        <v>0</v>
      </c>
      <c r="BL133" s="438">
        <v>0</v>
      </c>
      <c r="BM133" s="438">
        <v>0</v>
      </c>
      <c r="BN133" s="438">
        <v>0</v>
      </c>
      <c r="BO133" s="438">
        <v>0</v>
      </c>
      <c r="BP133" s="438">
        <v>0</v>
      </c>
      <c r="BQ133" s="437">
        <v>5392</v>
      </c>
      <c r="BR133" s="438">
        <v>1</v>
      </c>
      <c r="BS133" s="438">
        <v>0</v>
      </c>
      <c r="BT133" s="438">
        <v>0</v>
      </c>
      <c r="BU133" s="438">
        <v>0</v>
      </c>
      <c r="BV133" s="438">
        <v>0</v>
      </c>
      <c r="BW133" s="438">
        <v>0</v>
      </c>
      <c r="BX133" s="438">
        <v>0</v>
      </c>
      <c r="BY133" s="438">
        <v>0</v>
      </c>
      <c r="BZ133" s="438">
        <v>0</v>
      </c>
      <c r="CA133" s="438">
        <v>0</v>
      </c>
      <c r="CB133" s="438">
        <v>0</v>
      </c>
      <c r="CC133" s="438">
        <v>0</v>
      </c>
      <c r="CG133" s="438">
        <v>0</v>
      </c>
      <c r="CH133" s="438">
        <v>0</v>
      </c>
      <c r="CI133" s="438">
        <v>0</v>
      </c>
      <c r="CJ133" s="438">
        <v>4</v>
      </c>
      <c r="CK133" s="438">
        <v>0</v>
      </c>
      <c r="CL133" s="438">
        <v>0</v>
      </c>
      <c r="CN133" s="438">
        <v>0</v>
      </c>
      <c r="CO133" s="438">
        <v>1</v>
      </c>
      <c r="CP133" s="438">
        <v>0</v>
      </c>
      <c r="CQ133" s="438">
        <v>0</v>
      </c>
      <c r="CR133" s="438">
        <v>356.99</v>
      </c>
      <c r="CS133" s="438">
        <v>0</v>
      </c>
      <c r="CT133" s="438">
        <v>0</v>
      </c>
      <c r="CU133" s="438">
        <v>0</v>
      </c>
      <c r="CV133" s="438">
        <v>0</v>
      </c>
      <c r="CW133" s="438">
        <v>0</v>
      </c>
      <c r="CX133" s="438">
        <v>0</v>
      </c>
      <c r="CY133" s="438">
        <v>0</v>
      </c>
      <c r="CZ133" s="438">
        <v>0</v>
      </c>
      <c r="DA133" s="438">
        <v>1</v>
      </c>
      <c r="DB133" s="438">
        <v>2135163</v>
      </c>
      <c r="DC133" s="438">
        <v>0</v>
      </c>
      <c r="DD133" s="438">
        <v>0</v>
      </c>
      <c r="DE133" s="438">
        <v>0</v>
      </c>
      <c r="DF133" s="438">
        <v>0</v>
      </c>
      <c r="DG133" s="438">
        <v>0</v>
      </c>
      <c r="DH133" s="438">
        <v>0</v>
      </c>
      <c r="DI133" s="438">
        <v>0</v>
      </c>
      <c r="DK133" s="437">
        <v>5392</v>
      </c>
      <c r="DL133" s="438">
        <v>0</v>
      </c>
      <c r="DM133" s="438">
        <v>70912</v>
      </c>
      <c r="DN133" s="438">
        <v>0</v>
      </c>
      <c r="DO133" s="438">
        <v>0</v>
      </c>
      <c r="DP133" s="438">
        <v>0</v>
      </c>
      <c r="DQ133" s="438">
        <v>0</v>
      </c>
      <c r="DR133" s="438">
        <v>0</v>
      </c>
      <c r="DS133" s="438">
        <v>0</v>
      </c>
      <c r="DT133" s="438">
        <v>0</v>
      </c>
      <c r="DU133" s="438">
        <v>0</v>
      </c>
      <c r="DV133" s="438">
        <v>0</v>
      </c>
      <c r="DW133" s="438">
        <v>0</v>
      </c>
      <c r="DX133" s="438">
        <v>0</v>
      </c>
      <c r="DY133" s="438">
        <v>0</v>
      </c>
      <c r="DZ133" s="438">
        <v>0</v>
      </c>
      <c r="EA133" s="438">
        <v>0</v>
      </c>
      <c r="EB133" s="438">
        <v>0</v>
      </c>
      <c r="EC133" s="438">
        <v>9.7509999999999994</v>
      </c>
      <c r="ED133" s="438">
        <v>70192</v>
      </c>
      <c r="EE133" s="438">
        <v>0</v>
      </c>
      <c r="EF133" s="438">
        <v>0</v>
      </c>
      <c r="EG133" s="438">
        <v>0</v>
      </c>
      <c r="EH133" s="438">
        <v>720</v>
      </c>
      <c r="EI133" s="438">
        <v>0</v>
      </c>
      <c r="EJ133" s="438">
        <v>0</v>
      </c>
      <c r="EK133" s="438">
        <v>0</v>
      </c>
      <c r="EL133" s="438">
        <v>0</v>
      </c>
      <c r="EM133" s="438">
        <v>0</v>
      </c>
      <c r="EN133" s="438">
        <v>2.1999999999999999E-2</v>
      </c>
      <c r="EO133" s="438">
        <v>0</v>
      </c>
      <c r="EP133" s="438">
        <v>0</v>
      </c>
      <c r="EQ133" s="438">
        <v>2.1999999999999999E-2</v>
      </c>
      <c r="ER133" s="438">
        <v>0</v>
      </c>
      <c r="ES133" s="438">
        <v>0.11</v>
      </c>
      <c r="ET133" s="438">
        <v>0</v>
      </c>
      <c r="EU133" s="438">
        <v>155261</v>
      </c>
      <c r="EV133" s="438">
        <v>0</v>
      </c>
      <c r="EW133" s="438">
        <v>0</v>
      </c>
      <c r="EX133" s="438">
        <v>0</v>
      </c>
      <c r="EZ133" s="438">
        <v>2389679</v>
      </c>
      <c r="FA133" s="438">
        <v>0</v>
      </c>
      <c r="FB133" s="438">
        <v>2544940</v>
      </c>
      <c r="FC133" s="438">
        <v>0.97334900000000002</v>
      </c>
      <c r="FD133" s="438">
        <v>0</v>
      </c>
      <c r="FE133" s="438">
        <v>347078</v>
      </c>
      <c r="FF133" s="438">
        <v>79107</v>
      </c>
      <c r="FG133" s="437">
        <v>5.7854999999999997E-2</v>
      </c>
      <c r="FH133" s="437">
        <v>5.2366000000000003E-2</v>
      </c>
      <c r="FI133" s="438">
        <v>0</v>
      </c>
      <c r="FJ133" s="438">
        <v>0</v>
      </c>
      <c r="FK133" s="438">
        <v>472.81700000000001</v>
      </c>
      <c r="FL133" s="438">
        <v>2971125</v>
      </c>
      <c r="FM133" s="438">
        <v>0</v>
      </c>
      <c r="FN133" s="438">
        <v>0</v>
      </c>
      <c r="FO133" s="438">
        <v>0</v>
      </c>
      <c r="FP133" s="438">
        <v>0</v>
      </c>
      <c r="FQ133" s="438">
        <v>0</v>
      </c>
      <c r="FR133" s="438">
        <v>0</v>
      </c>
      <c r="FS133" s="438">
        <v>0</v>
      </c>
      <c r="FT133" s="438">
        <v>0</v>
      </c>
      <c r="FU133" s="438">
        <v>0</v>
      </c>
      <c r="FV133" s="438">
        <v>0</v>
      </c>
      <c r="FW133" s="438">
        <v>0</v>
      </c>
      <c r="FX133" s="438">
        <v>0</v>
      </c>
      <c r="FY133" s="438">
        <v>0</v>
      </c>
      <c r="FZ133" s="438">
        <v>0</v>
      </c>
      <c r="GA133" s="438">
        <v>0</v>
      </c>
      <c r="GB133" s="438">
        <v>271128</v>
      </c>
      <c r="GC133" s="438">
        <v>271128</v>
      </c>
      <c r="GD133" s="438">
        <v>30.69</v>
      </c>
      <c r="GF133" s="438">
        <v>0</v>
      </c>
      <c r="GG133" s="438">
        <v>0</v>
      </c>
      <c r="GH133" s="438">
        <v>0</v>
      </c>
      <c r="GI133" s="438">
        <v>0</v>
      </c>
      <c r="GJ133" s="438">
        <v>0</v>
      </c>
      <c r="GK133" s="438">
        <v>4604.6369999999997</v>
      </c>
      <c r="GL133" s="438">
        <v>0</v>
      </c>
      <c r="GM133" s="438">
        <v>0</v>
      </c>
      <c r="GN133" s="438">
        <v>0</v>
      </c>
      <c r="GO133" s="438">
        <v>0</v>
      </c>
      <c r="GP133" s="438">
        <v>2971125</v>
      </c>
      <c r="GQ133" s="438">
        <v>2971125</v>
      </c>
      <c r="GR133" s="438">
        <v>0</v>
      </c>
      <c r="GS133" s="438">
        <v>0</v>
      </c>
      <c r="GT133" s="438">
        <v>0</v>
      </c>
      <c r="HB133" s="438">
        <v>0</v>
      </c>
      <c r="HC133" s="437">
        <v>0</v>
      </c>
      <c r="HD133" s="438">
        <v>0</v>
      </c>
    </row>
    <row r="134" spans="1:212" x14ac:dyDescent="0.2">
      <c r="A134" s="438">
        <v>25836</v>
      </c>
      <c r="B134" s="442">
        <v>101875</v>
      </c>
      <c r="C134" s="438">
        <v>9</v>
      </c>
      <c r="D134" s="438">
        <v>2020</v>
      </c>
      <c r="E134" s="438">
        <v>5392</v>
      </c>
      <c r="F134" s="438">
        <v>0</v>
      </c>
      <c r="G134" s="438">
        <v>0</v>
      </c>
      <c r="H134" s="438">
        <v>0</v>
      </c>
      <c r="I134" s="438">
        <v>0</v>
      </c>
      <c r="J134" s="438">
        <v>0</v>
      </c>
      <c r="K134" s="438">
        <v>0</v>
      </c>
      <c r="L134" s="437">
        <v>6544</v>
      </c>
      <c r="M134" s="438">
        <v>0</v>
      </c>
      <c r="N134" s="438">
        <v>0</v>
      </c>
      <c r="P134" s="438">
        <v>0</v>
      </c>
      <c r="Q134" s="438">
        <v>0</v>
      </c>
      <c r="R134" s="438">
        <v>0</v>
      </c>
      <c r="S134" s="437">
        <v>247.58699999999999</v>
      </c>
      <c r="U134" s="438">
        <v>0</v>
      </c>
      <c r="V134" s="438">
        <v>0</v>
      </c>
      <c r="W134" s="438">
        <v>0</v>
      </c>
      <c r="X134" s="438">
        <v>0</v>
      </c>
      <c r="Z134" s="438">
        <v>0</v>
      </c>
      <c r="AA134" s="438">
        <v>1</v>
      </c>
      <c r="AB134" s="438">
        <v>1</v>
      </c>
      <c r="AC134" s="438">
        <v>0</v>
      </c>
      <c r="AD134" s="438" t="s">
        <v>332</v>
      </c>
      <c r="AE134" s="438">
        <v>0</v>
      </c>
      <c r="AH134" s="438">
        <v>0</v>
      </c>
      <c r="AI134" s="438">
        <v>0</v>
      </c>
      <c r="AJ134" s="437">
        <v>5105</v>
      </c>
      <c r="AK134" s="438" t="s">
        <v>561</v>
      </c>
      <c r="AL134" s="438" t="s">
        <v>651</v>
      </c>
      <c r="AM134" s="438">
        <v>0</v>
      </c>
      <c r="AN134" s="438">
        <v>0</v>
      </c>
      <c r="AO134" s="438">
        <v>0</v>
      </c>
      <c r="AP134" s="438">
        <v>0</v>
      </c>
      <c r="AQ134" s="438">
        <v>0</v>
      </c>
      <c r="AR134" s="438">
        <v>0</v>
      </c>
      <c r="AS134" s="438">
        <v>0</v>
      </c>
      <c r="AT134" s="438">
        <v>0</v>
      </c>
      <c r="AU134" s="438">
        <v>0</v>
      </c>
      <c r="AV134" s="438">
        <v>0</v>
      </c>
      <c r="AW134" s="438">
        <v>0</v>
      </c>
      <c r="AX134" s="438">
        <v>0</v>
      </c>
      <c r="AY134" s="438">
        <v>0</v>
      </c>
      <c r="AZ134" s="438">
        <v>0</v>
      </c>
      <c r="BA134" s="438">
        <v>0</v>
      </c>
      <c r="BB134" s="438">
        <v>0</v>
      </c>
      <c r="BC134" s="438">
        <v>0</v>
      </c>
      <c r="BD134" s="438">
        <v>0</v>
      </c>
      <c r="BE134" s="438">
        <v>0</v>
      </c>
      <c r="BF134" s="438">
        <v>0</v>
      </c>
      <c r="BG134" s="438">
        <v>0</v>
      </c>
      <c r="BH134" s="438">
        <v>0</v>
      </c>
      <c r="BI134" s="438">
        <v>0</v>
      </c>
      <c r="BJ134" s="438">
        <v>12</v>
      </c>
      <c r="BK134" s="438">
        <v>0</v>
      </c>
      <c r="BL134" s="438">
        <v>0</v>
      </c>
      <c r="BM134" s="438">
        <v>0</v>
      </c>
      <c r="BN134" s="438">
        <v>0</v>
      </c>
      <c r="BO134" s="438">
        <v>0</v>
      </c>
      <c r="BP134" s="438">
        <v>0</v>
      </c>
      <c r="BQ134" s="437">
        <v>5392</v>
      </c>
      <c r="BR134" s="438">
        <v>1</v>
      </c>
      <c r="BS134" s="438">
        <v>0</v>
      </c>
      <c r="BT134" s="438">
        <v>0</v>
      </c>
      <c r="BU134" s="438">
        <v>0</v>
      </c>
      <c r="BV134" s="438">
        <v>0</v>
      </c>
      <c r="BW134" s="438">
        <v>0</v>
      </c>
      <c r="BX134" s="438">
        <v>0</v>
      </c>
      <c r="BY134" s="438">
        <v>0</v>
      </c>
      <c r="BZ134" s="438">
        <v>0</v>
      </c>
      <c r="CA134" s="438">
        <v>0</v>
      </c>
      <c r="CB134" s="438">
        <v>0</v>
      </c>
      <c r="CC134" s="438">
        <v>0</v>
      </c>
      <c r="CG134" s="438">
        <v>0</v>
      </c>
      <c r="CH134" s="438">
        <v>0</v>
      </c>
      <c r="CI134" s="438">
        <v>0</v>
      </c>
      <c r="CJ134" s="438">
        <v>4</v>
      </c>
      <c r="CK134" s="438">
        <v>0</v>
      </c>
      <c r="CL134" s="438">
        <v>0</v>
      </c>
      <c r="CN134" s="438">
        <v>0</v>
      </c>
      <c r="CO134" s="438">
        <v>0</v>
      </c>
      <c r="CP134" s="438">
        <v>0</v>
      </c>
      <c r="CQ134" s="438">
        <v>0</v>
      </c>
      <c r="CR134" s="438">
        <v>0</v>
      </c>
      <c r="CS134" s="438">
        <v>0</v>
      </c>
      <c r="CT134" s="438">
        <v>0</v>
      </c>
      <c r="CU134" s="438">
        <v>0</v>
      </c>
      <c r="CV134" s="438">
        <v>0</v>
      </c>
      <c r="CW134" s="438">
        <v>0</v>
      </c>
      <c r="CX134" s="438">
        <v>0</v>
      </c>
      <c r="CY134" s="438">
        <v>0</v>
      </c>
      <c r="CZ134" s="438">
        <v>0</v>
      </c>
      <c r="DA134" s="438">
        <v>1</v>
      </c>
      <c r="DB134" s="438">
        <v>0</v>
      </c>
      <c r="DC134" s="438">
        <v>0</v>
      </c>
      <c r="DD134" s="438">
        <v>0</v>
      </c>
      <c r="DE134" s="438">
        <v>0</v>
      </c>
      <c r="DF134" s="438">
        <v>0</v>
      </c>
      <c r="DG134" s="438">
        <v>0</v>
      </c>
      <c r="DH134" s="438">
        <v>0</v>
      </c>
      <c r="DI134" s="438">
        <v>0</v>
      </c>
      <c r="DK134" s="437">
        <v>5392</v>
      </c>
      <c r="DL134" s="438">
        <v>0</v>
      </c>
      <c r="DM134" s="438">
        <v>0</v>
      </c>
      <c r="DN134" s="438">
        <v>0</v>
      </c>
      <c r="DO134" s="438">
        <v>0</v>
      </c>
      <c r="DP134" s="438">
        <v>0</v>
      </c>
      <c r="DQ134" s="438">
        <v>0</v>
      </c>
      <c r="DR134" s="438">
        <v>0</v>
      </c>
      <c r="DS134" s="438">
        <v>0</v>
      </c>
      <c r="DT134" s="438">
        <v>0</v>
      </c>
      <c r="DU134" s="438">
        <v>0</v>
      </c>
      <c r="DV134" s="438">
        <v>0</v>
      </c>
      <c r="DW134" s="438">
        <v>0</v>
      </c>
      <c r="DX134" s="438">
        <v>0</v>
      </c>
      <c r="DY134" s="438">
        <v>0</v>
      </c>
      <c r="DZ134" s="438">
        <v>0</v>
      </c>
      <c r="EA134" s="438">
        <v>0</v>
      </c>
      <c r="EB134" s="438">
        <v>0</v>
      </c>
      <c r="EC134" s="438">
        <v>0</v>
      </c>
      <c r="ED134" s="438">
        <v>0</v>
      </c>
      <c r="EE134" s="438">
        <v>0</v>
      </c>
      <c r="EF134" s="438">
        <v>0</v>
      </c>
      <c r="EG134" s="438">
        <v>0</v>
      </c>
      <c r="EH134" s="438">
        <v>0</v>
      </c>
      <c r="EI134" s="438">
        <v>0</v>
      </c>
      <c r="EJ134" s="438">
        <v>0</v>
      </c>
      <c r="EK134" s="438">
        <v>0</v>
      </c>
      <c r="EL134" s="438">
        <v>0</v>
      </c>
      <c r="EM134" s="438">
        <v>0</v>
      </c>
      <c r="EN134" s="438">
        <v>0</v>
      </c>
      <c r="EO134" s="438">
        <v>0</v>
      </c>
      <c r="EP134" s="438">
        <v>0</v>
      </c>
      <c r="EQ134" s="438">
        <v>0</v>
      </c>
      <c r="ER134" s="438">
        <v>0</v>
      </c>
      <c r="ES134" s="438">
        <v>0</v>
      </c>
      <c r="ET134" s="438">
        <v>0</v>
      </c>
      <c r="EU134" s="438">
        <v>0</v>
      </c>
      <c r="EV134" s="438">
        <v>0</v>
      </c>
      <c r="EW134" s="438">
        <v>0</v>
      </c>
      <c r="EX134" s="438">
        <v>0</v>
      </c>
      <c r="EZ134" s="438">
        <v>0</v>
      </c>
      <c r="FA134" s="438">
        <v>0</v>
      </c>
      <c r="FB134" s="438">
        <v>0</v>
      </c>
      <c r="FC134" s="438">
        <v>0.97334900000000002</v>
      </c>
      <c r="FD134" s="438">
        <v>0</v>
      </c>
      <c r="FE134" s="438">
        <v>0</v>
      </c>
      <c r="FF134" s="438">
        <v>0</v>
      </c>
      <c r="FG134" s="437">
        <v>5.7854999999999997E-2</v>
      </c>
      <c r="FH134" s="437">
        <v>5.2366000000000003E-2</v>
      </c>
      <c r="FI134" s="438">
        <v>0</v>
      </c>
      <c r="FJ134" s="438">
        <v>0</v>
      </c>
      <c r="FK134" s="438">
        <v>0</v>
      </c>
      <c r="FL134" s="438">
        <v>0</v>
      </c>
      <c r="FM134" s="438">
        <v>0</v>
      </c>
      <c r="FN134" s="438">
        <v>0</v>
      </c>
      <c r="FO134" s="438">
        <v>0</v>
      </c>
      <c r="FP134" s="438">
        <v>0</v>
      </c>
      <c r="FQ134" s="438">
        <v>0</v>
      </c>
      <c r="FR134" s="438">
        <v>0</v>
      </c>
      <c r="FS134" s="438">
        <v>0</v>
      </c>
      <c r="FT134" s="438">
        <v>0</v>
      </c>
      <c r="FU134" s="438">
        <v>0</v>
      </c>
      <c r="FV134" s="438">
        <v>0</v>
      </c>
      <c r="FW134" s="438">
        <v>0</v>
      </c>
      <c r="FX134" s="438">
        <v>0</v>
      </c>
      <c r="FY134" s="438">
        <v>0</v>
      </c>
      <c r="FZ134" s="438">
        <v>0</v>
      </c>
      <c r="GA134" s="438">
        <v>0</v>
      </c>
      <c r="GB134" s="438">
        <v>0</v>
      </c>
      <c r="GC134" s="438">
        <v>0</v>
      </c>
      <c r="GD134" s="438">
        <v>0</v>
      </c>
      <c r="GF134" s="438">
        <v>0</v>
      </c>
      <c r="GG134" s="438">
        <v>0</v>
      </c>
      <c r="GH134" s="438">
        <v>0</v>
      </c>
      <c r="GI134" s="438">
        <v>0</v>
      </c>
      <c r="GJ134" s="438">
        <v>0</v>
      </c>
      <c r="GK134" s="438">
        <v>0</v>
      </c>
      <c r="GL134" s="438">
        <v>0</v>
      </c>
      <c r="GM134" s="438">
        <v>0</v>
      </c>
      <c r="GN134" s="438">
        <v>0</v>
      </c>
      <c r="GO134" s="438">
        <v>0</v>
      </c>
      <c r="GP134" s="438">
        <v>0</v>
      </c>
      <c r="GQ134" s="438">
        <v>0</v>
      </c>
      <c r="GR134" s="438">
        <v>0</v>
      </c>
      <c r="GS134" s="438">
        <v>0</v>
      </c>
      <c r="GT134" s="438">
        <v>0</v>
      </c>
      <c r="HB134" s="438">
        <v>0</v>
      </c>
      <c r="HC134" s="437">
        <v>0</v>
      </c>
      <c r="HD134" s="438">
        <v>0</v>
      </c>
    </row>
    <row r="135" spans="1:212" x14ac:dyDescent="0.2">
      <c r="A135" s="438">
        <v>25836</v>
      </c>
      <c r="B135" s="442">
        <v>101876</v>
      </c>
      <c r="C135" s="438">
        <v>9</v>
      </c>
      <c r="D135" s="438">
        <v>2020</v>
      </c>
      <c r="E135" s="438">
        <v>5392</v>
      </c>
      <c r="F135" s="438">
        <v>0</v>
      </c>
      <c r="G135" s="438">
        <v>0</v>
      </c>
      <c r="H135" s="438">
        <v>0</v>
      </c>
      <c r="I135" s="438">
        <v>0</v>
      </c>
      <c r="J135" s="438">
        <v>0</v>
      </c>
      <c r="K135" s="438">
        <v>0</v>
      </c>
      <c r="L135" s="437">
        <v>6544</v>
      </c>
      <c r="M135" s="438">
        <v>0</v>
      </c>
      <c r="N135" s="438">
        <v>0</v>
      </c>
      <c r="P135" s="438">
        <v>0</v>
      </c>
      <c r="Q135" s="438">
        <v>0</v>
      </c>
      <c r="R135" s="438">
        <v>0</v>
      </c>
      <c r="S135" s="437">
        <v>247.58699999999999</v>
      </c>
      <c r="U135" s="438">
        <v>0</v>
      </c>
      <c r="V135" s="438">
        <v>0</v>
      </c>
      <c r="W135" s="438">
        <v>0</v>
      </c>
      <c r="X135" s="438">
        <v>0</v>
      </c>
      <c r="Z135" s="438">
        <v>0</v>
      </c>
      <c r="AA135" s="438">
        <v>1</v>
      </c>
      <c r="AB135" s="438">
        <v>1</v>
      </c>
      <c r="AC135" s="438">
        <v>0</v>
      </c>
      <c r="AD135" s="438" t="s">
        <v>332</v>
      </c>
      <c r="AE135" s="438">
        <v>0</v>
      </c>
      <c r="AH135" s="438">
        <v>0</v>
      </c>
      <c r="AI135" s="438">
        <v>0</v>
      </c>
      <c r="AJ135" s="437">
        <v>5105</v>
      </c>
      <c r="AK135" s="438" t="s">
        <v>561</v>
      </c>
      <c r="AL135" s="438" t="s">
        <v>652</v>
      </c>
      <c r="AM135" s="438">
        <v>0</v>
      </c>
      <c r="AN135" s="438">
        <v>0</v>
      </c>
      <c r="AO135" s="438">
        <v>0</v>
      </c>
      <c r="AP135" s="438">
        <v>0</v>
      </c>
      <c r="AQ135" s="438">
        <v>0</v>
      </c>
      <c r="AR135" s="438">
        <v>0</v>
      </c>
      <c r="AS135" s="438">
        <v>0</v>
      </c>
      <c r="AT135" s="438">
        <v>0</v>
      </c>
      <c r="AU135" s="438">
        <v>0</v>
      </c>
      <c r="AV135" s="438">
        <v>0</v>
      </c>
      <c r="AW135" s="438">
        <v>0</v>
      </c>
      <c r="AX135" s="438">
        <v>0</v>
      </c>
      <c r="AY135" s="438">
        <v>0</v>
      </c>
      <c r="AZ135" s="438">
        <v>0</v>
      </c>
      <c r="BA135" s="438">
        <v>0</v>
      </c>
      <c r="BB135" s="438">
        <v>0</v>
      </c>
      <c r="BC135" s="438">
        <v>0</v>
      </c>
      <c r="BD135" s="438">
        <v>0</v>
      </c>
      <c r="BE135" s="438">
        <v>0</v>
      </c>
      <c r="BF135" s="438">
        <v>0</v>
      </c>
      <c r="BG135" s="438">
        <v>0</v>
      </c>
      <c r="BH135" s="438">
        <v>0</v>
      </c>
      <c r="BI135" s="438">
        <v>0</v>
      </c>
      <c r="BJ135" s="438">
        <v>12</v>
      </c>
      <c r="BK135" s="438">
        <v>0</v>
      </c>
      <c r="BL135" s="438">
        <v>0</v>
      </c>
      <c r="BM135" s="438">
        <v>0</v>
      </c>
      <c r="BN135" s="438">
        <v>0</v>
      </c>
      <c r="BO135" s="438">
        <v>0</v>
      </c>
      <c r="BP135" s="438">
        <v>0</v>
      </c>
      <c r="BQ135" s="437">
        <v>5392</v>
      </c>
      <c r="BR135" s="438">
        <v>1</v>
      </c>
      <c r="BS135" s="438">
        <v>0</v>
      </c>
      <c r="BT135" s="438">
        <v>0</v>
      </c>
      <c r="BU135" s="438">
        <v>0</v>
      </c>
      <c r="BV135" s="438">
        <v>0</v>
      </c>
      <c r="BW135" s="438">
        <v>0</v>
      </c>
      <c r="BX135" s="438">
        <v>0</v>
      </c>
      <c r="BY135" s="438">
        <v>0</v>
      </c>
      <c r="BZ135" s="438">
        <v>0</v>
      </c>
      <c r="CA135" s="438">
        <v>0</v>
      </c>
      <c r="CB135" s="438">
        <v>0</v>
      </c>
      <c r="CC135" s="438">
        <v>0</v>
      </c>
      <c r="CG135" s="438">
        <v>0</v>
      </c>
      <c r="CH135" s="438">
        <v>0</v>
      </c>
      <c r="CI135" s="438">
        <v>0</v>
      </c>
      <c r="CJ135" s="438">
        <v>4</v>
      </c>
      <c r="CK135" s="438">
        <v>0</v>
      </c>
      <c r="CL135" s="438">
        <v>0</v>
      </c>
      <c r="CN135" s="438">
        <v>0</v>
      </c>
      <c r="CO135" s="438">
        <v>0</v>
      </c>
      <c r="CP135" s="438">
        <v>0</v>
      </c>
      <c r="CQ135" s="438">
        <v>0</v>
      </c>
      <c r="CR135" s="438">
        <v>0</v>
      </c>
      <c r="CS135" s="438">
        <v>0</v>
      </c>
      <c r="CT135" s="438">
        <v>0</v>
      </c>
      <c r="CU135" s="438">
        <v>0</v>
      </c>
      <c r="CV135" s="438">
        <v>0</v>
      </c>
      <c r="CW135" s="438">
        <v>0</v>
      </c>
      <c r="CX135" s="438">
        <v>0</v>
      </c>
      <c r="CY135" s="438">
        <v>0</v>
      </c>
      <c r="CZ135" s="438">
        <v>0</v>
      </c>
      <c r="DA135" s="438">
        <v>1</v>
      </c>
      <c r="DB135" s="438">
        <v>0</v>
      </c>
      <c r="DC135" s="438">
        <v>0</v>
      </c>
      <c r="DD135" s="438">
        <v>0</v>
      </c>
      <c r="DE135" s="438">
        <v>0</v>
      </c>
      <c r="DF135" s="438">
        <v>0</v>
      </c>
      <c r="DG135" s="438">
        <v>0</v>
      </c>
      <c r="DH135" s="438">
        <v>0</v>
      </c>
      <c r="DI135" s="438">
        <v>0</v>
      </c>
      <c r="DK135" s="437">
        <v>5392</v>
      </c>
      <c r="DL135" s="438">
        <v>0</v>
      </c>
      <c r="DM135" s="438">
        <v>0</v>
      </c>
      <c r="DN135" s="438">
        <v>0</v>
      </c>
      <c r="DO135" s="438">
        <v>0</v>
      </c>
      <c r="DP135" s="438">
        <v>0</v>
      </c>
      <c r="DQ135" s="438">
        <v>0</v>
      </c>
      <c r="DR135" s="438">
        <v>0</v>
      </c>
      <c r="DS135" s="438">
        <v>0</v>
      </c>
      <c r="DT135" s="438">
        <v>0</v>
      </c>
      <c r="DU135" s="438">
        <v>0</v>
      </c>
      <c r="DV135" s="438">
        <v>0</v>
      </c>
      <c r="DW135" s="438">
        <v>0</v>
      </c>
      <c r="DX135" s="438">
        <v>0</v>
      </c>
      <c r="DY135" s="438">
        <v>0</v>
      </c>
      <c r="DZ135" s="438">
        <v>0</v>
      </c>
      <c r="EA135" s="438">
        <v>0</v>
      </c>
      <c r="EB135" s="438">
        <v>0</v>
      </c>
      <c r="EC135" s="438">
        <v>0</v>
      </c>
      <c r="ED135" s="438">
        <v>0</v>
      </c>
      <c r="EE135" s="438">
        <v>0</v>
      </c>
      <c r="EF135" s="438">
        <v>0</v>
      </c>
      <c r="EG135" s="438">
        <v>0</v>
      </c>
      <c r="EH135" s="438">
        <v>0</v>
      </c>
      <c r="EI135" s="438">
        <v>0</v>
      </c>
      <c r="EJ135" s="438">
        <v>0</v>
      </c>
      <c r="EK135" s="438">
        <v>0</v>
      </c>
      <c r="EL135" s="438">
        <v>0</v>
      </c>
      <c r="EM135" s="438">
        <v>0</v>
      </c>
      <c r="EN135" s="438">
        <v>0</v>
      </c>
      <c r="EO135" s="438">
        <v>0</v>
      </c>
      <c r="EP135" s="438">
        <v>0</v>
      </c>
      <c r="EQ135" s="438">
        <v>0</v>
      </c>
      <c r="ER135" s="438">
        <v>0</v>
      </c>
      <c r="ES135" s="438">
        <v>0</v>
      </c>
      <c r="ET135" s="438">
        <v>0</v>
      </c>
      <c r="EU135" s="438">
        <v>0</v>
      </c>
      <c r="EV135" s="438">
        <v>0</v>
      </c>
      <c r="EW135" s="438">
        <v>0</v>
      </c>
      <c r="EX135" s="438">
        <v>0</v>
      </c>
      <c r="EZ135" s="438">
        <v>0</v>
      </c>
      <c r="FA135" s="438">
        <v>0</v>
      </c>
      <c r="FB135" s="438">
        <v>0</v>
      </c>
      <c r="FC135" s="438">
        <v>0.97334900000000002</v>
      </c>
      <c r="FD135" s="438">
        <v>0</v>
      </c>
      <c r="FE135" s="438">
        <v>0</v>
      </c>
      <c r="FF135" s="438">
        <v>0</v>
      </c>
      <c r="FG135" s="437">
        <v>5.7854999999999997E-2</v>
      </c>
      <c r="FH135" s="437">
        <v>5.2366000000000003E-2</v>
      </c>
      <c r="FI135" s="438">
        <v>0</v>
      </c>
      <c r="FJ135" s="438">
        <v>0</v>
      </c>
      <c r="FK135" s="438">
        <v>0</v>
      </c>
      <c r="FL135" s="438">
        <v>0</v>
      </c>
      <c r="FM135" s="438">
        <v>0</v>
      </c>
      <c r="FN135" s="438">
        <v>0</v>
      </c>
      <c r="FO135" s="438">
        <v>0</v>
      </c>
      <c r="FP135" s="438">
        <v>0</v>
      </c>
      <c r="FQ135" s="438">
        <v>0</v>
      </c>
      <c r="FR135" s="438">
        <v>0</v>
      </c>
      <c r="FS135" s="438">
        <v>0</v>
      </c>
      <c r="FT135" s="438">
        <v>0</v>
      </c>
      <c r="FU135" s="438">
        <v>0</v>
      </c>
      <c r="FV135" s="438">
        <v>0</v>
      </c>
      <c r="FW135" s="438">
        <v>0</v>
      </c>
      <c r="FX135" s="438">
        <v>0</v>
      </c>
      <c r="FY135" s="438">
        <v>0</v>
      </c>
      <c r="FZ135" s="438">
        <v>0</v>
      </c>
      <c r="GA135" s="438">
        <v>0</v>
      </c>
      <c r="GB135" s="438">
        <v>0</v>
      </c>
      <c r="GC135" s="438">
        <v>0</v>
      </c>
      <c r="GD135" s="438">
        <v>0</v>
      </c>
      <c r="GF135" s="438">
        <v>0</v>
      </c>
      <c r="GG135" s="438">
        <v>0</v>
      </c>
      <c r="GH135" s="438">
        <v>0</v>
      </c>
      <c r="GI135" s="438">
        <v>0</v>
      </c>
      <c r="GJ135" s="438">
        <v>0</v>
      </c>
      <c r="GK135" s="438">
        <v>0</v>
      </c>
      <c r="GL135" s="438">
        <v>0</v>
      </c>
      <c r="GM135" s="438">
        <v>0</v>
      </c>
      <c r="GN135" s="438">
        <v>0</v>
      </c>
      <c r="GO135" s="438">
        <v>0</v>
      </c>
      <c r="GP135" s="438">
        <v>0</v>
      </c>
      <c r="GQ135" s="438">
        <v>0</v>
      </c>
      <c r="GR135" s="438">
        <v>0</v>
      </c>
      <c r="GS135" s="438">
        <v>0</v>
      </c>
      <c r="GT135" s="438">
        <v>0</v>
      </c>
      <c r="HB135" s="438">
        <v>0</v>
      </c>
      <c r="HC135" s="437">
        <v>0</v>
      </c>
      <c r="HD135" s="438">
        <v>0</v>
      </c>
    </row>
    <row r="136" spans="1:212" x14ac:dyDescent="0.2">
      <c r="A136" s="438">
        <v>25836</v>
      </c>
      <c r="B136" s="442">
        <v>105801</v>
      </c>
      <c r="C136" s="438">
        <v>9</v>
      </c>
      <c r="D136" s="438">
        <v>2020</v>
      </c>
      <c r="E136" s="438">
        <v>5392</v>
      </c>
      <c r="F136" s="438">
        <v>0</v>
      </c>
      <c r="G136" s="438">
        <v>144.262</v>
      </c>
      <c r="H136" s="438">
        <v>129.18199999999999</v>
      </c>
      <c r="I136" s="438">
        <v>129.18199999999999</v>
      </c>
      <c r="J136" s="438">
        <v>144.262</v>
      </c>
      <c r="K136" s="438">
        <v>0</v>
      </c>
      <c r="L136" s="437">
        <v>6544</v>
      </c>
      <c r="M136" s="438">
        <v>0</v>
      </c>
      <c r="N136" s="438">
        <v>0</v>
      </c>
      <c r="P136" s="438">
        <v>143.61699999999999</v>
      </c>
      <c r="Q136" s="438">
        <v>0</v>
      </c>
      <c r="R136" s="438">
        <v>35558</v>
      </c>
      <c r="S136" s="437">
        <v>247.58699999999999</v>
      </c>
      <c r="U136" s="438">
        <v>0</v>
      </c>
      <c r="V136" s="438">
        <v>0</v>
      </c>
      <c r="W136" s="438">
        <v>0</v>
      </c>
      <c r="X136" s="438">
        <v>0</v>
      </c>
      <c r="Z136" s="438">
        <v>0</v>
      </c>
      <c r="AA136" s="438">
        <v>1</v>
      </c>
      <c r="AB136" s="438">
        <v>1</v>
      </c>
      <c r="AC136" s="438">
        <v>0</v>
      </c>
      <c r="AD136" s="438" t="s">
        <v>332</v>
      </c>
      <c r="AE136" s="438">
        <v>0</v>
      </c>
      <c r="AH136" s="438">
        <v>0</v>
      </c>
      <c r="AI136" s="438">
        <v>0</v>
      </c>
      <c r="AJ136" s="437">
        <v>5105</v>
      </c>
      <c r="AK136" s="438" t="s">
        <v>561</v>
      </c>
      <c r="AL136" s="438" t="s">
        <v>35</v>
      </c>
      <c r="AM136" s="438">
        <v>0</v>
      </c>
      <c r="AN136" s="438">
        <v>0</v>
      </c>
      <c r="AO136" s="438">
        <v>0</v>
      </c>
      <c r="AP136" s="438">
        <v>0</v>
      </c>
      <c r="AQ136" s="438">
        <v>0</v>
      </c>
      <c r="AR136" s="438">
        <v>0</v>
      </c>
      <c r="AS136" s="438">
        <v>0</v>
      </c>
      <c r="AT136" s="438">
        <v>0</v>
      </c>
      <c r="AU136" s="438">
        <v>0</v>
      </c>
      <c r="AV136" s="438">
        <v>0</v>
      </c>
      <c r="AW136" s="438">
        <v>1457521</v>
      </c>
      <c r="AX136" s="438">
        <v>1415797</v>
      </c>
      <c r="AY136" s="438">
        <v>0</v>
      </c>
      <c r="AZ136" s="438">
        <v>71948</v>
      </c>
      <c r="BA136" s="438">
        <v>8.1669999999999998</v>
      </c>
      <c r="BB136" s="438">
        <v>0</v>
      </c>
      <c r="BC136" s="438">
        <v>0</v>
      </c>
      <c r="BD136" s="438">
        <v>0</v>
      </c>
      <c r="BE136" s="438">
        <v>0</v>
      </c>
      <c r="BF136" s="438">
        <v>1135376</v>
      </c>
      <c r="BG136" s="438">
        <v>0</v>
      </c>
      <c r="BH136" s="438">
        <v>132.328</v>
      </c>
      <c r="BI136" s="438">
        <v>36390</v>
      </c>
      <c r="BJ136" s="438">
        <v>12</v>
      </c>
      <c r="BK136" s="438">
        <v>0</v>
      </c>
      <c r="BL136" s="438">
        <v>0</v>
      </c>
      <c r="BM136" s="438">
        <v>0</v>
      </c>
      <c r="BN136" s="438">
        <v>0</v>
      </c>
      <c r="BO136" s="438">
        <v>0</v>
      </c>
      <c r="BP136" s="438">
        <v>0</v>
      </c>
      <c r="BQ136" s="437">
        <v>5392</v>
      </c>
      <c r="BR136" s="438">
        <v>1</v>
      </c>
      <c r="BS136" s="438">
        <v>0</v>
      </c>
      <c r="BT136" s="438">
        <v>0</v>
      </c>
      <c r="BU136" s="438">
        <v>0</v>
      </c>
      <c r="BV136" s="438">
        <v>0</v>
      </c>
      <c r="BW136" s="438">
        <v>0</v>
      </c>
      <c r="BX136" s="438">
        <v>0</v>
      </c>
      <c r="BY136" s="438">
        <v>0</v>
      </c>
      <c r="BZ136" s="438">
        <v>0</v>
      </c>
      <c r="CA136" s="438">
        <v>0</v>
      </c>
      <c r="CB136" s="438">
        <v>0</v>
      </c>
      <c r="CC136" s="438">
        <v>0</v>
      </c>
      <c r="CG136" s="438">
        <v>0</v>
      </c>
      <c r="CH136" s="438">
        <v>5334</v>
      </c>
      <c r="CI136" s="438">
        <v>0</v>
      </c>
      <c r="CJ136" s="438">
        <v>4</v>
      </c>
      <c r="CK136" s="438">
        <v>0</v>
      </c>
      <c r="CL136" s="438">
        <v>0</v>
      </c>
      <c r="CN136" s="438">
        <v>0</v>
      </c>
      <c r="CO136" s="438">
        <v>1</v>
      </c>
      <c r="CP136" s="438">
        <v>0</v>
      </c>
      <c r="CQ136" s="438">
        <v>5</v>
      </c>
      <c r="CR136" s="438">
        <v>144.262</v>
      </c>
      <c r="CS136" s="438">
        <v>0</v>
      </c>
      <c r="CT136" s="438">
        <v>0</v>
      </c>
      <c r="CU136" s="438">
        <v>0</v>
      </c>
      <c r="CV136" s="438">
        <v>0</v>
      </c>
      <c r="CW136" s="438">
        <v>0</v>
      </c>
      <c r="CX136" s="438">
        <v>0</v>
      </c>
      <c r="CY136" s="438">
        <v>0</v>
      </c>
      <c r="CZ136" s="438">
        <v>0</v>
      </c>
      <c r="DA136" s="438">
        <v>1</v>
      </c>
      <c r="DB136" s="438">
        <v>845367</v>
      </c>
      <c r="DC136" s="438">
        <v>0</v>
      </c>
      <c r="DD136" s="438">
        <v>13.167</v>
      </c>
      <c r="DE136" s="438">
        <v>83331</v>
      </c>
      <c r="DF136" s="438">
        <v>83331</v>
      </c>
      <c r="DG136" s="438">
        <v>63.67</v>
      </c>
      <c r="DH136" s="438">
        <v>0</v>
      </c>
      <c r="DI136" s="438">
        <v>0</v>
      </c>
      <c r="DK136" s="437">
        <v>5392</v>
      </c>
      <c r="DL136" s="438">
        <v>0</v>
      </c>
      <c r="DM136" s="438">
        <v>138148</v>
      </c>
      <c r="DN136" s="438">
        <v>0</v>
      </c>
      <c r="DO136" s="438">
        <v>0</v>
      </c>
      <c r="DP136" s="438">
        <v>0</v>
      </c>
      <c r="DQ136" s="438">
        <v>0</v>
      </c>
      <c r="DR136" s="438">
        <v>0</v>
      </c>
      <c r="DS136" s="438">
        <v>0</v>
      </c>
      <c r="DT136" s="438">
        <v>0</v>
      </c>
      <c r="DU136" s="438">
        <v>0</v>
      </c>
      <c r="DV136" s="438">
        <v>0</v>
      </c>
      <c r="DW136" s="438">
        <v>0</v>
      </c>
      <c r="DX136" s="438">
        <v>0</v>
      </c>
      <c r="DY136" s="438">
        <v>0</v>
      </c>
      <c r="DZ136" s="438">
        <v>0</v>
      </c>
      <c r="EA136" s="438">
        <v>0</v>
      </c>
      <c r="EB136" s="438">
        <v>0</v>
      </c>
      <c r="EC136" s="438">
        <v>8.8170000000000002</v>
      </c>
      <c r="ED136" s="438">
        <v>63468</v>
      </c>
      <c r="EE136" s="438">
        <v>0</v>
      </c>
      <c r="EF136" s="438">
        <v>0</v>
      </c>
      <c r="EG136" s="438">
        <v>0</v>
      </c>
      <c r="EH136" s="438">
        <v>74680</v>
      </c>
      <c r="EI136" s="438">
        <v>0</v>
      </c>
      <c r="EJ136" s="438">
        <v>0</v>
      </c>
      <c r="EK136" s="438">
        <v>3.7189999999999999</v>
      </c>
      <c r="EL136" s="438">
        <v>0</v>
      </c>
      <c r="EM136" s="438">
        <v>8.5000000000000006E-2</v>
      </c>
      <c r="EN136" s="438">
        <v>0</v>
      </c>
      <c r="EO136" s="438">
        <v>0</v>
      </c>
      <c r="EP136" s="438">
        <v>0</v>
      </c>
      <c r="EQ136" s="438">
        <v>3.8039999999999998</v>
      </c>
      <c r="ER136" s="438">
        <v>0</v>
      </c>
      <c r="ES136" s="438">
        <v>11.412000000000001</v>
      </c>
      <c r="ET136" s="438">
        <v>5334</v>
      </c>
      <c r="EU136" s="438">
        <v>71948</v>
      </c>
      <c r="EV136" s="438">
        <v>0</v>
      </c>
      <c r="EW136" s="438">
        <v>0</v>
      </c>
      <c r="EX136" s="438">
        <v>0</v>
      </c>
      <c r="EZ136" s="438">
        <v>1215312</v>
      </c>
      <c r="FA136" s="438">
        <v>0</v>
      </c>
      <c r="FB136" s="438">
        <v>1287260</v>
      </c>
      <c r="FC136" s="438">
        <v>0.97334900000000002</v>
      </c>
      <c r="FD136" s="438">
        <v>0</v>
      </c>
      <c r="FE136" s="438">
        <v>163272</v>
      </c>
      <c r="FF136" s="438">
        <v>37213</v>
      </c>
      <c r="FG136" s="437">
        <v>5.7854999999999997E-2</v>
      </c>
      <c r="FH136" s="437">
        <v>5.2366000000000003E-2</v>
      </c>
      <c r="FI136" s="438">
        <v>0</v>
      </c>
      <c r="FJ136" s="438">
        <v>0</v>
      </c>
      <c r="FK136" s="438">
        <v>222.422</v>
      </c>
      <c r="FL136" s="438">
        <v>1493079</v>
      </c>
      <c r="FM136" s="438">
        <v>0</v>
      </c>
      <c r="FN136" s="438">
        <v>0</v>
      </c>
      <c r="FO136" s="438">
        <v>84407</v>
      </c>
      <c r="FP136" s="438">
        <v>0</v>
      </c>
      <c r="FQ136" s="438">
        <v>84407</v>
      </c>
      <c r="FR136" s="438">
        <v>84407</v>
      </c>
      <c r="FS136" s="438">
        <v>0</v>
      </c>
      <c r="FT136" s="438">
        <v>0</v>
      </c>
      <c r="FU136" s="438">
        <v>0</v>
      </c>
      <c r="FV136" s="438">
        <v>0</v>
      </c>
      <c r="FW136" s="438">
        <v>0</v>
      </c>
      <c r="FX136" s="438">
        <v>0</v>
      </c>
      <c r="FY136" s="438">
        <v>0</v>
      </c>
      <c r="FZ136" s="438">
        <v>0</v>
      </c>
      <c r="GA136" s="438">
        <v>0</v>
      </c>
      <c r="GB136" s="438">
        <v>99617</v>
      </c>
      <c r="GC136" s="438">
        <v>99617</v>
      </c>
      <c r="GD136" s="438">
        <v>11.276</v>
      </c>
      <c r="GF136" s="438">
        <v>0</v>
      </c>
      <c r="GG136" s="438">
        <v>0</v>
      </c>
      <c r="GH136" s="438">
        <v>0</v>
      </c>
      <c r="GI136" s="438">
        <v>0</v>
      </c>
      <c r="GJ136" s="438">
        <v>0</v>
      </c>
      <c r="GK136" s="438">
        <v>5353.0879999999997</v>
      </c>
      <c r="GL136" s="438">
        <v>3332</v>
      </c>
      <c r="GM136" s="438">
        <v>0</v>
      </c>
      <c r="GN136" s="438">
        <v>44710</v>
      </c>
      <c r="GO136" s="438">
        <v>0</v>
      </c>
      <c r="GP136" s="438">
        <v>1487745</v>
      </c>
      <c r="GQ136" s="438">
        <v>1487745</v>
      </c>
      <c r="GR136" s="438">
        <v>0</v>
      </c>
      <c r="GS136" s="438">
        <v>0</v>
      </c>
      <c r="GT136" s="438">
        <v>0</v>
      </c>
      <c r="HB136" s="438">
        <v>0</v>
      </c>
      <c r="HC136" s="437">
        <v>6.0754000000000002E-2</v>
      </c>
      <c r="HD136" s="438">
        <v>0</v>
      </c>
    </row>
    <row r="137" spans="1:212" x14ac:dyDescent="0.2">
      <c r="A137" s="438">
        <v>25836</v>
      </c>
      <c r="B137" s="442">
        <v>105802</v>
      </c>
      <c r="C137" s="438">
        <v>9</v>
      </c>
      <c r="D137" s="438">
        <v>2020</v>
      </c>
      <c r="E137" s="438">
        <v>5392</v>
      </c>
      <c r="F137" s="438">
        <v>0</v>
      </c>
      <c r="G137" s="438">
        <v>217.40799999999999</v>
      </c>
      <c r="H137" s="438">
        <v>216.99600000000001</v>
      </c>
      <c r="I137" s="438">
        <v>216.99600000000001</v>
      </c>
      <c r="J137" s="438">
        <v>217.40799999999999</v>
      </c>
      <c r="K137" s="438">
        <v>0</v>
      </c>
      <c r="L137" s="437">
        <v>6544</v>
      </c>
      <c r="M137" s="438">
        <v>0</v>
      </c>
      <c r="N137" s="438">
        <v>0</v>
      </c>
      <c r="P137" s="438">
        <v>220.68199999999999</v>
      </c>
      <c r="Q137" s="438">
        <v>0</v>
      </c>
      <c r="R137" s="438">
        <v>54638</v>
      </c>
      <c r="S137" s="437">
        <v>247.58699999999999</v>
      </c>
      <c r="U137" s="438">
        <v>0</v>
      </c>
      <c r="V137" s="438">
        <v>0</v>
      </c>
      <c r="W137" s="438">
        <v>0</v>
      </c>
      <c r="X137" s="438">
        <v>0</v>
      </c>
      <c r="Z137" s="438">
        <v>0</v>
      </c>
      <c r="AA137" s="438">
        <v>1</v>
      </c>
      <c r="AB137" s="438">
        <v>1</v>
      </c>
      <c r="AC137" s="438">
        <v>0</v>
      </c>
      <c r="AD137" s="438" t="s">
        <v>332</v>
      </c>
      <c r="AE137" s="438">
        <v>0</v>
      </c>
      <c r="AH137" s="438">
        <v>0</v>
      </c>
      <c r="AI137" s="438">
        <v>0</v>
      </c>
      <c r="AJ137" s="437">
        <v>5105</v>
      </c>
      <c r="AK137" s="438" t="s">
        <v>561</v>
      </c>
      <c r="AL137" s="438" t="s">
        <v>3</v>
      </c>
      <c r="AM137" s="438">
        <v>0</v>
      </c>
      <c r="AN137" s="438">
        <v>0</v>
      </c>
      <c r="AO137" s="438">
        <v>0</v>
      </c>
      <c r="AP137" s="438">
        <v>0</v>
      </c>
      <c r="AQ137" s="438">
        <v>0</v>
      </c>
      <c r="AR137" s="438">
        <v>0</v>
      </c>
      <c r="AS137" s="438">
        <v>0</v>
      </c>
      <c r="AT137" s="438">
        <v>0</v>
      </c>
      <c r="AU137" s="438">
        <v>0</v>
      </c>
      <c r="AV137" s="438">
        <v>0</v>
      </c>
      <c r="AW137" s="438">
        <v>2185732</v>
      </c>
      <c r="AX137" s="438">
        <v>2178273</v>
      </c>
      <c r="AY137" s="438">
        <v>0</v>
      </c>
      <c r="AZ137" s="438">
        <v>54638</v>
      </c>
      <c r="BA137" s="438">
        <v>14.917</v>
      </c>
      <c r="BB137" s="438">
        <v>0</v>
      </c>
      <c r="BC137" s="438">
        <v>0</v>
      </c>
      <c r="BD137" s="438">
        <v>0</v>
      </c>
      <c r="BE137" s="438">
        <v>0</v>
      </c>
      <c r="BF137" s="438">
        <v>1838935</v>
      </c>
      <c r="BG137" s="438">
        <v>0</v>
      </c>
      <c r="BH137" s="438">
        <v>0</v>
      </c>
      <c r="BI137" s="438">
        <v>0</v>
      </c>
      <c r="BJ137" s="438">
        <v>12</v>
      </c>
      <c r="BK137" s="438">
        <v>0</v>
      </c>
      <c r="BL137" s="438">
        <v>0</v>
      </c>
      <c r="BM137" s="438">
        <v>0</v>
      </c>
      <c r="BN137" s="438">
        <v>0</v>
      </c>
      <c r="BO137" s="438">
        <v>0</v>
      </c>
      <c r="BP137" s="438">
        <v>0</v>
      </c>
      <c r="BQ137" s="437">
        <v>5392</v>
      </c>
      <c r="BR137" s="438">
        <v>1</v>
      </c>
      <c r="BS137" s="438">
        <v>0</v>
      </c>
      <c r="BT137" s="438">
        <v>0</v>
      </c>
      <c r="BU137" s="438">
        <v>0</v>
      </c>
      <c r="BV137" s="438">
        <v>0</v>
      </c>
      <c r="BW137" s="438">
        <v>0</v>
      </c>
      <c r="BX137" s="438">
        <v>0</v>
      </c>
      <c r="BY137" s="438">
        <v>0</v>
      </c>
      <c r="BZ137" s="438">
        <v>0</v>
      </c>
      <c r="CA137" s="438">
        <v>0</v>
      </c>
      <c r="CB137" s="438">
        <v>0</v>
      </c>
      <c r="CC137" s="438">
        <v>0</v>
      </c>
      <c r="CG137" s="438">
        <v>0</v>
      </c>
      <c r="CH137" s="438">
        <v>7459</v>
      </c>
      <c r="CI137" s="438">
        <v>0</v>
      </c>
      <c r="CJ137" s="438">
        <v>4</v>
      </c>
      <c r="CK137" s="438">
        <v>0</v>
      </c>
      <c r="CL137" s="438">
        <v>0</v>
      </c>
      <c r="CN137" s="438">
        <v>0</v>
      </c>
      <c r="CO137" s="438">
        <v>1</v>
      </c>
      <c r="CP137" s="438">
        <v>0</v>
      </c>
      <c r="CQ137" s="438">
        <v>0</v>
      </c>
      <c r="CR137" s="438">
        <v>217.40799999999999</v>
      </c>
      <c r="CS137" s="438">
        <v>0</v>
      </c>
      <c r="CT137" s="438">
        <v>0</v>
      </c>
      <c r="CU137" s="438">
        <v>0</v>
      </c>
      <c r="CV137" s="438">
        <v>0</v>
      </c>
      <c r="CW137" s="438">
        <v>0</v>
      </c>
      <c r="CX137" s="438">
        <v>0</v>
      </c>
      <c r="CY137" s="438">
        <v>0</v>
      </c>
      <c r="CZ137" s="438">
        <v>0</v>
      </c>
      <c r="DA137" s="438">
        <v>1</v>
      </c>
      <c r="DB137" s="438">
        <v>1420022</v>
      </c>
      <c r="DC137" s="438">
        <v>0</v>
      </c>
      <c r="DD137" s="438">
        <v>0</v>
      </c>
      <c r="DE137" s="438">
        <v>329163</v>
      </c>
      <c r="DF137" s="438">
        <v>329163</v>
      </c>
      <c r="DG137" s="438">
        <v>251.5</v>
      </c>
      <c r="DH137" s="438">
        <v>0</v>
      </c>
      <c r="DI137" s="438">
        <v>0</v>
      </c>
      <c r="DK137" s="437">
        <v>5392</v>
      </c>
      <c r="DL137" s="438">
        <v>0</v>
      </c>
      <c r="DM137" s="438">
        <v>140101</v>
      </c>
      <c r="DN137" s="438">
        <v>0</v>
      </c>
      <c r="DO137" s="438">
        <v>0</v>
      </c>
      <c r="DP137" s="438">
        <v>0</v>
      </c>
      <c r="DQ137" s="438">
        <v>0</v>
      </c>
      <c r="DR137" s="438">
        <v>0</v>
      </c>
      <c r="DS137" s="438">
        <v>0</v>
      </c>
      <c r="DT137" s="438">
        <v>0</v>
      </c>
      <c r="DU137" s="438">
        <v>0</v>
      </c>
      <c r="DV137" s="438">
        <v>0</v>
      </c>
      <c r="DW137" s="438">
        <v>0</v>
      </c>
      <c r="DX137" s="438">
        <v>0</v>
      </c>
      <c r="DY137" s="438">
        <v>0</v>
      </c>
      <c r="DZ137" s="438">
        <v>0</v>
      </c>
      <c r="EA137" s="438">
        <v>0</v>
      </c>
      <c r="EB137" s="438">
        <v>0</v>
      </c>
      <c r="EC137" s="438">
        <v>17.59</v>
      </c>
      <c r="ED137" s="438">
        <v>126620</v>
      </c>
      <c r="EE137" s="438">
        <v>0</v>
      </c>
      <c r="EF137" s="438">
        <v>0</v>
      </c>
      <c r="EG137" s="438">
        <v>0</v>
      </c>
      <c r="EH137" s="438">
        <v>13481</v>
      </c>
      <c r="EI137" s="438">
        <v>0</v>
      </c>
      <c r="EJ137" s="438">
        <v>0</v>
      </c>
      <c r="EK137" s="438">
        <v>0</v>
      </c>
      <c r="EL137" s="438">
        <v>0</v>
      </c>
      <c r="EM137" s="438">
        <v>0</v>
      </c>
      <c r="EN137" s="438">
        <v>0.41199999999999998</v>
      </c>
      <c r="EO137" s="438">
        <v>0</v>
      </c>
      <c r="EP137" s="438">
        <v>0</v>
      </c>
      <c r="EQ137" s="438">
        <v>0.41199999999999998</v>
      </c>
      <c r="ER137" s="438">
        <v>0</v>
      </c>
      <c r="ES137" s="438">
        <v>2.06</v>
      </c>
      <c r="ET137" s="438">
        <v>7459</v>
      </c>
      <c r="EU137" s="438">
        <v>54638</v>
      </c>
      <c r="EV137" s="438">
        <v>0</v>
      </c>
      <c r="EW137" s="438">
        <v>0</v>
      </c>
      <c r="EX137" s="438">
        <v>0</v>
      </c>
      <c r="EZ137" s="438">
        <v>1853553</v>
      </c>
      <c r="FA137" s="438">
        <v>0</v>
      </c>
      <c r="FB137" s="438">
        <v>1908191</v>
      </c>
      <c r="FC137" s="438">
        <v>0.97334900000000002</v>
      </c>
      <c r="FD137" s="438">
        <v>0</v>
      </c>
      <c r="FE137" s="438">
        <v>264447</v>
      </c>
      <c r="FF137" s="438">
        <v>60273</v>
      </c>
      <c r="FG137" s="437">
        <v>5.7854999999999997E-2</v>
      </c>
      <c r="FH137" s="437">
        <v>5.2366000000000003E-2</v>
      </c>
      <c r="FI137" s="438">
        <v>0</v>
      </c>
      <c r="FJ137" s="438">
        <v>0</v>
      </c>
      <c r="FK137" s="438">
        <v>360.25099999999998</v>
      </c>
      <c r="FL137" s="438">
        <v>2240370</v>
      </c>
      <c r="FM137" s="438">
        <v>0</v>
      </c>
      <c r="FN137" s="438">
        <v>0</v>
      </c>
      <c r="FO137" s="438">
        <v>18905</v>
      </c>
      <c r="FP137" s="438">
        <v>0</v>
      </c>
      <c r="FQ137" s="438">
        <v>18905</v>
      </c>
      <c r="FR137" s="438">
        <v>18905</v>
      </c>
      <c r="FS137" s="438">
        <v>0</v>
      </c>
      <c r="FT137" s="438">
        <v>0</v>
      </c>
      <c r="FU137" s="438">
        <v>0</v>
      </c>
      <c r="FV137" s="438">
        <v>0</v>
      </c>
      <c r="FW137" s="438">
        <v>0</v>
      </c>
      <c r="FX137" s="438">
        <v>0</v>
      </c>
      <c r="FY137" s="438">
        <v>0</v>
      </c>
      <c r="FZ137" s="438">
        <v>0</v>
      </c>
      <c r="GA137" s="438">
        <v>0</v>
      </c>
      <c r="GB137" s="438">
        <v>0</v>
      </c>
      <c r="GC137" s="438">
        <v>0</v>
      </c>
      <c r="GD137" s="438">
        <v>0</v>
      </c>
      <c r="GF137" s="438">
        <v>0</v>
      </c>
      <c r="GG137" s="438">
        <v>0</v>
      </c>
      <c r="GH137" s="438">
        <v>0</v>
      </c>
      <c r="GI137" s="438">
        <v>0</v>
      </c>
      <c r="GJ137" s="438">
        <v>0</v>
      </c>
      <c r="GK137" s="438">
        <v>4708.3829999999998</v>
      </c>
      <c r="GL137" s="438">
        <v>2709</v>
      </c>
      <c r="GM137" s="438">
        <v>0</v>
      </c>
      <c r="GN137" s="438">
        <v>0</v>
      </c>
      <c r="GO137" s="438">
        <v>0</v>
      </c>
      <c r="GP137" s="438">
        <v>2232911</v>
      </c>
      <c r="GQ137" s="438">
        <v>2232911</v>
      </c>
      <c r="GR137" s="438">
        <v>0</v>
      </c>
      <c r="GS137" s="438">
        <v>0</v>
      </c>
      <c r="GT137" s="438">
        <v>0</v>
      </c>
      <c r="HB137" s="438">
        <v>0</v>
      </c>
      <c r="HC137" s="437">
        <v>6.0754000000000002E-2</v>
      </c>
      <c r="HD137" s="438">
        <v>0</v>
      </c>
    </row>
    <row r="138" spans="1:212" x14ac:dyDescent="0.2">
      <c r="A138" s="438">
        <v>25836</v>
      </c>
      <c r="B138" s="442">
        <v>105803</v>
      </c>
      <c r="C138" s="438">
        <v>9</v>
      </c>
      <c r="D138" s="438">
        <v>2020</v>
      </c>
      <c r="E138" s="438">
        <v>5392</v>
      </c>
      <c r="F138" s="438">
        <v>0</v>
      </c>
      <c r="G138" s="438">
        <v>178.05699999999999</v>
      </c>
      <c r="H138" s="438">
        <v>82.882000000000005</v>
      </c>
      <c r="I138" s="438">
        <v>82.882000000000005</v>
      </c>
      <c r="J138" s="438">
        <v>178.05699999999999</v>
      </c>
      <c r="K138" s="438">
        <v>0</v>
      </c>
      <c r="L138" s="437">
        <v>6544</v>
      </c>
      <c r="M138" s="438">
        <v>0</v>
      </c>
      <c r="N138" s="438">
        <v>0</v>
      </c>
      <c r="P138" s="438">
        <v>173.25299999999999</v>
      </c>
      <c r="Q138" s="438">
        <v>0</v>
      </c>
      <c r="R138" s="438">
        <v>42895</v>
      </c>
      <c r="S138" s="437">
        <v>247.58699999999999</v>
      </c>
      <c r="U138" s="438">
        <v>0</v>
      </c>
      <c r="V138" s="438">
        <v>2.1019999999999999</v>
      </c>
      <c r="W138" s="438">
        <v>1376</v>
      </c>
      <c r="X138" s="438">
        <v>1376</v>
      </c>
      <c r="Z138" s="438">
        <v>0</v>
      </c>
      <c r="AA138" s="438">
        <v>1</v>
      </c>
      <c r="AB138" s="438">
        <v>1</v>
      </c>
      <c r="AC138" s="438">
        <v>0</v>
      </c>
      <c r="AD138" s="438" t="s">
        <v>332</v>
      </c>
      <c r="AE138" s="438">
        <v>0</v>
      </c>
      <c r="AH138" s="438">
        <v>0</v>
      </c>
      <c r="AI138" s="438">
        <v>0</v>
      </c>
      <c r="AJ138" s="437">
        <v>5105</v>
      </c>
      <c r="AK138" s="438" t="s">
        <v>561</v>
      </c>
      <c r="AL138" s="438" t="s">
        <v>391</v>
      </c>
      <c r="AM138" s="438">
        <v>0</v>
      </c>
      <c r="AN138" s="438">
        <v>0</v>
      </c>
      <c r="AO138" s="438">
        <v>0</v>
      </c>
      <c r="AP138" s="438">
        <v>0</v>
      </c>
      <c r="AQ138" s="438">
        <v>0</v>
      </c>
      <c r="AR138" s="438">
        <v>0</v>
      </c>
      <c r="AS138" s="438">
        <v>0</v>
      </c>
      <c r="AT138" s="438">
        <v>0</v>
      </c>
      <c r="AU138" s="438">
        <v>0</v>
      </c>
      <c r="AV138" s="438">
        <v>0</v>
      </c>
      <c r="AW138" s="438">
        <v>3769130</v>
      </c>
      <c r="AX138" s="438">
        <v>3741905</v>
      </c>
      <c r="AY138" s="438">
        <v>0</v>
      </c>
      <c r="AZ138" s="438">
        <v>70120</v>
      </c>
      <c r="BA138" s="438">
        <v>0</v>
      </c>
      <c r="BB138" s="438">
        <v>0</v>
      </c>
      <c r="BC138" s="438">
        <v>0</v>
      </c>
      <c r="BD138" s="438">
        <v>0</v>
      </c>
      <c r="BE138" s="438">
        <v>0</v>
      </c>
      <c r="BF138" s="438">
        <v>3143624</v>
      </c>
      <c r="BG138" s="438">
        <v>0</v>
      </c>
      <c r="BH138" s="438">
        <v>99</v>
      </c>
      <c r="BI138" s="438">
        <v>27225</v>
      </c>
      <c r="BJ138" s="438">
        <v>12</v>
      </c>
      <c r="BK138" s="438">
        <v>0</v>
      </c>
      <c r="BL138" s="438">
        <v>0</v>
      </c>
      <c r="BM138" s="438">
        <v>0</v>
      </c>
      <c r="BN138" s="438">
        <v>0</v>
      </c>
      <c r="BO138" s="438">
        <v>0</v>
      </c>
      <c r="BP138" s="438">
        <v>0</v>
      </c>
      <c r="BQ138" s="437">
        <v>5392</v>
      </c>
      <c r="BR138" s="438">
        <v>1</v>
      </c>
      <c r="BS138" s="438">
        <v>0</v>
      </c>
      <c r="BT138" s="438">
        <v>0</v>
      </c>
      <c r="BU138" s="438">
        <v>0</v>
      </c>
      <c r="BV138" s="438">
        <v>0</v>
      </c>
      <c r="BW138" s="438">
        <v>0</v>
      </c>
      <c r="BX138" s="438">
        <v>0</v>
      </c>
      <c r="BY138" s="438">
        <v>0</v>
      </c>
      <c r="BZ138" s="438">
        <v>0</v>
      </c>
      <c r="CA138" s="438">
        <v>0</v>
      </c>
      <c r="CB138" s="438">
        <v>0</v>
      </c>
      <c r="CC138" s="438">
        <v>0</v>
      </c>
      <c r="CG138" s="438">
        <v>0</v>
      </c>
      <c r="CH138" s="438">
        <v>0</v>
      </c>
      <c r="CI138" s="438">
        <v>0</v>
      </c>
      <c r="CJ138" s="438">
        <v>4</v>
      </c>
      <c r="CK138" s="438">
        <v>0</v>
      </c>
      <c r="CL138" s="438">
        <v>0</v>
      </c>
      <c r="CN138" s="438">
        <v>0</v>
      </c>
      <c r="CO138" s="438">
        <v>1</v>
      </c>
      <c r="CP138" s="438">
        <v>0</v>
      </c>
      <c r="CQ138" s="438">
        <v>0</v>
      </c>
      <c r="CR138" s="438">
        <v>178.05699999999999</v>
      </c>
      <c r="CS138" s="438">
        <v>0</v>
      </c>
      <c r="CT138" s="438">
        <v>0</v>
      </c>
      <c r="CU138" s="438">
        <v>0</v>
      </c>
      <c r="CV138" s="438">
        <v>0</v>
      </c>
      <c r="CW138" s="438">
        <v>0</v>
      </c>
      <c r="CX138" s="438">
        <v>0</v>
      </c>
      <c r="CY138" s="438">
        <v>0</v>
      </c>
      <c r="CZ138" s="438">
        <v>0</v>
      </c>
      <c r="DA138" s="438">
        <v>1</v>
      </c>
      <c r="DB138" s="438">
        <v>542380</v>
      </c>
      <c r="DC138" s="438">
        <v>0</v>
      </c>
      <c r="DD138" s="438">
        <v>0</v>
      </c>
      <c r="DE138" s="438">
        <v>241906</v>
      </c>
      <c r="DF138" s="438">
        <v>241906</v>
      </c>
      <c r="DG138" s="438">
        <v>184.83</v>
      </c>
      <c r="DH138" s="438">
        <v>0</v>
      </c>
      <c r="DI138" s="438">
        <v>0</v>
      </c>
      <c r="DK138" s="437">
        <v>5392</v>
      </c>
      <c r="DL138" s="438">
        <v>0</v>
      </c>
      <c r="DM138" s="438">
        <v>2417090</v>
      </c>
      <c r="DN138" s="438">
        <v>0</v>
      </c>
      <c r="DO138" s="438">
        <v>0</v>
      </c>
      <c r="DP138" s="438">
        <v>0</v>
      </c>
      <c r="DQ138" s="438">
        <v>0</v>
      </c>
      <c r="DR138" s="438">
        <v>0</v>
      </c>
      <c r="DS138" s="438">
        <v>0</v>
      </c>
      <c r="DT138" s="438">
        <v>0</v>
      </c>
      <c r="DU138" s="438">
        <v>0</v>
      </c>
      <c r="DV138" s="438">
        <v>0</v>
      </c>
      <c r="DW138" s="438">
        <v>0</v>
      </c>
      <c r="DX138" s="438">
        <v>0</v>
      </c>
      <c r="DY138" s="438">
        <v>0</v>
      </c>
      <c r="DZ138" s="438">
        <v>0</v>
      </c>
      <c r="EA138" s="438">
        <v>0</v>
      </c>
      <c r="EB138" s="438">
        <v>0</v>
      </c>
      <c r="EC138" s="438">
        <v>1.1180000000000001</v>
      </c>
      <c r="ED138" s="438">
        <v>8048</v>
      </c>
      <c r="EE138" s="438">
        <v>0</v>
      </c>
      <c r="EF138" s="438">
        <v>0</v>
      </c>
      <c r="EG138" s="438">
        <v>0</v>
      </c>
      <c r="EH138" s="438">
        <v>54642</v>
      </c>
      <c r="EI138" s="438">
        <v>2354400</v>
      </c>
      <c r="EJ138" s="438">
        <v>89.944999999999993</v>
      </c>
      <c r="EK138" s="438">
        <v>1.2749999999999999</v>
      </c>
      <c r="EL138" s="438">
        <v>0</v>
      </c>
      <c r="EM138" s="438">
        <v>0</v>
      </c>
      <c r="EN138" s="438">
        <v>0.90500000000000003</v>
      </c>
      <c r="EO138" s="438">
        <v>0</v>
      </c>
      <c r="EP138" s="438">
        <v>0</v>
      </c>
      <c r="EQ138" s="438">
        <v>92.125</v>
      </c>
      <c r="ER138" s="438">
        <v>0</v>
      </c>
      <c r="ES138" s="438">
        <v>8.35</v>
      </c>
      <c r="ET138" s="438">
        <v>0</v>
      </c>
      <c r="EU138" s="438">
        <v>70120</v>
      </c>
      <c r="EV138" s="438">
        <v>0</v>
      </c>
      <c r="EW138" s="438">
        <v>0</v>
      </c>
      <c r="EX138" s="438">
        <v>0</v>
      </c>
      <c r="EZ138" s="438">
        <v>3186802</v>
      </c>
      <c r="FA138" s="438">
        <v>0</v>
      </c>
      <c r="FB138" s="438">
        <v>3256922</v>
      </c>
      <c r="FC138" s="438">
        <v>0.97334900000000002</v>
      </c>
      <c r="FD138" s="438">
        <v>0</v>
      </c>
      <c r="FE138" s="438">
        <v>452067</v>
      </c>
      <c r="FF138" s="438">
        <v>103036</v>
      </c>
      <c r="FG138" s="437">
        <v>5.7854999999999997E-2</v>
      </c>
      <c r="FH138" s="437">
        <v>5.2366000000000003E-2</v>
      </c>
      <c r="FI138" s="438">
        <v>0</v>
      </c>
      <c r="FJ138" s="438">
        <v>0</v>
      </c>
      <c r="FK138" s="438">
        <v>615.84100000000001</v>
      </c>
      <c r="FL138" s="438">
        <v>3812025</v>
      </c>
      <c r="FM138" s="438">
        <v>0</v>
      </c>
      <c r="FN138" s="438">
        <v>0</v>
      </c>
      <c r="FO138" s="438">
        <v>0</v>
      </c>
      <c r="FP138" s="438">
        <v>0</v>
      </c>
      <c r="FQ138" s="438">
        <v>0</v>
      </c>
      <c r="FR138" s="438">
        <v>0</v>
      </c>
      <c r="FS138" s="438">
        <v>0</v>
      </c>
      <c r="FT138" s="438">
        <v>0</v>
      </c>
      <c r="FU138" s="438">
        <v>0</v>
      </c>
      <c r="FV138" s="438">
        <v>0</v>
      </c>
      <c r="FW138" s="438">
        <v>0</v>
      </c>
      <c r="FX138" s="438">
        <v>0</v>
      </c>
      <c r="FY138" s="438">
        <v>0</v>
      </c>
      <c r="FZ138" s="438">
        <v>0</v>
      </c>
      <c r="GA138" s="438">
        <v>0</v>
      </c>
      <c r="GB138" s="438">
        <v>26945</v>
      </c>
      <c r="GC138" s="438">
        <v>26945</v>
      </c>
      <c r="GD138" s="438">
        <v>3.05</v>
      </c>
      <c r="GF138" s="438">
        <v>0</v>
      </c>
      <c r="GG138" s="438">
        <v>0</v>
      </c>
      <c r="GH138" s="438">
        <v>0</v>
      </c>
      <c r="GI138" s="438">
        <v>0</v>
      </c>
      <c r="GJ138" s="438">
        <v>0</v>
      </c>
      <c r="GK138" s="438">
        <v>4604.6369999999997</v>
      </c>
      <c r="GL138" s="438">
        <v>0</v>
      </c>
      <c r="GM138" s="438">
        <v>0</v>
      </c>
      <c r="GN138" s="438">
        <v>0</v>
      </c>
      <c r="GO138" s="438">
        <v>0</v>
      </c>
      <c r="GP138" s="438">
        <v>3812025</v>
      </c>
      <c r="GQ138" s="438">
        <v>3812025</v>
      </c>
      <c r="GR138" s="438">
        <v>0</v>
      </c>
      <c r="GS138" s="438">
        <v>0</v>
      </c>
      <c r="GT138" s="438">
        <v>0</v>
      </c>
      <c r="HB138" s="438">
        <v>0</v>
      </c>
      <c r="HC138" s="437">
        <v>6.0754000000000002E-2</v>
      </c>
      <c r="HD138" s="438">
        <v>0</v>
      </c>
    </row>
    <row r="139" spans="1:212" x14ac:dyDescent="0.2">
      <c r="A139" s="438">
        <v>25836</v>
      </c>
      <c r="B139" s="442">
        <v>108802</v>
      </c>
      <c r="C139" s="438">
        <v>9</v>
      </c>
      <c r="D139" s="438">
        <v>2020</v>
      </c>
      <c r="E139" s="438">
        <v>5392</v>
      </c>
      <c r="F139" s="438">
        <v>0</v>
      </c>
      <c r="G139" s="438">
        <v>1053.365</v>
      </c>
      <c r="H139" s="438">
        <v>1033.057</v>
      </c>
      <c r="I139" s="438">
        <v>1033.057</v>
      </c>
      <c r="J139" s="438">
        <v>1053.365</v>
      </c>
      <c r="K139" s="438">
        <v>0</v>
      </c>
      <c r="L139" s="437">
        <v>6544</v>
      </c>
      <c r="M139" s="438">
        <v>0</v>
      </c>
      <c r="N139" s="438">
        <v>0</v>
      </c>
      <c r="P139" s="438">
        <v>1063.6980000000001</v>
      </c>
      <c r="Q139" s="438">
        <v>0</v>
      </c>
      <c r="R139" s="438">
        <v>263358</v>
      </c>
      <c r="S139" s="437">
        <v>247.58699999999999</v>
      </c>
      <c r="U139" s="438">
        <v>0</v>
      </c>
      <c r="V139" s="438">
        <v>348.68799999999999</v>
      </c>
      <c r="W139" s="438">
        <v>228181</v>
      </c>
      <c r="X139" s="438">
        <v>228181</v>
      </c>
      <c r="Z139" s="438">
        <v>0</v>
      </c>
      <c r="AA139" s="438">
        <v>1</v>
      </c>
      <c r="AB139" s="438">
        <v>1</v>
      </c>
      <c r="AC139" s="438">
        <v>0</v>
      </c>
      <c r="AD139" s="438" t="s">
        <v>332</v>
      </c>
      <c r="AE139" s="438">
        <v>0</v>
      </c>
      <c r="AH139" s="438">
        <v>0</v>
      </c>
      <c r="AI139" s="438">
        <v>0</v>
      </c>
      <c r="AJ139" s="437">
        <v>5105</v>
      </c>
      <c r="AK139" s="438" t="s">
        <v>561</v>
      </c>
      <c r="AL139" s="438" t="s">
        <v>371</v>
      </c>
      <c r="AM139" s="438">
        <v>0</v>
      </c>
      <c r="AN139" s="438">
        <v>0</v>
      </c>
      <c r="AO139" s="438">
        <v>0</v>
      </c>
      <c r="AP139" s="438">
        <v>0</v>
      </c>
      <c r="AQ139" s="438">
        <v>0</v>
      </c>
      <c r="AR139" s="438">
        <v>0</v>
      </c>
      <c r="AS139" s="438">
        <v>0</v>
      </c>
      <c r="AT139" s="438">
        <v>0</v>
      </c>
      <c r="AU139" s="438">
        <v>0</v>
      </c>
      <c r="AV139" s="438">
        <v>0</v>
      </c>
      <c r="AW139" s="438">
        <v>10334024</v>
      </c>
      <c r="AX139" s="438">
        <v>10284899</v>
      </c>
      <c r="AY139" s="438">
        <v>0</v>
      </c>
      <c r="AZ139" s="438">
        <v>263358</v>
      </c>
      <c r="BA139" s="438">
        <v>96.417000000000002</v>
      </c>
      <c r="BB139" s="438">
        <v>39133</v>
      </c>
      <c r="BC139" s="438">
        <v>39133</v>
      </c>
      <c r="BD139" s="438">
        <v>49.832999999999998</v>
      </c>
      <c r="BE139" s="438">
        <v>0</v>
      </c>
      <c r="BF139" s="438">
        <v>8761295</v>
      </c>
      <c r="BG139" s="438">
        <v>0</v>
      </c>
      <c r="BH139" s="438">
        <v>0</v>
      </c>
      <c r="BI139" s="438">
        <v>0</v>
      </c>
      <c r="BJ139" s="438">
        <v>12</v>
      </c>
      <c r="BK139" s="438">
        <v>0</v>
      </c>
      <c r="BL139" s="438">
        <v>0</v>
      </c>
      <c r="BM139" s="438">
        <v>0</v>
      </c>
      <c r="BN139" s="438">
        <v>0</v>
      </c>
      <c r="BO139" s="438">
        <v>0</v>
      </c>
      <c r="BP139" s="438">
        <v>0</v>
      </c>
      <c r="BQ139" s="437">
        <v>5392</v>
      </c>
      <c r="BR139" s="438">
        <v>1</v>
      </c>
      <c r="BS139" s="438">
        <v>0</v>
      </c>
      <c r="BT139" s="438">
        <v>0</v>
      </c>
      <c r="BU139" s="438">
        <v>0</v>
      </c>
      <c r="BV139" s="438">
        <v>0</v>
      </c>
      <c r="BW139" s="438">
        <v>0</v>
      </c>
      <c r="BX139" s="438">
        <v>0</v>
      </c>
      <c r="BY139" s="438">
        <v>0</v>
      </c>
      <c r="BZ139" s="438">
        <v>0</v>
      </c>
      <c r="CA139" s="438">
        <v>0</v>
      </c>
      <c r="CB139" s="438">
        <v>0</v>
      </c>
      <c r="CC139" s="438">
        <v>0</v>
      </c>
      <c r="CG139" s="438">
        <v>0</v>
      </c>
      <c r="CH139" s="438">
        <v>49125</v>
      </c>
      <c r="CI139" s="438">
        <v>0</v>
      </c>
      <c r="CJ139" s="438">
        <v>4</v>
      </c>
      <c r="CK139" s="438">
        <v>0</v>
      </c>
      <c r="CL139" s="438">
        <v>0</v>
      </c>
      <c r="CN139" s="438">
        <v>0</v>
      </c>
      <c r="CO139" s="438">
        <v>1</v>
      </c>
      <c r="CP139" s="438">
        <v>0</v>
      </c>
      <c r="CQ139" s="438">
        <v>3.6669999999999998</v>
      </c>
      <c r="CR139" s="438">
        <v>1053.365</v>
      </c>
      <c r="CS139" s="438">
        <v>0</v>
      </c>
      <c r="CT139" s="438">
        <v>0</v>
      </c>
      <c r="CU139" s="438">
        <v>0</v>
      </c>
      <c r="CV139" s="438">
        <v>0</v>
      </c>
      <c r="CW139" s="438">
        <v>0</v>
      </c>
      <c r="CX139" s="438">
        <v>0</v>
      </c>
      <c r="CY139" s="438">
        <v>0</v>
      </c>
      <c r="CZ139" s="438">
        <v>0</v>
      </c>
      <c r="DA139" s="438">
        <v>1</v>
      </c>
      <c r="DB139" s="438">
        <v>6760325</v>
      </c>
      <c r="DC139" s="438">
        <v>0</v>
      </c>
      <c r="DD139" s="438">
        <v>100.084</v>
      </c>
      <c r="DE139" s="438">
        <v>1487019</v>
      </c>
      <c r="DF139" s="438">
        <v>1487019</v>
      </c>
      <c r="DG139" s="438">
        <v>1136.17</v>
      </c>
      <c r="DH139" s="438">
        <v>0</v>
      </c>
      <c r="DI139" s="438">
        <v>0</v>
      </c>
      <c r="DK139" s="437">
        <v>5392</v>
      </c>
      <c r="DL139" s="438">
        <v>0</v>
      </c>
      <c r="DM139" s="438">
        <v>486524</v>
      </c>
      <c r="DN139" s="438">
        <v>0</v>
      </c>
      <c r="DO139" s="438">
        <v>0</v>
      </c>
      <c r="DP139" s="438">
        <v>0</v>
      </c>
      <c r="DQ139" s="438">
        <v>0</v>
      </c>
      <c r="DR139" s="438">
        <v>0</v>
      </c>
      <c r="DS139" s="438">
        <v>0</v>
      </c>
      <c r="DT139" s="438">
        <v>0</v>
      </c>
      <c r="DU139" s="438">
        <v>0</v>
      </c>
      <c r="DV139" s="438">
        <v>0</v>
      </c>
      <c r="DW139" s="438">
        <v>0</v>
      </c>
      <c r="DX139" s="438">
        <v>0</v>
      </c>
      <c r="DY139" s="438">
        <v>0</v>
      </c>
      <c r="DZ139" s="438">
        <v>0</v>
      </c>
      <c r="EA139" s="438">
        <v>0</v>
      </c>
      <c r="EB139" s="438">
        <v>0</v>
      </c>
      <c r="EC139" s="438">
        <v>10.015000000000001</v>
      </c>
      <c r="ED139" s="438">
        <v>72092</v>
      </c>
      <c r="EE139" s="438">
        <v>0</v>
      </c>
      <c r="EF139" s="438">
        <v>0</v>
      </c>
      <c r="EG139" s="438">
        <v>0</v>
      </c>
      <c r="EH139" s="438">
        <v>414432</v>
      </c>
      <c r="EI139" s="438">
        <v>0</v>
      </c>
      <c r="EJ139" s="438">
        <v>0</v>
      </c>
      <c r="EK139" s="438">
        <v>18.187000000000001</v>
      </c>
      <c r="EL139" s="438">
        <v>0</v>
      </c>
      <c r="EM139" s="438">
        <v>0.91800000000000004</v>
      </c>
      <c r="EN139" s="438">
        <v>1.2030000000000001</v>
      </c>
      <c r="EO139" s="438">
        <v>0</v>
      </c>
      <c r="EP139" s="438">
        <v>0</v>
      </c>
      <c r="EQ139" s="438">
        <v>20.308</v>
      </c>
      <c r="ER139" s="438">
        <v>0</v>
      </c>
      <c r="ES139" s="438">
        <v>63.33</v>
      </c>
      <c r="ET139" s="438">
        <v>49125</v>
      </c>
      <c r="EU139" s="438">
        <v>263358</v>
      </c>
      <c r="EV139" s="438">
        <v>0</v>
      </c>
      <c r="EW139" s="438">
        <v>0</v>
      </c>
      <c r="EX139" s="438">
        <v>0</v>
      </c>
      <c r="EZ139" s="438">
        <v>8737824</v>
      </c>
      <c r="FA139" s="438">
        <v>0</v>
      </c>
      <c r="FB139" s="438">
        <v>9001182</v>
      </c>
      <c r="FC139" s="438">
        <v>0.97334900000000002</v>
      </c>
      <c r="FD139" s="438">
        <v>0</v>
      </c>
      <c r="FE139" s="438">
        <v>1259913</v>
      </c>
      <c r="FF139" s="438">
        <v>287162</v>
      </c>
      <c r="FG139" s="437">
        <v>5.7854999999999997E-2</v>
      </c>
      <c r="FH139" s="437">
        <v>5.2366000000000003E-2</v>
      </c>
      <c r="FI139" s="438">
        <v>0</v>
      </c>
      <c r="FJ139" s="438">
        <v>0</v>
      </c>
      <c r="FK139" s="438">
        <v>1716.3530000000001</v>
      </c>
      <c r="FL139" s="438">
        <v>10597382</v>
      </c>
      <c r="FM139" s="438">
        <v>0</v>
      </c>
      <c r="FN139" s="438">
        <v>0</v>
      </c>
      <c r="FO139" s="438">
        <v>0</v>
      </c>
      <c r="FP139" s="438">
        <v>0</v>
      </c>
      <c r="FQ139" s="438">
        <v>0</v>
      </c>
      <c r="FR139" s="438">
        <v>0</v>
      </c>
      <c r="FS139" s="438">
        <v>0</v>
      </c>
      <c r="FT139" s="438">
        <v>0</v>
      </c>
      <c r="FU139" s="438">
        <v>0</v>
      </c>
      <c r="FV139" s="438">
        <v>0</v>
      </c>
      <c r="FW139" s="438">
        <v>0</v>
      </c>
      <c r="FX139" s="438">
        <v>0</v>
      </c>
      <c r="FY139" s="438">
        <v>0</v>
      </c>
      <c r="FZ139" s="438">
        <v>0</v>
      </c>
      <c r="GA139" s="438">
        <v>0</v>
      </c>
      <c r="GB139" s="438">
        <v>0</v>
      </c>
      <c r="GC139" s="438">
        <v>0</v>
      </c>
      <c r="GD139" s="438">
        <v>0</v>
      </c>
      <c r="GF139" s="438">
        <v>0</v>
      </c>
      <c r="GG139" s="438">
        <v>0</v>
      </c>
      <c r="GH139" s="438">
        <v>0</v>
      </c>
      <c r="GI139" s="438">
        <v>0</v>
      </c>
      <c r="GJ139" s="438">
        <v>0</v>
      </c>
      <c r="GK139" s="438">
        <v>4611.1210000000001</v>
      </c>
      <c r="GL139" s="438">
        <v>15058</v>
      </c>
      <c r="GM139" s="438">
        <v>0</v>
      </c>
      <c r="GN139" s="438">
        <v>0</v>
      </c>
      <c r="GO139" s="438">
        <v>0</v>
      </c>
      <c r="GP139" s="438">
        <v>10548257</v>
      </c>
      <c r="GQ139" s="438">
        <v>10548257</v>
      </c>
      <c r="GR139" s="438">
        <v>0</v>
      </c>
      <c r="GS139" s="438">
        <v>0</v>
      </c>
      <c r="GT139" s="438">
        <v>0</v>
      </c>
      <c r="HB139" s="438">
        <v>0</v>
      </c>
      <c r="HC139" s="437">
        <v>6.0754000000000002E-2</v>
      </c>
      <c r="HD139" s="438">
        <v>0</v>
      </c>
    </row>
    <row r="140" spans="1:212" x14ac:dyDescent="0.2">
      <c r="A140" s="438">
        <v>25836</v>
      </c>
      <c r="B140" s="442">
        <v>108804</v>
      </c>
      <c r="C140" s="438">
        <v>9</v>
      </c>
      <c r="D140" s="438">
        <v>2020</v>
      </c>
      <c r="E140" s="438">
        <v>5392</v>
      </c>
      <c r="F140" s="438">
        <v>0</v>
      </c>
      <c r="G140" s="438">
        <v>343.24799999999999</v>
      </c>
      <c r="H140" s="438">
        <v>314.32400000000001</v>
      </c>
      <c r="I140" s="438">
        <v>314.32400000000001</v>
      </c>
      <c r="J140" s="438">
        <v>343.24799999999999</v>
      </c>
      <c r="K140" s="438">
        <v>0</v>
      </c>
      <c r="L140" s="437">
        <v>6544</v>
      </c>
      <c r="M140" s="438">
        <v>0</v>
      </c>
      <c r="N140" s="438">
        <v>0</v>
      </c>
      <c r="P140" s="438">
        <v>342.495</v>
      </c>
      <c r="Q140" s="438">
        <v>0</v>
      </c>
      <c r="R140" s="438">
        <v>84797</v>
      </c>
      <c r="S140" s="437">
        <v>247.58699999999999</v>
      </c>
      <c r="U140" s="438">
        <v>0</v>
      </c>
      <c r="V140" s="438">
        <v>78.13</v>
      </c>
      <c r="W140" s="438">
        <v>51128</v>
      </c>
      <c r="X140" s="438">
        <v>51128</v>
      </c>
      <c r="Z140" s="438">
        <v>0</v>
      </c>
      <c r="AA140" s="438">
        <v>1</v>
      </c>
      <c r="AB140" s="438">
        <v>1</v>
      </c>
      <c r="AC140" s="438">
        <v>0</v>
      </c>
      <c r="AD140" s="438" t="s">
        <v>332</v>
      </c>
      <c r="AE140" s="438">
        <v>0</v>
      </c>
      <c r="AH140" s="438">
        <v>0</v>
      </c>
      <c r="AI140" s="438">
        <v>0</v>
      </c>
      <c r="AJ140" s="437">
        <v>5105</v>
      </c>
      <c r="AK140" s="438" t="s">
        <v>561</v>
      </c>
      <c r="AL140" s="438" t="s">
        <v>653</v>
      </c>
      <c r="AM140" s="438">
        <v>0</v>
      </c>
      <c r="AN140" s="438">
        <v>0</v>
      </c>
      <c r="AO140" s="438">
        <v>0</v>
      </c>
      <c r="AP140" s="438">
        <v>0</v>
      </c>
      <c r="AQ140" s="438">
        <v>0</v>
      </c>
      <c r="AR140" s="438">
        <v>0</v>
      </c>
      <c r="AS140" s="438">
        <v>0</v>
      </c>
      <c r="AT140" s="438">
        <v>0</v>
      </c>
      <c r="AU140" s="438">
        <v>0</v>
      </c>
      <c r="AV140" s="438">
        <v>0</v>
      </c>
      <c r="AW140" s="438">
        <v>3656065</v>
      </c>
      <c r="AX140" s="438">
        <v>3558848</v>
      </c>
      <c r="AY140" s="438">
        <v>0</v>
      </c>
      <c r="AZ140" s="438">
        <v>171743</v>
      </c>
      <c r="BA140" s="438">
        <v>14.667</v>
      </c>
      <c r="BB140" s="438">
        <v>0</v>
      </c>
      <c r="BC140" s="438">
        <v>0</v>
      </c>
      <c r="BD140" s="438">
        <v>0</v>
      </c>
      <c r="BE140" s="438">
        <v>0</v>
      </c>
      <c r="BF140" s="438">
        <v>3026382</v>
      </c>
      <c r="BG140" s="438">
        <v>0</v>
      </c>
      <c r="BH140" s="438">
        <v>316.16800000000001</v>
      </c>
      <c r="BI140" s="438">
        <v>86946</v>
      </c>
      <c r="BJ140" s="438">
        <v>12</v>
      </c>
      <c r="BK140" s="438">
        <v>0</v>
      </c>
      <c r="BL140" s="438">
        <v>0</v>
      </c>
      <c r="BM140" s="438">
        <v>0</v>
      </c>
      <c r="BN140" s="438">
        <v>0</v>
      </c>
      <c r="BO140" s="438">
        <v>0</v>
      </c>
      <c r="BP140" s="438">
        <v>0</v>
      </c>
      <c r="BQ140" s="437">
        <v>5392</v>
      </c>
      <c r="BR140" s="438">
        <v>1</v>
      </c>
      <c r="BS140" s="438">
        <v>0</v>
      </c>
      <c r="BT140" s="438">
        <v>0</v>
      </c>
      <c r="BU140" s="438">
        <v>0</v>
      </c>
      <c r="BV140" s="438">
        <v>0</v>
      </c>
      <c r="BW140" s="438">
        <v>0</v>
      </c>
      <c r="BX140" s="438">
        <v>0</v>
      </c>
      <c r="BY140" s="438">
        <v>0</v>
      </c>
      <c r="BZ140" s="438">
        <v>0</v>
      </c>
      <c r="CA140" s="438">
        <v>0</v>
      </c>
      <c r="CB140" s="438">
        <v>0</v>
      </c>
      <c r="CC140" s="438">
        <v>0</v>
      </c>
      <c r="CG140" s="438">
        <v>0</v>
      </c>
      <c r="CH140" s="438">
        <v>10271</v>
      </c>
      <c r="CI140" s="438">
        <v>0</v>
      </c>
      <c r="CJ140" s="438">
        <v>4</v>
      </c>
      <c r="CK140" s="438">
        <v>0</v>
      </c>
      <c r="CL140" s="438">
        <v>0</v>
      </c>
      <c r="CN140" s="438">
        <v>0</v>
      </c>
      <c r="CO140" s="438">
        <v>1</v>
      </c>
      <c r="CP140" s="438">
        <v>4.5449999999999999</v>
      </c>
      <c r="CQ140" s="438">
        <v>11.75</v>
      </c>
      <c r="CR140" s="438">
        <v>343.24799999999999</v>
      </c>
      <c r="CS140" s="438">
        <v>0</v>
      </c>
      <c r="CT140" s="438">
        <v>0</v>
      </c>
      <c r="CU140" s="438">
        <v>0</v>
      </c>
      <c r="CV140" s="438">
        <v>0</v>
      </c>
      <c r="CW140" s="438">
        <v>0</v>
      </c>
      <c r="CX140" s="438">
        <v>0</v>
      </c>
      <c r="CY140" s="438">
        <v>0</v>
      </c>
      <c r="CZ140" s="438">
        <v>0</v>
      </c>
      <c r="DA140" s="438">
        <v>1</v>
      </c>
      <c r="DB140" s="438">
        <v>2056936</v>
      </c>
      <c r="DC140" s="438">
        <v>0</v>
      </c>
      <c r="DD140" s="438">
        <v>0</v>
      </c>
      <c r="DE140" s="438">
        <v>440189</v>
      </c>
      <c r="DF140" s="438">
        <v>511868</v>
      </c>
      <c r="DG140" s="438">
        <v>336.33</v>
      </c>
      <c r="DH140" s="438">
        <v>0</v>
      </c>
      <c r="DI140" s="438">
        <v>71679</v>
      </c>
      <c r="DK140" s="437">
        <v>5392</v>
      </c>
      <c r="DL140" s="438">
        <v>0</v>
      </c>
      <c r="DM140" s="438">
        <v>236826</v>
      </c>
      <c r="DN140" s="438">
        <v>0</v>
      </c>
      <c r="DO140" s="438">
        <v>0</v>
      </c>
      <c r="DP140" s="438">
        <v>0</v>
      </c>
      <c r="DQ140" s="438">
        <v>0</v>
      </c>
      <c r="DR140" s="438">
        <v>0</v>
      </c>
      <c r="DS140" s="438">
        <v>0</v>
      </c>
      <c r="DT140" s="438">
        <v>0</v>
      </c>
      <c r="DU140" s="438">
        <v>0</v>
      </c>
      <c r="DV140" s="438">
        <v>0</v>
      </c>
      <c r="DW140" s="438">
        <v>0</v>
      </c>
      <c r="DX140" s="438">
        <v>0</v>
      </c>
      <c r="DY140" s="438">
        <v>0</v>
      </c>
      <c r="DZ140" s="438">
        <v>0</v>
      </c>
      <c r="EA140" s="438">
        <v>7.6999999999999999E-2</v>
      </c>
      <c r="EB140" s="438">
        <v>0</v>
      </c>
      <c r="EC140" s="438">
        <v>31.757999999999999</v>
      </c>
      <c r="ED140" s="438">
        <v>228607</v>
      </c>
      <c r="EE140" s="438">
        <v>0</v>
      </c>
      <c r="EF140" s="438">
        <v>0</v>
      </c>
      <c r="EG140" s="438">
        <v>0</v>
      </c>
      <c r="EH140" s="438">
        <v>8219</v>
      </c>
      <c r="EI140" s="438">
        <v>0</v>
      </c>
      <c r="EJ140" s="438">
        <v>0</v>
      </c>
      <c r="EK140" s="438">
        <v>0.23200000000000001</v>
      </c>
      <c r="EL140" s="438">
        <v>0</v>
      </c>
      <c r="EM140" s="438">
        <v>0</v>
      </c>
      <c r="EN140" s="438">
        <v>3.5000000000000003E-2</v>
      </c>
      <c r="EO140" s="438">
        <v>0</v>
      </c>
      <c r="EP140" s="438">
        <v>0</v>
      </c>
      <c r="EQ140" s="438">
        <v>0.34399999999999997</v>
      </c>
      <c r="ER140" s="438">
        <v>0</v>
      </c>
      <c r="ES140" s="438">
        <v>1.256</v>
      </c>
      <c r="ET140" s="438">
        <v>10271</v>
      </c>
      <c r="EU140" s="438">
        <v>171743</v>
      </c>
      <c r="EV140" s="438">
        <v>0</v>
      </c>
      <c r="EW140" s="438">
        <v>0</v>
      </c>
      <c r="EX140" s="438">
        <v>0</v>
      </c>
      <c r="EZ140" s="438">
        <v>3024448</v>
      </c>
      <c r="FA140" s="438">
        <v>0</v>
      </c>
      <c r="FB140" s="438">
        <v>3196191</v>
      </c>
      <c r="FC140" s="438">
        <v>0.97334900000000002</v>
      </c>
      <c r="FD140" s="438">
        <v>0</v>
      </c>
      <c r="FE140" s="438">
        <v>435207</v>
      </c>
      <c r="FF140" s="438">
        <v>99193</v>
      </c>
      <c r="FG140" s="437">
        <v>5.7854999999999997E-2</v>
      </c>
      <c r="FH140" s="437">
        <v>5.2366000000000003E-2</v>
      </c>
      <c r="FI140" s="438">
        <v>0</v>
      </c>
      <c r="FJ140" s="438">
        <v>0</v>
      </c>
      <c r="FK140" s="438">
        <v>592.87300000000005</v>
      </c>
      <c r="FL140" s="438">
        <v>3740862</v>
      </c>
      <c r="FM140" s="438">
        <v>0</v>
      </c>
      <c r="FN140" s="438">
        <v>0</v>
      </c>
      <c r="FO140" s="438">
        <v>0</v>
      </c>
      <c r="FP140" s="438">
        <v>0</v>
      </c>
      <c r="FQ140" s="438">
        <v>0</v>
      </c>
      <c r="FR140" s="438">
        <v>0</v>
      </c>
      <c r="FS140" s="438">
        <v>0</v>
      </c>
      <c r="FT140" s="438">
        <v>0</v>
      </c>
      <c r="FU140" s="438">
        <v>0</v>
      </c>
      <c r="FV140" s="438">
        <v>0</v>
      </c>
      <c r="FW140" s="438">
        <v>0</v>
      </c>
      <c r="FX140" s="438">
        <v>0</v>
      </c>
      <c r="FY140" s="438">
        <v>0</v>
      </c>
      <c r="FZ140" s="438">
        <v>0</v>
      </c>
      <c r="GA140" s="438">
        <v>0</v>
      </c>
      <c r="GB140" s="438">
        <v>252487</v>
      </c>
      <c r="GC140" s="438">
        <v>252487</v>
      </c>
      <c r="GD140" s="438">
        <v>28.58</v>
      </c>
      <c r="GF140" s="438">
        <v>0</v>
      </c>
      <c r="GG140" s="438">
        <v>0</v>
      </c>
      <c r="GH140" s="438">
        <v>0</v>
      </c>
      <c r="GI140" s="438">
        <v>0</v>
      </c>
      <c r="GJ140" s="438">
        <v>0</v>
      </c>
      <c r="GK140" s="438">
        <v>4773.2240000000002</v>
      </c>
      <c r="GL140" s="438">
        <v>8521</v>
      </c>
      <c r="GM140" s="438">
        <v>0</v>
      </c>
      <c r="GN140" s="438">
        <v>0</v>
      </c>
      <c r="GO140" s="438">
        <v>0</v>
      </c>
      <c r="GP140" s="438">
        <v>3730591</v>
      </c>
      <c r="GQ140" s="438">
        <v>3730591</v>
      </c>
      <c r="GR140" s="438">
        <v>0</v>
      </c>
      <c r="GS140" s="438">
        <v>0</v>
      </c>
      <c r="GT140" s="438">
        <v>0</v>
      </c>
      <c r="HB140" s="438">
        <v>0</v>
      </c>
      <c r="HC140" s="437">
        <v>6.0754000000000002E-2</v>
      </c>
      <c r="HD140" s="438">
        <v>0</v>
      </c>
    </row>
    <row r="141" spans="1:212" x14ac:dyDescent="0.2">
      <c r="A141" s="438">
        <v>25836</v>
      </c>
      <c r="B141" s="442">
        <v>108808</v>
      </c>
      <c r="C141" s="438">
        <v>9</v>
      </c>
      <c r="D141" s="438">
        <v>2020</v>
      </c>
      <c r="E141" s="438">
        <v>5392</v>
      </c>
      <c r="F141" s="438">
        <v>0</v>
      </c>
      <c r="G141" s="438">
        <v>3765.98</v>
      </c>
      <c r="H141" s="438">
        <v>3558.2379999999998</v>
      </c>
      <c r="I141" s="438">
        <v>3558.2379999999998</v>
      </c>
      <c r="J141" s="438">
        <v>3765.98</v>
      </c>
      <c r="K141" s="438">
        <v>0</v>
      </c>
      <c r="L141" s="437">
        <v>6544</v>
      </c>
      <c r="M141" s="438">
        <v>0</v>
      </c>
      <c r="N141" s="438">
        <v>0</v>
      </c>
      <c r="P141" s="438">
        <v>3776.34</v>
      </c>
      <c r="Q141" s="438">
        <v>0</v>
      </c>
      <c r="R141" s="438">
        <v>934973</v>
      </c>
      <c r="S141" s="437">
        <v>247.58699999999999</v>
      </c>
      <c r="U141" s="438">
        <v>0</v>
      </c>
      <c r="V141" s="438">
        <v>1480.8779999999999</v>
      </c>
      <c r="W141" s="438">
        <v>969087</v>
      </c>
      <c r="X141" s="438">
        <v>969087</v>
      </c>
      <c r="Z141" s="438">
        <v>0</v>
      </c>
      <c r="AA141" s="438">
        <v>1</v>
      </c>
      <c r="AB141" s="438">
        <v>1</v>
      </c>
      <c r="AC141" s="438">
        <v>0</v>
      </c>
      <c r="AD141" s="438" t="s">
        <v>332</v>
      </c>
      <c r="AE141" s="438">
        <v>0</v>
      </c>
      <c r="AH141" s="438">
        <v>0</v>
      </c>
      <c r="AI141" s="438">
        <v>0</v>
      </c>
      <c r="AJ141" s="437">
        <v>5105</v>
      </c>
      <c r="AK141" s="438" t="s">
        <v>561</v>
      </c>
      <c r="AL141" s="438" t="s">
        <v>93</v>
      </c>
      <c r="AM141" s="438">
        <v>0</v>
      </c>
      <c r="AN141" s="438">
        <v>0</v>
      </c>
      <c r="AO141" s="438">
        <v>0</v>
      </c>
      <c r="AP141" s="438">
        <v>0</v>
      </c>
      <c r="AQ141" s="438">
        <v>0</v>
      </c>
      <c r="AR141" s="438">
        <v>0</v>
      </c>
      <c r="AS141" s="438">
        <v>0</v>
      </c>
      <c r="AT141" s="438">
        <v>0</v>
      </c>
      <c r="AU141" s="438">
        <v>0</v>
      </c>
      <c r="AV141" s="438">
        <v>0</v>
      </c>
      <c r="AW141" s="438">
        <v>35424800</v>
      </c>
      <c r="AX141" s="438">
        <v>35323435</v>
      </c>
      <c r="AY141" s="438">
        <v>0</v>
      </c>
      <c r="AZ141" s="438">
        <v>1036338</v>
      </c>
      <c r="BA141" s="438">
        <v>0</v>
      </c>
      <c r="BB141" s="438">
        <v>0</v>
      </c>
      <c r="BC141" s="438">
        <v>0</v>
      </c>
      <c r="BD141" s="438">
        <v>0</v>
      </c>
      <c r="BE141" s="438">
        <v>0</v>
      </c>
      <c r="BF141" s="438">
        <v>30115932</v>
      </c>
      <c r="BG141" s="438">
        <v>0</v>
      </c>
      <c r="BH141" s="438">
        <v>368.6</v>
      </c>
      <c r="BI141" s="438">
        <v>101365</v>
      </c>
      <c r="BJ141" s="438">
        <v>12</v>
      </c>
      <c r="BK141" s="438">
        <v>0</v>
      </c>
      <c r="BL141" s="438">
        <v>0</v>
      </c>
      <c r="BM141" s="438">
        <v>0</v>
      </c>
      <c r="BN141" s="438">
        <v>0</v>
      </c>
      <c r="BO141" s="438">
        <v>0</v>
      </c>
      <c r="BP141" s="438">
        <v>0</v>
      </c>
      <c r="BQ141" s="437">
        <v>5392</v>
      </c>
      <c r="BR141" s="438">
        <v>1</v>
      </c>
      <c r="BS141" s="438">
        <v>0</v>
      </c>
      <c r="BT141" s="438">
        <v>0</v>
      </c>
      <c r="BU141" s="438">
        <v>0</v>
      </c>
      <c r="BV141" s="438">
        <v>0</v>
      </c>
      <c r="BW141" s="438">
        <v>0</v>
      </c>
      <c r="BX141" s="438">
        <v>0</v>
      </c>
      <c r="BY141" s="438">
        <v>0</v>
      </c>
      <c r="BZ141" s="438">
        <v>0</v>
      </c>
      <c r="CA141" s="438">
        <v>0</v>
      </c>
      <c r="CB141" s="438">
        <v>0</v>
      </c>
      <c r="CC141" s="438">
        <v>0</v>
      </c>
      <c r="CG141" s="438">
        <v>0</v>
      </c>
      <c r="CH141" s="438">
        <v>0</v>
      </c>
      <c r="CI141" s="438">
        <v>0</v>
      </c>
      <c r="CJ141" s="438">
        <v>4</v>
      </c>
      <c r="CK141" s="438">
        <v>0</v>
      </c>
      <c r="CL141" s="438">
        <v>0</v>
      </c>
      <c r="CN141" s="438">
        <v>0</v>
      </c>
      <c r="CO141" s="438">
        <v>1</v>
      </c>
      <c r="CP141" s="438">
        <v>0</v>
      </c>
      <c r="CQ141" s="438">
        <v>0</v>
      </c>
      <c r="CR141" s="438">
        <v>3765.98</v>
      </c>
      <c r="CS141" s="438">
        <v>0</v>
      </c>
      <c r="CT141" s="438">
        <v>0</v>
      </c>
      <c r="CU141" s="438">
        <v>0</v>
      </c>
      <c r="CV141" s="438">
        <v>0</v>
      </c>
      <c r="CW141" s="438">
        <v>0</v>
      </c>
      <c r="CX141" s="438">
        <v>0</v>
      </c>
      <c r="CY141" s="438">
        <v>0</v>
      </c>
      <c r="CZ141" s="438">
        <v>0</v>
      </c>
      <c r="DA141" s="438">
        <v>1</v>
      </c>
      <c r="DB141" s="438">
        <v>23285109</v>
      </c>
      <c r="DC141" s="438">
        <v>0</v>
      </c>
      <c r="DD141" s="438">
        <v>0</v>
      </c>
      <c r="DE141" s="438">
        <v>4079307</v>
      </c>
      <c r="DF141" s="438">
        <v>4079307</v>
      </c>
      <c r="DG141" s="438">
        <v>3116.83</v>
      </c>
      <c r="DH141" s="438">
        <v>0</v>
      </c>
      <c r="DI141" s="438">
        <v>0</v>
      </c>
      <c r="DK141" s="437">
        <v>5392</v>
      </c>
      <c r="DL141" s="438">
        <v>0</v>
      </c>
      <c r="DM141" s="438">
        <v>1293718</v>
      </c>
      <c r="DN141" s="438">
        <v>0</v>
      </c>
      <c r="DO141" s="438">
        <v>0</v>
      </c>
      <c r="DP141" s="438">
        <v>0</v>
      </c>
      <c r="DQ141" s="438">
        <v>0</v>
      </c>
      <c r="DR141" s="438">
        <v>0</v>
      </c>
      <c r="DS141" s="438">
        <v>0</v>
      </c>
      <c r="DT141" s="438">
        <v>0</v>
      </c>
      <c r="DU141" s="438">
        <v>0</v>
      </c>
      <c r="DV141" s="438">
        <v>0</v>
      </c>
      <c r="DW141" s="438">
        <v>0</v>
      </c>
      <c r="DX141" s="438">
        <v>0</v>
      </c>
      <c r="DY141" s="438">
        <v>0</v>
      </c>
      <c r="DZ141" s="438">
        <v>0</v>
      </c>
      <c r="EA141" s="438">
        <v>0</v>
      </c>
      <c r="EB141" s="438">
        <v>0</v>
      </c>
      <c r="EC141" s="438">
        <v>9.9930000000000003</v>
      </c>
      <c r="ED141" s="438">
        <v>71934</v>
      </c>
      <c r="EE141" s="438">
        <v>0</v>
      </c>
      <c r="EF141" s="438">
        <v>0</v>
      </c>
      <c r="EG141" s="438">
        <v>0</v>
      </c>
      <c r="EH141" s="438">
        <v>1221784</v>
      </c>
      <c r="EI141" s="438">
        <v>0</v>
      </c>
      <c r="EJ141" s="438">
        <v>0</v>
      </c>
      <c r="EK141" s="438">
        <v>54.360999999999997</v>
      </c>
      <c r="EL141" s="438">
        <v>0</v>
      </c>
      <c r="EM141" s="438">
        <v>0</v>
      </c>
      <c r="EN141" s="438">
        <v>4.7240000000000002</v>
      </c>
      <c r="EO141" s="438">
        <v>0</v>
      </c>
      <c r="EP141" s="438">
        <v>0</v>
      </c>
      <c r="EQ141" s="438">
        <v>59.085000000000001</v>
      </c>
      <c r="ER141" s="438">
        <v>0</v>
      </c>
      <c r="ES141" s="438">
        <v>186.703</v>
      </c>
      <c r="ET141" s="438">
        <v>0</v>
      </c>
      <c r="EU141" s="438">
        <v>1036338</v>
      </c>
      <c r="EV141" s="438">
        <v>0</v>
      </c>
      <c r="EW141" s="438">
        <v>0</v>
      </c>
      <c r="EX141" s="438">
        <v>0</v>
      </c>
      <c r="EZ141" s="438">
        <v>30005543</v>
      </c>
      <c r="FA141" s="438">
        <v>0</v>
      </c>
      <c r="FB141" s="438">
        <v>31041881</v>
      </c>
      <c r="FC141" s="438">
        <v>0.97334900000000002</v>
      </c>
      <c r="FD141" s="438">
        <v>0</v>
      </c>
      <c r="FE141" s="438">
        <v>4330806</v>
      </c>
      <c r="FF141" s="438">
        <v>987086</v>
      </c>
      <c r="FG141" s="437">
        <v>5.7854999999999997E-2</v>
      </c>
      <c r="FH141" s="437">
        <v>5.2366000000000003E-2</v>
      </c>
      <c r="FI141" s="438">
        <v>0</v>
      </c>
      <c r="FJ141" s="438">
        <v>0</v>
      </c>
      <c r="FK141" s="438">
        <v>5899.7640000000001</v>
      </c>
      <c r="FL141" s="438">
        <v>36359773</v>
      </c>
      <c r="FM141" s="438">
        <v>0</v>
      </c>
      <c r="FN141" s="438">
        <v>0</v>
      </c>
      <c r="FO141" s="438">
        <v>0</v>
      </c>
      <c r="FP141" s="438">
        <v>0</v>
      </c>
      <c r="FQ141" s="438">
        <v>0</v>
      </c>
      <c r="FR141" s="438">
        <v>0</v>
      </c>
      <c r="FS141" s="438">
        <v>0</v>
      </c>
      <c r="FT141" s="438">
        <v>0</v>
      </c>
      <c r="FU141" s="438">
        <v>0</v>
      </c>
      <c r="FV141" s="438">
        <v>0</v>
      </c>
      <c r="FW141" s="438">
        <v>0</v>
      </c>
      <c r="FX141" s="438">
        <v>0</v>
      </c>
      <c r="FY141" s="438">
        <v>0</v>
      </c>
      <c r="FZ141" s="438">
        <v>0</v>
      </c>
      <c r="GA141" s="438">
        <v>0</v>
      </c>
      <c r="GB141" s="438">
        <v>1313295</v>
      </c>
      <c r="GC141" s="438">
        <v>1313295</v>
      </c>
      <c r="GD141" s="438">
        <v>148.65700000000001</v>
      </c>
      <c r="GF141" s="438">
        <v>0</v>
      </c>
      <c r="GG141" s="438">
        <v>0</v>
      </c>
      <c r="GH141" s="438">
        <v>0</v>
      </c>
      <c r="GI141" s="438">
        <v>0</v>
      </c>
      <c r="GJ141" s="438">
        <v>0</v>
      </c>
      <c r="GK141" s="438">
        <v>4604.6369999999997</v>
      </c>
      <c r="GL141" s="438">
        <v>18207</v>
      </c>
      <c r="GM141" s="438">
        <v>0</v>
      </c>
      <c r="GN141" s="438">
        <v>0</v>
      </c>
      <c r="GO141" s="438">
        <v>0</v>
      </c>
      <c r="GP141" s="438">
        <v>36359773</v>
      </c>
      <c r="GQ141" s="438">
        <v>36359773</v>
      </c>
      <c r="GR141" s="438">
        <v>0</v>
      </c>
      <c r="GS141" s="438">
        <v>0</v>
      </c>
      <c r="GT141" s="438">
        <v>0</v>
      </c>
      <c r="HB141" s="438">
        <v>0</v>
      </c>
      <c r="HC141" s="437">
        <v>6.0754000000000002E-2</v>
      </c>
      <c r="HD141" s="438">
        <v>0</v>
      </c>
    </row>
    <row r="142" spans="1:212" x14ac:dyDescent="0.2">
      <c r="A142" s="438">
        <v>25836</v>
      </c>
      <c r="B142" s="442">
        <v>108809</v>
      </c>
      <c r="C142" s="438">
        <v>9</v>
      </c>
      <c r="D142" s="438">
        <v>2020</v>
      </c>
      <c r="E142" s="438">
        <v>5392</v>
      </c>
      <c r="F142" s="438">
        <v>0</v>
      </c>
      <c r="G142" s="438">
        <v>220.05099999999999</v>
      </c>
      <c r="H142" s="438">
        <v>213.054</v>
      </c>
      <c r="I142" s="438">
        <v>213.054</v>
      </c>
      <c r="J142" s="438">
        <v>220.05099999999999</v>
      </c>
      <c r="K142" s="438">
        <v>0</v>
      </c>
      <c r="L142" s="437">
        <v>6544</v>
      </c>
      <c r="M142" s="438">
        <v>0</v>
      </c>
      <c r="N142" s="438">
        <v>0</v>
      </c>
      <c r="P142" s="438">
        <v>219.60400000000001</v>
      </c>
      <c r="Q142" s="438">
        <v>0</v>
      </c>
      <c r="R142" s="438">
        <v>54371</v>
      </c>
      <c r="S142" s="437">
        <v>247.58699999999999</v>
      </c>
      <c r="U142" s="438">
        <v>0</v>
      </c>
      <c r="V142" s="438">
        <v>131.11699999999999</v>
      </c>
      <c r="W142" s="438">
        <v>85803</v>
      </c>
      <c r="X142" s="438">
        <v>85803</v>
      </c>
      <c r="Z142" s="438">
        <v>0</v>
      </c>
      <c r="AA142" s="438">
        <v>1</v>
      </c>
      <c r="AB142" s="438">
        <v>1</v>
      </c>
      <c r="AC142" s="438">
        <v>0</v>
      </c>
      <c r="AD142" s="438" t="s">
        <v>332</v>
      </c>
      <c r="AE142" s="438">
        <v>0</v>
      </c>
      <c r="AH142" s="438">
        <v>0</v>
      </c>
      <c r="AI142" s="438">
        <v>0</v>
      </c>
      <c r="AJ142" s="437">
        <v>5105</v>
      </c>
      <c r="AK142" s="438" t="s">
        <v>561</v>
      </c>
      <c r="AL142" s="438" t="s">
        <v>126</v>
      </c>
      <c r="AM142" s="438">
        <v>0</v>
      </c>
      <c r="AN142" s="438">
        <v>0</v>
      </c>
      <c r="AO142" s="438">
        <v>0</v>
      </c>
      <c r="AP142" s="438">
        <v>0</v>
      </c>
      <c r="AQ142" s="438">
        <v>0</v>
      </c>
      <c r="AR142" s="438">
        <v>0</v>
      </c>
      <c r="AS142" s="438">
        <v>0</v>
      </c>
      <c r="AT142" s="438">
        <v>0</v>
      </c>
      <c r="AU142" s="438">
        <v>0</v>
      </c>
      <c r="AV142" s="438">
        <v>0</v>
      </c>
      <c r="AW142" s="438">
        <v>2192703</v>
      </c>
      <c r="AX142" s="438">
        <v>2192703</v>
      </c>
      <c r="AY142" s="438">
        <v>0</v>
      </c>
      <c r="AZ142" s="438">
        <v>54371</v>
      </c>
      <c r="BA142" s="438">
        <v>0</v>
      </c>
      <c r="BB142" s="438">
        <v>1439</v>
      </c>
      <c r="BC142" s="438">
        <v>1439</v>
      </c>
      <c r="BD142" s="438">
        <v>1.833</v>
      </c>
      <c r="BE142" s="438">
        <v>0</v>
      </c>
      <c r="BF142" s="438">
        <v>1866401</v>
      </c>
      <c r="BG142" s="438">
        <v>0</v>
      </c>
      <c r="BH142" s="438">
        <v>0</v>
      </c>
      <c r="BI142" s="438">
        <v>0</v>
      </c>
      <c r="BJ142" s="438">
        <v>12</v>
      </c>
      <c r="BK142" s="438">
        <v>0</v>
      </c>
      <c r="BL142" s="438">
        <v>0</v>
      </c>
      <c r="BM142" s="438">
        <v>0</v>
      </c>
      <c r="BN142" s="438">
        <v>0</v>
      </c>
      <c r="BO142" s="438">
        <v>0</v>
      </c>
      <c r="BP142" s="438">
        <v>0</v>
      </c>
      <c r="BQ142" s="437">
        <v>5392</v>
      </c>
      <c r="BR142" s="438">
        <v>1</v>
      </c>
      <c r="BS142" s="438">
        <v>0</v>
      </c>
      <c r="BT142" s="438">
        <v>0</v>
      </c>
      <c r="BU142" s="438">
        <v>0</v>
      </c>
      <c r="BV142" s="438">
        <v>0</v>
      </c>
      <c r="BW142" s="438">
        <v>0</v>
      </c>
      <c r="BX142" s="438">
        <v>0</v>
      </c>
      <c r="BY142" s="438">
        <v>0</v>
      </c>
      <c r="BZ142" s="438">
        <v>0</v>
      </c>
      <c r="CA142" s="438">
        <v>0</v>
      </c>
      <c r="CB142" s="438">
        <v>0</v>
      </c>
      <c r="CC142" s="438">
        <v>0</v>
      </c>
      <c r="CG142" s="438">
        <v>0</v>
      </c>
      <c r="CH142" s="438">
        <v>0</v>
      </c>
      <c r="CI142" s="438">
        <v>0</v>
      </c>
      <c r="CJ142" s="438">
        <v>4</v>
      </c>
      <c r="CK142" s="438">
        <v>0</v>
      </c>
      <c r="CL142" s="438">
        <v>0</v>
      </c>
      <c r="CN142" s="438">
        <v>0</v>
      </c>
      <c r="CO142" s="438">
        <v>1</v>
      </c>
      <c r="CP142" s="438">
        <v>0</v>
      </c>
      <c r="CQ142" s="438">
        <v>0</v>
      </c>
      <c r="CR142" s="438">
        <v>220.05099999999999</v>
      </c>
      <c r="CS142" s="438">
        <v>0</v>
      </c>
      <c r="CT142" s="438">
        <v>0</v>
      </c>
      <c r="CU142" s="438">
        <v>0</v>
      </c>
      <c r="CV142" s="438">
        <v>0</v>
      </c>
      <c r="CW142" s="438">
        <v>0</v>
      </c>
      <c r="CX142" s="438">
        <v>0</v>
      </c>
      <c r="CY142" s="438">
        <v>0</v>
      </c>
      <c r="CZ142" s="438">
        <v>0</v>
      </c>
      <c r="DA142" s="438">
        <v>1</v>
      </c>
      <c r="DB142" s="438">
        <v>1394225</v>
      </c>
      <c r="DC142" s="438">
        <v>0</v>
      </c>
      <c r="DD142" s="438">
        <v>0</v>
      </c>
      <c r="DE142" s="438">
        <v>279429</v>
      </c>
      <c r="DF142" s="438">
        <v>279429</v>
      </c>
      <c r="DG142" s="438">
        <v>213.5</v>
      </c>
      <c r="DH142" s="438">
        <v>0</v>
      </c>
      <c r="DI142" s="438">
        <v>0</v>
      </c>
      <c r="DK142" s="437">
        <v>5392</v>
      </c>
      <c r="DL142" s="438">
        <v>0</v>
      </c>
      <c r="DM142" s="438">
        <v>156608</v>
      </c>
      <c r="DN142" s="438">
        <v>0</v>
      </c>
      <c r="DO142" s="438">
        <v>0</v>
      </c>
      <c r="DP142" s="438">
        <v>0</v>
      </c>
      <c r="DQ142" s="438">
        <v>0</v>
      </c>
      <c r="DR142" s="438">
        <v>0</v>
      </c>
      <c r="DS142" s="438">
        <v>0</v>
      </c>
      <c r="DT142" s="438">
        <v>0</v>
      </c>
      <c r="DU142" s="438">
        <v>0</v>
      </c>
      <c r="DV142" s="438">
        <v>0</v>
      </c>
      <c r="DW142" s="438">
        <v>0</v>
      </c>
      <c r="DX142" s="438">
        <v>0</v>
      </c>
      <c r="DY142" s="438">
        <v>0</v>
      </c>
      <c r="DZ142" s="438">
        <v>0</v>
      </c>
      <c r="EA142" s="438">
        <v>0</v>
      </c>
      <c r="EB142" s="438">
        <v>0</v>
      </c>
      <c r="EC142" s="438">
        <v>1.7949999999999999</v>
      </c>
      <c r="ED142" s="438">
        <v>12921</v>
      </c>
      <c r="EE142" s="438">
        <v>0</v>
      </c>
      <c r="EF142" s="438">
        <v>0</v>
      </c>
      <c r="EG142" s="438">
        <v>0</v>
      </c>
      <c r="EH142" s="438">
        <v>143687</v>
      </c>
      <c r="EI142" s="438">
        <v>0</v>
      </c>
      <c r="EJ142" s="438">
        <v>0</v>
      </c>
      <c r="EK142" s="438">
        <v>6.5140000000000002</v>
      </c>
      <c r="EL142" s="438">
        <v>0</v>
      </c>
      <c r="EM142" s="438">
        <v>0</v>
      </c>
      <c r="EN142" s="438">
        <v>0.48299999999999998</v>
      </c>
      <c r="EO142" s="438">
        <v>0</v>
      </c>
      <c r="EP142" s="438">
        <v>0</v>
      </c>
      <c r="EQ142" s="438">
        <v>6.9969999999999999</v>
      </c>
      <c r="ER142" s="438">
        <v>0</v>
      </c>
      <c r="ES142" s="438">
        <v>21.957000000000001</v>
      </c>
      <c r="ET142" s="438">
        <v>0</v>
      </c>
      <c r="EU142" s="438">
        <v>54371</v>
      </c>
      <c r="EV142" s="438">
        <v>0</v>
      </c>
      <c r="EW142" s="438">
        <v>0</v>
      </c>
      <c r="EX142" s="438">
        <v>0</v>
      </c>
      <c r="EZ142" s="438">
        <v>1863133</v>
      </c>
      <c r="FA142" s="438">
        <v>0</v>
      </c>
      <c r="FB142" s="438">
        <v>1917504</v>
      </c>
      <c r="FC142" s="438">
        <v>0.97334900000000002</v>
      </c>
      <c r="FD142" s="438">
        <v>0</v>
      </c>
      <c r="FE142" s="438">
        <v>268397</v>
      </c>
      <c r="FF142" s="438">
        <v>61173</v>
      </c>
      <c r="FG142" s="437">
        <v>5.7854999999999997E-2</v>
      </c>
      <c r="FH142" s="437">
        <v>5.2366000000000003E-2</v>
      </c>
      <c r="FI142" s="438">
        <v>0</v>
      </c>
      <c r="FJ142" s="438">
        <v>0</v>
      </c>
      <c r="FK142" s="438">
        <v>365.63099999999997</v>
      </c>
      <c r="FL142" s="438">
        <v>2247074</v>
      </c>
      <c r="FM142" s="438">
        <v>0</v>
      </c>
      <c r="FN142" s="438">
        <v>0</v>
      </c>
      <c r="FO142" s="438">
        <v>0</v>
      </c>
      <c r="FP142" s="438">
        <v>0</v>
      </c>
      <c r="FQ142" s="438">
        <v>0</v>
      </c>
      <c r="FR142" s="438">
        <v>0</v>
      </c>
      <c r="FS142" s="438">
        <v>0</v>
      </c>
      <c r="FT142" s="438">
        <v>0</v>
      </c>
      <c r="FU142" s="438">
        <v>0</v>
      </c>
      <c r="FV142" s="438">
        <v>0</v>
      </c>
      <c r="FW142" s="438">
        <v>0</v>
      </c>
      <c r="FX142" s="438">
        <v>0</v>
      </c>
      <c r="FY142" s="438">
        <v>0</v>
      </c>
      <c r="FZ142" s="438">
        <v>0</v>
      </c>
      <c r="GA142" s="438">
        <v>0</v>
      </c>
      <c r="GB142" s="438">
        <v>0</v>
      </c>
      <c r="GC142" s="438">
        <v>0</v>
      </c>
      <c r="GD142" s="438">
        <v>0</v>
      </c>
      <c r="GF142" s="438">
        <v>0</v>
      </c>
      <c r="GG142" s="438">
        <v>0</v>
      </c>
      <c r="GH142" s="438">
        <v>0</v>
      </c>
      <c r="GI142" s="438">
        <v>0</v>
      </c>
      <c r="GJ142" s="438">
        <v>0</v>
      </c>
      <c r="GK142" s="438">
        <v>4604.6369999999997</v>
      </c>
      <c r="GL142" s="438">
        <v>0</v>
      </c>
      <c r="GM142" s="438">
        <v>0</v>
      </c>
      <c r="GN142" s="438">
        <v>0</v>
      </c>
      <c r="GO142" s="438">
        <v>0</v>
      </c>
      <c r="GP142" s="438">
        <v>2247074</v>
      </c>
      <c r="GQ142" s="438">
        <v>2247074</v>
      </c>
      <c r="GR142" s="438">
        <v>0</v>
      </c>
      <c r="GS142" s="438">
        <v>0</v>
      </c>
      <c r="GT142" s="438">
        <v>0</v>
      </c>
      <c r="HB142" s="438">
        <v>0</v>
      </c>
      <c r="HC142" s="437">
        <v>6.0754000000000002E-2</v>
      </c>
      <c r="HD142" s="438">
        <v>0</v>
      </c>
    </row>
    <row r="143" spans="1:212" x14ac:dyDescent="0.2">
      <c r="A143" s="438">
        <v>25836</v>
      </c>
      <c r="B143" s="442">
        <v>111801</v>
      </c>
      <c r="C143" s="438">
        <v>9</v>
      </c>
      <c r="D143" s="438">
        <v>2020</v>
      </c>
      <c r="E143" s="438">
        <v>5392</v>
      </c>
      <c r="F143" s="438">
        <v>0</v>
      </c>
      <c r="G143" s="438">
        <v>81.012</v>
      </c>
      <c r="H143" s="438">
        <v>72.159000000000006</v>
      </c>
      <c r="I143" s="438">
        <v>72.159000000000006</v>
      </c>
      <c r="J143" s="438">
        <v>81.012</v>
      </c>
      <c r="K143" s="438">
        <v>0</v>
      </c>
      <c r="L143" s="437">
        <v>6544</v>
      </c>
      <c r="M143" s="438">
        <v>0</v>
      </c>
      <c r="N143" s="438">
        <v>0</v>
      </c>
      <c r="P143" s="438">
        <v>82.031999999999996</v>
      </c>
      <c r="Q143" s="438">
        <v>0</v>
      </c>
      <c r="R143" s="438">
        <v>20310</v>
      </c>
      <c r="S143" s="437">
        <v>247.58699999999999</v>
      </c>
      <c r="U143" s="438">
        <v>0</v>
      </c>
      <c r="V143" s="438">
        <v>3.96</v>
      </c>
      <c r="W143" s="438">
        <v>2591</v>
      </c>
      <c r="X143" s="438">
        <v>2591</v>
      </c>
      <c r="Z143" s="438">
        <v>0</v>
      </c>
      <c r="AA143" s="438">
        <v>1</v>
      </c>
      <c r="AB143" s="438">
        <v>1</v>
      </c>
      <c r="AC143" s="438">
        <v>0</v>
      </c>
      <c r="AD143" s="438" t="s">
        <v>332</v>
      </c>
      <c r="AE143" s="438">
        <v>0</v>
      </c>
      <c r="AH143" s="438">
        <v>0</v>
      </c>
      <c r="AI143" s="438">
        <v>0</v>
      </c>
      <c r="AJ143" s="437">
        <v>5105</v>
      </c>
      <c r="AK143" s="438" t="s">
        <v>561</v>
      </c>
      <c r="AL143" s="438" t="s">
        <v>654</v>
      </c>
      <c r="AM143" s="438">
        <v>0</v>
      </c>
      <c r="AN143" s="438">
        <v>0</v>
      </c>
      <c r="AO143" s="438">
        <v>0</v>
      </c>
      <c r="AP143" s="438">
        <v>0</v>
      </c>
      <c r="AQ143" s="438">
        <v>0</v>
      </c>
      <c r="AR143" s="438">
        <v>0</v>
      </c>
      <c r="AS143" s="438">
        <v>0</v>
      </c>
      <c r="AT143" s="438">
        <v>0</v>
      </c>
      <c r="AU143" s="438">
        <v>0</v>
      </c>
      <c r="AV143" s="438">
        <v>0</v>
      </c>
      <c r="AW143" s="438">
        <v>826281</v>
      </c>
      <c r="AX143" s="438">
        <v>807146</v>
      </c>
      <c r="AY143" s="438">
        <v>0</v>
      </c>
      <c r="AZ143" s="438">
        <v>39445</v>
      </c>
      <c r="BA143" s="438">
        <v>0</v>
      </c>
      <c r="BB143" s="438">
        <v>0</v>
      </c>
      <c r="BC143" s="438">
        <v>0</v>
      </c>
      <c r="BD143" s="438">
        <v>0</v>
      </c>
      <c r="BE143" s="438">
        <v>0</v>
      </c>
      <c r="BF143" s="438">
        <v>687278</v>
      </c>
      <c r="BG143" s="438">
        <v>0</v>
      </c>
      <c r="BH143" s="438">
        <v>69.58</v>
      </c>
      <c r="BI143" s="438">
        <v>19135</v>
      </c>
      <c r="BJ143" s="438">
        <v>12</v>
      </c>
      <c r="BK143" s="438">
        <v>0</v>
      </c>
      <c r="BL143" s="438">
        <v>0</v>
      </c>
      <c r="BM143" s="438">
        <v>0</v>
      </c>
      <c r="BN143" s="438">
        <v>0</v>
      </c>
      <c r="BO143" s="438">
        <v>0</v>
      </c>
      <c r="BP143" s="438">
        <v>0</v>
      </c>
      <c r="BQ143" s="437">
        <v>5392</v>
      </c>
      <c r="BR143" s="438">
        <v>1</v>
      </c>
      <c r="BS143" s="438">
        <v>0</v>
      </c>
      <c r="BT143" s="438">
        <v>0</v>
      </c>
      <c r="BU143" s="438">
        <v>0</v>
      </c>
      <c r="BV143" s="438">
        <v>0</v>
      </c>
      <c r="BW143" s="438">
        <v>0</v>
      </c>
      <c r="BX143" s="438">
        <v>0</v>
      </c>
      <c r="BY143" s="438">
        <v>0</v>
      </c>
      <c r="BZ143" s="438">
        <v>0</v>
      </c>
      <c r="CA143" s="438">
        <v>0</v>
      </c>
      <c r="CB143" s="438">
        <v>0</v>
      </c>
      <c r="CC143" s="438">
        <v>0</v>
      </c>
      <c r="CG143" s="438">
        <v>0</v>
      </c>
      <c r="CH143" s="438">
        <v>0</v>
      </c>
      <c r="CI143" s="438">
        <v>0</v>
      </c>
      <c r="CJ143" s="438">
        <v>4</v>
      </c>
      <c r="CK143" s="438">
        <v>0</v>
      </c>
      <c r="CL143" s="438">
        <v>0</v>
      </c>
      <c r="CN143" s="438">
        <v>0</v>
      </c>
      <c r="CO143" s="438">
        <v>1</v>
      </c>
      <c r="CP143" s="438">
        <v>0</v>
      </c>
      <c r="CQ143" s="438">
        <v>0</v>
      </c>
      <c r="CR143" s="438">
        <v>81.012</v>
      </c>
      <c r="CS143" s="438">
        <v>0</v>
      </c>
      <c r="CT143" s="438">
        <v>0</v>
      </c>
      <c r="CU143" s="438">
        <v>0</v>
      </c>
      <c r="CV143" s="438">
        <v>0</v>
      </c>
      <c r="CW143" s="438">
        <v>0</v>
      </c>
      <c r="CX143" s="438">
        <v>0</v>
      </c>
      <c r="CY143" s="438">
        <v>0</v>
      </c>
      <c r="CZ143" s="438">
        <v>0</v>
      </c>
      <c r="DA143" s="438">
        <v>1</v>
      </c>
      <c r="DB143" s="438">
        <v>472208</v>
      </c>
      <c r="DC143" s="438">
        <v>0</v>
      </c>
      <c r="DD143" s="438">
        <v>0</v>
      </c>
      <c r="DE143" s="438">
        <v>0</v>
      </c>
      <c r="DF143" s="438">
        <v>0</v>
      </c>
      <c r="DG143" s="438">
        <v>0</v>
      </c>
      <c r="DH143" s="438">
        <v>0</v>
      </c>
      <c r="DI143" s="438">
        <v>0</v>
      </c>
      <c r="DK143" s="437">
        <v>5392</v>
      </c>
      <c r="DL143" s="438">
        <v>0</v>
      </c>
      <c r="DM143" s="438">
        <v>231297</v>
      </c>
      <c r="DN143" s="438">
        <v>0</v>
      </c>
      <c r="DO143" s="438">
        <v>0</v>
      </c>
      <c r="DP143" s="438">
        <v>0</v>
      </c>
      <c r="DQ143" s="438">
        <v>0</v>
      </c>
      <c r="DR143" s="438">
        <v>0</v>
      </c>
      <c r="DS143" s="438">
        <v>0</v>
      </c>
      <c r="DT143" s="438">
        <v>0</v>
      </c>
      <c r="DU143" s="438">
        <v>0</v>
      </c>
      <c r="DV143" s="438">
        <v>0</v>
      </c>
      <c r="DW143" s="438">
        <v>0</v>
      </c>
      <c r="DX143" s="438">
        <v>0</v>
      </c>
      <c r="DY143" s="438">
        <v>0</v>
      </c>
      <c r="DZ143" s="438">
        <v>0</v>
      </c>
      <c r="EA143" s="438">
        <v>0</v>
      </c>
      <c r="EB143" s="438">
        <v>0</v>
      </c>
      <c r="EC143" s="438">
        <v>0</v>
      </c>
      <c r="ED143" s="438">
        <v>0</v>
      </c>
      <c r="EE143" s="438">
        <v>0</v>
      </c>
      <c r="EF143" s="438">
        <v>0</v>
      </c>
      <c r="EG143" s="438">
        <v>0</v>
      </c>
      <c r="EH143" s="438">
        <v>2781</v>
      </c>
      <c r="EI143" s="438">
        <v>228516</v>
      </c>
      <c r="EJ143" s="438">
        <v>8.73</v>
      </c>
      <c r="EK143" s="438">
        <v>9.5000000000000001E-2</v>
      </c>
      <c r="EL143" s="438">
        <v>0</v>
      </c>
      <c r="EM143" s="438">
        <v>0</v>
      </c>
      <c r="EN143" s="438">
        <v>2.8000000000000001E-2</v>
      </c>
      <c r="EO143" s="438">
        <v>0</v>
      </c>
      <c r="EP143" s="438">
        <v>0</v>
      </c>
      <c r="EQ143" s="438">
        <v>8.8529999999999998</v>
      </c>
      <c r="ER143" s="438">
        <v>0</v>
      </c>
      <c r="ES143" s="438">
        <v>0.42499999999999999</v>
      </c>
      <c r="ET143" s="438">
        <v>0</v>
      </c>
      <c r="EU143" s="438">
        <v>39445</v>
      </c>
      <c r="EV143" s="438">
        <v>0</v>
      </c>
      <c r="EW143" s="438">
        <v>0</v>
      </c>
      <c r="EX143" s="438">
        <v>0</v>
      </c>
      <c r="EZ143" s="438">
        <v>685786</v>
      </c>
      <c r="FA143" s="438">
        <v>0</v>
      </c>
      <c r="FB143" s="438">
        <v>725231</v>
      </c>
      <c r="FC143" s="438">
        <v>0.97334900000000002</v>
      </c>
      <c r="FD143" s="438">
        <v>0</v>
      </c>
      <c r="FE143" s="438">
        <v>98834</v>
      </c>
      <c r="FF143" s="438">
        <v>22526</v>
      </c>
      <c r="FG143" s="437">
        <v>5.7854999999999997E-2</v>
      </c>
      <c r="FH143" s="437">
        <v>5.2366000000000003E-2</v>
      </c>
      <c r="FI143" s="438">
        <v>0</v>
      </c>
      <c r="FJ143" s="438">
        <v>0</v>
      </c>
      <c r="FK143" s="438">
        <v>134.63900000000001</v>
      </c>
      <c r="FL143" s="438">
        <v>846591</v>
      </c>
      <c r="FM143" s="438">
        <v>0</v>
      </c>
      <c r="FN143" s="438">
        <v>0</v>
      </c>
      <c r="FO143" s="438">
        <v>0</v>
      </c>
      <c r="FP143" s="438">
        <v>0</v>
      </c>
      <c r="FQ143" s="438">
        <v>0</v>
      </c>
      <c r="FR143" s="438">
        <v>0</v>
      </c>
      <c r="FS143" s="438">
        <v>0</v>
      </c>
      <c r="FT143" s="438">
        <v>0</v>
      </c>
      <c r="FU143" s="438">
        <v>0</v>
      </c>
      <c r="FV143" s="438">
        <v>0</v>
      </c>
      <c r="FW143" s="438">
        <v>0</v>
      </c>
      <c r="FX143" s="438">
        <v>0</v>
      </c>
      <c r="FY143" s="438">
        <v>0</v>
      </c>
      <c r="FZ143" s="438">
        <v>0</v>
      </c>
      <c r="GA143" s="438">
        <v>0</v>
      </c>
      <c r="GB143" s="438">
        <v>0</v>
      </c>
      <c r="GC143" s="438">
        <v>0</v>
      </c>
      <c r="GD143" s="438">
        <v>0</v>
      </c>
      <c r="GF143" s="438">
        <v>0</v>
      </c>
      <c r="GG143" s="438">
        <v>0</v>
      </c>
      <c r="GH143" s="438">
        <v>0</v>
      </c>
      <c r="GI143" s="438">
        <v>0</v>
      </c>
      <c r="GJ143" s="438">
        <v>0</v>
      </c>
      <c r="GK143" s="438">
        <v>4604.6369999999997</v>
      </c>
      <c r="GL143" s="438">
        <v>0</v>
      </c>
      <c r="GM143" s="438">
        <v>0</v>
      </c>
      <c r="GN143" s="438">
        <v>0</v>
      </c>
      <c r="GO143" s="438">
        <v>0</v>
      </c>
      <c r="GP143" s="438">
        <v>846591</v>
      </c>
      <c r="GQ143" s="438">
        <v>846591</v>
      </c>
      <c r="GR143" s="438">
        <v>0</v>
      </c>
      <c r="GS143" s="438">
        <v>0</v>
      </c>
      <c r="GT143" s="438">
        <v>0</v>
      </c>
      <c r="HB143" s="438">
        <v>0</v>
      </c>
      <c r="HC143" s="437">
        <v>0</v>
      </c>
      <c r="HD143" s="438">
        <v>0</v>
      </c>
    </row>
    <row r="144" spans="1:212" x14ac:dyDescent="0.2">
      <c r="A144" s="438">
        <v>25836</v>
      </c>
      <c r="B144" s="442">
        <v>123503</v>
      </c>
      <c r="C144" s="438">
        <v>9</v>
      </c>
      <c r="D144" s="438">
        <v>2020</v>
      </c>
      <c r="E144" s="438">
        <v>5651</v>
      </c>
      <c r="F144" s="438">
        <v>0</v>
      </c>
      <c r="G144" s="438">
        <v>44.569000000000003</v>
      </c>
      <c r="H144" s="438">
        <v>44.569000000000003</v>
      </c>
      <c r="I144" s="438">
        <v>44.569000000000003</v>
      </c>
      <c r="J144" s="438">
        <v>44.569000000000003</v>
      </c>
      <c r="K144" s="438">
        <v>0</v>
      </c>
      <c r="L144" s="437">
        <v>8288</v>
      </c>
      <c r="M144" s="438">
        <v>0</v>
      </c>
      <c r="N144" s="438">
        <v>0</v>
      </c>
      <c r="P144" s="438">
        <v>45.874000000000002</v>
      </c>
      <c r="Q144" s="438">
        <v>0</v>
      </c>
      <c r="R144" s="438">
        <v>11358</v>
      </c>
      <c r="S144" s="437">
        <v>247.58699999999999</v>
      </c>
      <c r="U144" s="438">
        <v>0</v>
      </c>
      <c r="V144" s="438">
        <v>0</v>
      </c>
      <c r="W144" s="438">
        <v>0</v>
      </c>
      <c r="X144" s="438">
        <v>0</v>
      </c>
      <c r="Z144" s="438">
        <v>0</v>
      </c>
      <c r="AA144" s="438">
        <v>1.1399999999999999</v>
      </c>
      <c r="AB144" s="438">
        <v>1.1399999999999999</v>
      </c>
      <c r="AC144" s="438">
        <v>0</v>
      </c>
      <c r="AD144" s="438" t="s">
        <v>332</v>
      </c>
      <c r="AE144" s="438">
        <v>0</v>
      </c>
      <c r="AH144" s="438">
        <v>0</v>
      </c>
      <c r="AI144" s="438">
        <v>0</v>
      </c>
      <c r="AJ144" s="437">
        <v>5140</v>
      </c>
      <c r="AK144" s="438" t="s">
        <v>561</v>
      </c>
      <c r="AL144" s="438" t="s">
        <v>655</v>
      </c>
      <c r="AM144" s="438">
        <v>0</v>
      </c>
      <c r="AN144" s="438">
        <v>0</v>
      </c>
      <c r="AO144" s="438">
        <v>0</v>
      </c>
      <c r="AP144" s="438">
        <v>0</v>
      </c>
      <c r="AQ144" s="438">
        <v>0</v>
      </c>
      <c r="AR144" s="438">
        <v>0</v>
      </c>
      <c r="AS144" s="438">
        <v>0</v>
      </c>
      <c r="AT144" s="438">
        <v>0</v>
      </c>
      <c r="AU144" s="438">
        <v>0</v>
      </c>
      <c r="AV144" s="438">
        <v>0</v>
      </c>
      <c r="AW144" s="438">
        <v>358030</v>
      </c>
      <c r="AX144" s="438">
        <v>358030</v>
      </c>
      <c r="AY144" s="438">
        <v>0</v>
      </c>
      <c r="AZ144" s="438">
        <v>11358</v>
      </c>
      <c r="BA144" s="438">
        <v>0</v>
      </c>
      <c r="BB144" s="438">
        <v>0</v>
      </c>
      <c r="BC144" s="438">
        <v>0</v>
      </c>
      <c r="BD144" s="438">
        <v>0</v>
      </c>
      <c r="BE144" s="438">
        <v>0</v>
      </c>
      <c r="BF144" s="438">
        <v>352687</v>
      </c>
      <c r="BG144" s="438">
        <v>0</v>
      </c>
      <c r="BH144" s="438">
        <v>0</v>
      </c>
      <c r="BI144" s="438">
        <v>0</v>
      </c>
      <c r="BJ144" s="438">
        <v>0</v>
      </c>
      <c r="BK144" s="438">
        <v>0</v>
      </c>
      <c r="BL144" s="438">
        <v>0</v>
      </c>
      <c r="BM144" s="438">
        <v>0</v>
      </c>
      <c r="BN144" s="438">
        <v>0</v>
      </c>
      <c r="BO144" s="438">
        <v>0</v>
      </c>
      <c r="BP144" s="438">
        <v>0</v>
      </c>
      <c r="BQ144" s="437">
        <v>0</v>
      </c>
      <c r="BR144" s="438">
        <v>2</v>
      </c>
      <c r="BS144" s="438">
        <v>0</v>
      </c>
      <c r="BT144" s="438">
        <v>0</v>
      </c>
      <c r="BU144" s="438">
        <v>0</v>
      </c>
      <c r="BV144" s="438">
        <v>0</v>
      </c>
      <c r="BW144" s="438">
        <v>0</v>
      </c>
      <c r="BX144" s="438">
        <v>0</v>
      </c>
      <c r="BY144" s="438">
        <v>0</v>
      </c>
      <c r="BZ144" s="438">
        <v>0</v>
      </c>
      <c r="CA144" s="438">
        <v>0</v>
      </c>
      <c r="CB144" s="438">
        <v>0</v>
      </c>
      <c r="CC144" s="438">
        <v>0</v>
      </c>
      <c r="CG144" s="438">
        <v>0</v>
      </c>
      <c r="CH144" s="438">
        <v>0</v>
      </c>
      <c r="CI144" s="438">
        <v>0</v>
      </c>
      <c r="CJ144" s="438">
        <v>1</v>
      </c>
      <c r="CK144" s="438">
        <v>0</v>
      </c>
      <c r="CL144" s="438">
        <v>0</v>
      </c>
      <c r="CN144" s="438">
        <v>0</v>
      </c>
      <c r="CO144" s="438">
        <v>0</v>
      </c>
      <c r="CP144" s="438">
        <v>0</v>
      </c>
      <c r="CQ144" s="438">
        <v>0</v>
      </c>
      <c r="CR144" s="438">
        <v>45.874000000000002</v>
      </c>
      <c r="CS144" s="438">
        <v>0</v>
      </c>
      <c r="CT144" s="438">
        <v>0</v>
      </c>
      <c r="CU144" s="438">
        <v>0</v>
      </c>
      <c r="CV144" s="438">
        <v>0</v>
      </c>
      <c r="CW144" s="438">
        <v>0</v>
      </c>
      <c r="CX144" s="438">
        <v>0</v>
      </c>
      <c r="CY144" s="438">
        <v>0</v>
      </c>
      <c r="CZ144" s="438">
        <v>0</v>
      </c>
      <c r="DA144" s="438">
        <v>1</v>
      </c>
      <c r="DB144" s="438">
        <v>369388</v>
      </c>
      <c r="DC144" s="438">
        <v>0</v>
      </c>
      <c r="DD144" s="438">
        <v>0</v>
      </c>
      <c r="DE144" s="438">
        <v>0</v>
      </c>
      <c r="DF144" s="438">
        <v>0</v>
      </c>
      <c r="DG144" s="438">
        <v>0</v>
      </c>
      <c r="DH144" s="438">
        <v>0</v>
      </c>
      <c r="DI144" s="438">
        <v>0</v>
      </c>
      <c r="DK144" s="437">
        <v>8288</v>
      </c>
      <c r="DL144" s="438">
        <v>0</v>
      </c>
      <c r="DM144" s="438">
        <v>0</v>
      </c>
      <c r="DN144" s="438">
        <v>0</v>
      </c>
      <c r="DO144" s="438">
        <v>0</v>
      </c>
      <c r="DP144" s="438">
        <v>0</v>
      </c>
      <c r="DQ144" s="438">
        <v>0</v>
      </c>
      <c r="DR144" s="438">
        <v>0</v>
      </c>
      <c r="DS144" s="438">
        <v>0</v>
      </c>
      <c r="DT144" s="438">
        <v>0</v>
      </c>
      <c r="DU144" s="438">
        <v>0</v>
      </c>
      <c r="DV144" s="438">
        <v>0</v>
      </c>
      <c r="DW144" s="438">
        <v>0</v>
      </c>
      <c r="DX144" s="438">
        <v>0</v>
      </c>
      <c r="DY144" s="438">
        <v>0</v>
      </c>
      <c r="DZ144" s="438">
        <v>0</v>
      </c>
      <c r="EA144" s="438">
        <v>0</v>
      </c>
      <c r="EB144" s="438">
        <v>0</v>
      </c>
      <c r="EC144" s="438">
        <v>0</v>
      </c>
      <c r="ED144" s="438">
        <v>0</v>
      </c>
      <c r="EE144" s="438">
        <v>0</v>
      </c>
      <c r="EF144" s="438">
        <v>0</v>
      </c>
      <c r="EG144" s="438">
        <v>0</v>
      </c>
      <c r="EH144" s="438">
        <v>0</v>
      </c>
      <c r="EI144" s="438">
        <v>0</v>
      </c>
      <c r="EJ144" s="438">
        <v>0</v>
      </c>
      <c r="EK144" s="438">
        <v>0</v>
      </c>
      <c r="EL144" s="438">
        <v>0</v>
      </c>
      <c r="EM144" s="438">
        <v>0</v>
      </c>
      <c r="EN144" s="438">
        <v>0</v>
      </c>
      <c r="EO144" s="438">
        <v>0</v>
      </c>
      <c r="EP144" s="438">
        <v>0</v>
      </c>
      <c r="EQ144" s="438">
        <v>0</v>
      </c>
      <c r="ER144" s="438">
        <v>0</v>
      </c>
      <c r="ES144" s="438">
        <v>0</v>
      </c>
      <c r="ET144" s="438">
        <v>0</v>
      </c>
      <c r="EU144" s="438">
        <v>11358</v>
      </c>
      <c r="EV144" s="438">
        <v>0</v>
      </c>
      <c r="EW144" s="438">
        <v>0</v>
      </c>
      <c r="EX144" s="438">
        <v>0</v>
      </c>
      <c r="EZ144" s="438">
        <v>358030</v>
      </c>
      <c r="FA144" s="438">
        <v>0</v>
      </c>
      <c r="FB144" s="438">
        <v>369388</v>
      </c>
      <c r="FC144" s="438">
        <v>0.95478700000000005</v>
      </c>
      <c r="FD144" s="438">
        <v>0</v>
      </c>
      <c r="FE144" s="438">
        <v>0</v>
      </c>
      <c r="FF144" s="438">
        <v>0</v>
      </c>
      <c r="FG144" s="437">
        <v>0</v>
      </c>
      <c r="FH144" s="437">
        <v>0</v>
      </c>
      <c r="FI144" s="438">
        <v>0</v>
      </c>
      <c r="FJ144" s="438">
        <v>0</v>
      </c>
      <c r="FK144" s="438">
        <v>68.616</v>
      </c>
      <c r="FL144" s="438">
        <v>369388</v>
      </c>
      <c r="FM144" s="438">
        <v>0</v>
      </c>
      <c r="FN144" s="438">
        <v>0</v>
      </c>
      <c r="FO144" s="438">
        <v>0</v>
      </c>
      <c r="FP144" s="438">
        <v>0</v>
      </c>
      <c r="FQ144" s="438">
        <v>0</v>
      </c>
      <c r="FR144" s="438">
        <v>0</v>
      </c>
      <c r="FS144" s="438">
        <v>0</v>
      </c>
      <c r="FT144" s="438">
        <v>0</v>
      </c>
      <c r="FU144" s="438">
        <v>0</v>
      </c>
      <c r="FV144" s="438">
        <v>0</v>
      </c>
      <c r="FW144" s="438">
        <v>0</v>
      </c>
      <c r="FX144" s="438">
        <v>0</v>
      </c>
      <c r="FY144" s="438">
        <v>0</v>
      </c>
      <c r="FZ144" s="438">
        <v>0</v>
      </c>
      <c r="GA144" s="438">
        <v>0</v>
      </c>
      <c r="GB144" s="438">
        <v>0</v>
      </c>
      <c r="GC144" s="438">
        <v>0</v>
      </c>
      <c r="GD144" s="438">
        <v>0</v>
      </c>
      <c r="GF144" s="438">
        <v>0</v>
      </c>
      <c r="GG144" s="438">
        <v>0</v>
      </c>
      <c r="GH144" s="438">
        <v>0</v>
      </c>
      <c r="GI144" s="438">
        <v>0</v>
      </c>
      <c r="GJ144" s="438">
        <v>0</v>
      </c>
      <c r="GK144" s="438">
        <v>0</v>
      </c>
      <c r="GL144" s="438">
        <v>2266</v>
      </c>
      <c r="GM144" s="438">
        <v>0</v>
      </c>
      <c r="GN144" s="438">
        <v>0</v>
      </c>
      <c r="GO144" s="438">
        <v>0</v>
      </c>
      <c r="GP144" s="438">
        <v>369388</v>
      </c>
      <c r="GQ144" s="438">
        <v>369388</v>
      </c>
      <c r="GR144" s="438">
        <v>0</v>
      </c>
      <c r="GS144" s="438">
        <v>0</v>
      </c>
      <c r="GT144" s="438">
        <v>0</v>
      </c>
      <c r="HB144" s="438">
        <v>0</v>
      </c>
      <c r="HC144" s="437">
        <v>0</v>
      </c>
      <c r="HD144" s="438">
        <v>0</v>
      </c>
    </row>
    <row r="145" spans="1:212" x14ac:dyDescent="0.2">
      <c r="A145" s="438">
        <v>25836</v>
      </c>
      <c r="B145" s="442">
        <v>123803</v>
      </c>
      <c r="C145" s="438">
        <v>9</v>
      </c>
      <c r="D145" s="438">
        <v>2020</v>
      </c>
      <c r="E145" s="438">
        <v>5392</v>
      </c>
      <c r="F145" s="438">
        <v>0</v>
      </c>
      <c r="G145" s="438">
        <v>364.51</v>
      </c>
      <c r="H145" s="438">
        <v>354.52800000000002</v>
      </c>
      <c r="I145" s="438">
        <v>354.52800000000002</v>
      </c>
      <c r="J145" s="438">
        <v>364.51</v>
      </c>
      <c r="K145" s="438">
        <v>0</v>
      </c>
      <c r="L145" s="437">
        <v>6544</v>
      </c>
      <c r="M145" s="438">
        <v>0</v>
      </c>
      <c r="N145" s="438">
        <v>0</v>
      </c>
      <c r="P145" s="438">
        <v>371.42700000000002</v>
      </c>
      <c r="Q145" s="438">
        <v>0</v>
      </c>
      <c r="R145" s="438">
        <v>91960</v>
      </c>
      <c r="S145" s="437">
        <v>247.58699999999999</v>
      </c>
      <c r="U145" s="438">
        <v>0</v>
      </c>
      <c r="V145" s="438">
        <v>0</v>
      </c>
      <c r="W145" s="438">
        <v>0</v>
      </c>
      <c r="X145" s="438">
        <v>0</v>
      </c>
      <c r="Z145" s="438">
        <v>0</v>
      </c>
      <c r="AA145" s="438">
        <v>1</v>
      </c>
      <c r="AB145" s="438">
        <v>1</v>
      </c>
      <c r="AC145" s="438">
        <v>0</v>
      </c>
      <c r="AD145" s="438" t="s">
        <v>332</v>
      </c>
      <c r="AE145" s="438">
        <v>0</v>
      </c>
      <c r="AH145" s="438">
        <v>0</v>
      </c>
      <c r="AI145" s="438">
        <v>0</v>
      </c>
      <c r="AJ145" s="437">
        <v>5105</v>
      </c>
      <c r="AK145" s="438" t="s">
        <v>561</v>
      </c>
      <c r="AL145" s="438" t="s">
        <v>373</v>
      </c>
      <c r="AM145" s="438">
        <v>0</v>
      </c>
      <c r="AN145" s="438">
        <v>0</v>
      </c>
      <c r="AO145" s="438">
        <v>0</v>
      </c>
      <c r="AP145" s="438">
        <v>0</v>
      </c>
      <c r="AQ145" s="438">
        <v>0</v>
      </c>
      <c r="AR145" s="438">
        <v>0</v>
      </c>
      <c r="AS145" s="438">
        <v>0</v>
      </c>
      <c r="AT145" s="438">
        <v>0</v>
      </c>
      <c r="AU145" s="438">
        <v>0</v>
      </c>
      <c r="AV145" s="438">
        <v>0</v>
      </c>
      <c r="AW145" s="438">
        <v>3595223</v>
      </c>
      <c r="AX145" s="438">
        <v>3564690</v>
      </c>
      <c r="AY145" s="438">
        <v>0</v>
      </c>
      <c r="AZ145" s="438">
        <v>107847</v>
      </c>
      <c r="BA145" s="438">
        <v>26.5</v>
      </c>
      <c r="BB145" s="438">
        <v>0</v>
      </c>
      <c r="BC145" s="438">
        <v>0</v>
      </c>
      <c r="BD145" s="438">
        <v>0</v>
      </c>
      <c r="BE145" s="438">
        <v>0</v>
      </c>
      <c r="BF145" s="438">
        <v>3005545</v>
      </c>
      <c r="BG145" s="438">
        <v>0</v>
      </c>
      <c r="BH145" s="438">
        <v>57.771999999999998</v>
      </c>
      <c r="BI145" s="438">
        <v>15887</v>
      </c>
      <c r="BJ145" s="438">
        <v>12</v>
      </c>
      <c r="BK145" s="438">
        <v>0</v>
      </c>
      <c r="BL145" s="438">
        <v>0</v>
      </c>
      <c r="BM145" s="438">
        <v>0</v>
      </c>
      <c r="BN145" s="438">
        <v>0</v>
      </c>
      <c r="BO145" s="438">
        <v>0</v>
      </c>
      <c r="BP145" s="438">
        <v>0</v>
      </c>
      <c r="BQ145" s="437">
        <v>5392</v>
      </c>
      <c r="BR145" s="438">
        <v>1</v>
      </c>
      <c r="BS145" s="438">
        <v>0</v>
      </c>
      <c r="BT145" s="438">
        <v>0</v>
      </c>
      <c r="BU145" s="438">
        <v>0</v>
      </c>
      <c r="BV145" s="438">
        <v>0</v>
      </c>
      <c r="BW145" s="438">
        <v>0</v>
      </c>
      <c r="BX145" s="438">
        <v>0</v>
      </c>
      <c r="BY145" s="438">
        <v>0</v>
      </c>
      <c r="BZ145" s="438">
        <v>0</v>
      </c>
      <c r="CA145" s="438">
        <v>0</v>
      </c>
      <c r="CB145" s="438">
        <v>0</v>
      </c>
      <c r="CC145" s="438">
        <v>0</v>
      </c>
      <c r="CG145" s="438">
        <v>0</v>
      </c>
      <c r="CH145" s="438">
        <v>14646</v>
      </c>
      <c r="CI145" s="438">
        <v>0</v>
      </c>
      <c r="CJ145" s="438">
        <v>4</v>
      </c>
      <c r="CK145" s="438">
        <v>0</v>
      </c>
      <c r="CL145" s="438">
        <v>0</v>
      </c>
      <c r="CN145" s="438">
        <v>0</v>
      </c>
      <c r="CO145" s="438">
        <v>1</v>
      </c>
      <c r="CP145" s="438">
        <v>0</v>
      </c>
      <c r="CQ145" s="438">
        <v>5.5830000000000002</v>
      </c>
      <c r="CR145" s="438">
        <v>364.51</v>
      </c>
      <c r="CS145" s="438">
        <v>0</v>
      </c>
      <c r="CT145" s="438">
        <v>0</v>
      </c>
      <c r="CU145" s="438">
        <v>0</v>
      </c>
      <c r="CV145" s="438">
        <v>0</v>
      </c>
      <c r="CW145" s="438">
        <v>0</v>
      </c>
      <c r="CX145" s="438">
        <v>0</v>
      </c>
      <c r="CY145" s="438">
        <v>0</v>
      </c>
      <c r="CZ145" s="438">
        <v>0</v>
      </c>
      <c r="DA145" s="438">
        <v>1</v>
      </c>
      <c r="DB145" s="438">
        <v>2320031</v>
      </c>
      <c r="DC145" s="438">
        <v>0</v>
      </c>
      <c r="DD145" s="438">
        <v>32.082999999999998</v>
      </c>
      <c r="DE145" s="438">
        <v>574131</v>
      </c>
      <c r="DF145" s="438">
        <v>574131</v>
      </c>
      <c r="DG145" s="438">
        <v>438.67</v>
      </c>
      <c r="DH145" s="438">
        <v>0</v>
      </c>
      <c r="DI145" s="438">
        <v>0</v>
      </c>
      <c r="DK145" s="437">
        <v>5392</v>
      </c>
      <c r="DL145" s="438">
        <v>0</v>
      </c>
      <c r="DM145" s="438">
        <v>115430</v>
      </c>
      <c r="DN145" s="438">
        <v>0</v>
      </c>
      <c r="DO145" s="438">
        <v>0</v>
      </c>
      <c r="DP145" s="438">
        <v>0</v>
      </c>
      <c r="DQ145" s="438">
        <v>0</v>
      </c>
      <c r="DR145" s="438">
        <v>0</v>
      </c>
      <c r="DS145" s="438">
        <v>0</v>
      </c>
      <c r="DT145" s="438">
        <v>0</v>
      </c>
      <c r="DU145" s="438">
        <v>0</v>
      </c>
      <c r="DV145" s="438">
        <v>0</v>
      </c>
      <c r="DW145" s="438">
        <v>0</v>
      </c>
      <c r="DX145" s="438">
        <v>0</v>
      </c>
      <c r="DY145" s="438">
        <v>0</v>
      </c>
      <c r="DZ145" s="438">
        <v>0</v>
      </c>
      <c r="EA145" s="438">
        <v>0</v>
      </c>
      <c r="EB145" s="438">
        <v>0</v>
      </c>
      <c r="EC145" s="438">
        <v>12.68</v>
      </c>
      <c r="ED145" s="438">
        <v>91276</v>
      </c>
      <c r="EE145" s="438">
        <v>0</v>
      </c>
      <c r="EF145" s="438">
        <v>0</v>
      </c>
      <c r="EG145" s="438">
        <v>0</v>
      </c>
      <c r="EH145" s="438">
        <v>24154</v>
      </c>
      <c r="EI145" s="438">
        <v>0</v>
      </c>
      <c r="EJ145" s="438">
        <v>0</v>
      </c>
      <c r="EK145" s="438">
        <v>0.96699999999999997</v>
      </c>
      <c r="EL145" s="438">
        <v>0</v>
      </c>
      <c r="EM145" s="438">
        <v>0</v>
      </c>
      <c r="EN145" s="438">
        <v>0.158</v>
      </c>
      <c r="EO145" s="438">
        <v>0</v>
      </c>
      <c r="EP145" s="438">
        <v>0</v>
      </c>
      <c r="EQ145" s="438">
        <v>1.125</v>
      </c>
      <c r="ER145" s="438">
        <v>0</v>
      </c>
      <c r="ES145" s="438">
        <v>3.6909999999999998</v>
      </c>
      <c r="ET145" s="438">
        <v>14646</v>
      </c>
      <c r="EU145" s="438">
        <v>107847</v>
      </c>
      <c r="EV145" s="438">
        <v>0</v>
      </c>
      <c r="EW145" s="438">
        <v>0</v>
      </c>
      <c r="EX145" s="438">
        <v>0</v>
      </c>
      <c r="EZ145" s="438">
        <v>3033969</v>
      </c>
      <c r="FA145" s="438">
        <v>0</v>
      </c>
      <c r="FB145" s="438">
        <v>3141816</v>
      </c>
      <c r="FC145" s="438">
        <v>0.97334900000000002</v>
      </c>
      <c r="FD145" s="438">
        <v>0</v>
      </c>
      <c r="FE145" s="438">
        <v>432211</v>
      </c>
      <c r="FF145" s="438">
        <v>98510</v>
      </c>
      <c r="FG145" s="437">
        <v>5.7854999999999997E-2</v>
      </c>
      <c r="FH145" s="437">
        <v>5.2366000000000003E-2</v>
      </c>
      <c r="FI145" s="438">
        <v>0</v>
      </c>
      <c r="FJ145" s="438">
        <v>0</v>
      </c>
      <c r="FK145" s="438">
        <v>588.79200000000003</v>
      </c>
      <c r="FL145" s="438">
        <v>3687183</v>
      </c>
      <c r="FM145" s="438">
        <v>0</v>
      </c>
      <c r="FN145" s="438">
        <v>0</v>
      </c>
      <c r="FO145" s="438">
        <v>38091</v>
      </c>
      <c r="FP145" s="438">
        <v>0</v>
      </c>
      <c r="FQ145" s="438">
        <v>38091</v>
      </c>
      <c r="FR145" s="438">
        <v>38091</v>
      </c>
      <c r="FS145" s="438">
        <v>0</v>
      </c>
      <c r="FT145" s="438">
        <v>0</v>
      </c>
      <c r="FU145" s="438">
        <v>0</v>
      </c>
      <c r="FV145" s="438">
        <v>0</v>
      </c>
      <c r="FW145" s="438">
        <v>0</v>
      </c>
      <c r="FX145" s="438">
        <v>0</v>
      </c>
      <c r="FY145" s="438">
        <v>0</v>
      </c>
      <c r="FZ145" s="438">
        <v>0</v>
      </c>
      <c r="GA145" s="438">
        <v>0</v>
      </c>
      <c r="GB145" s="438">
        <v>78246</v>
      </c>
      <c r="GC145" s="438">
        <v>78246</v>
      </c>
      <c r="GD145" s="438">
        <v>8.8569999999999993</v>
      </c>
      <c r="GF145" s="438">
        <v>0</v>
      </c>
      <c r="GG145" s="438">
        <v>0</v>
      </c>
      <c r="GH145" s="438">
        <v>0</v>
      </c>
      <c r="GI145" s="438">
        <v>0</v>
      </c>
      <c r="GJ145" s="438">
        <v>0</v>
      </c>
      <c r="GK145" s="438">
        <v>4978.8630000000003</v>
      </c>
      <c r="GL145" s="438">
        <v>11116</v>
      </c>
      <c r="GM145" s="438">
        <v>0</v>
      </c>
      <c r="GN145" s="438">
        <v>44080</v>
      </c>
      <c r="GO145" s="438">
        <v>0</v>
      </c>
      <c r="GP145" s="438">
        <v>3672537</v>
      </c>
      <c r="GQ145" s="438">
        <v>3672537</v>
      </c>
      <c r="GR145" s="438">
        <v>0</v>
      </c>
      <c r="GS145" s="438">
        <v>0</v>
      </c>
      <c r="GT145" s="438">
        <v>0</v>
      </c>
      <c r="HB145" s="438">
        <v>0</v>
      </c>
      <c r="HC145" s="437">
        <v>0</v>
      </c>
      <c r="HD145" s="438">
        <v>0</v>
      </c>
    </row>
    <row r="146" spans="1:212" x14ac:dyDescent="0.2">
      <c r="A146" s="438">
        <v>25836</v>
      </c>
      <c r="B146" s="442">
        <v>123805</v>
      </c>
      <c r="C146" s="438">
        <v>9</v>
      </c>
      <c r="D146" s="438">
        <v>2020</v>
      </c>
      <c r="E146" s="438">
        <v>5392</v>
      </c>
      <c r="F146" s="438">
        <v>0</v>
      </c>
      <c r="G146" s="438">
        <v>408.14</v>
      </c>
      <c r="H146" s="438">
        <v>404.73099999999999</v>
      </c>
      <c r="I146" s="438">
        <v>404.73099999999999</v>
      </c>
      <c r="J146" s="438">
        <v>408.14</v>
      </c>
      <c r="K146" s="438">
        <v>0</v>
      </c>
      <c r="L146" s="437">
        <v>6544</v>
      </c>
      <c r="M146" s="438">
        <v>0</v>
      </c>
      <c r="N146" s="438">
        <v>0</v>
      </c>
      <c r="P146" s="438">
        <v>409.27499999999998</v>
      </c>
      <c r="Q146" s="438">
        <v>0</v>
      </c>
      <c r="R146" s="438">
        <v>101331</v>
      </c>
      <c r="S146" s="437">
        <v>247.58699999999999</v>
      </c>
      <c r="U146" s="438">
        <v>0</v>
      </c>
      <c r="V146" s="438">
        <v>215.74799999999999</v>
      </c>
      <c r="W146" s="438">
        <v>141185</v>
      </c>
      <c r="X146" s="438">
        <v>141185</v>
      </c>
      <c r="Z146" s="438">
        <v>0</v>
      </c>
      <c r="AA146" s="438">
        <v>1</v>
      </c>
      <c r="AB146" s="438">
        <v>1</v>
      </c>
      <c r="AC146" s="438">
        <v>0</v>
      </c>
      <c r="AD146" s="438" t="s">
        <v>332</v>
      </c>
      <c r="AE146" s="438">
        <v>0</v>
      </c>
      <c r="AH146" s="438">
        <v>0</v>
      </c>
      <c r="AI146" s="438">
        <v>0</v>
      </c>
      <c r="AJ146" s="437">
        <v>5105</v>
      </c>
      <c r="AK146" s="438" t="s">
        <v>561</v>
      </c>
      <c r="AL146" s="438" t="s">
        <v>4</v>
      </c>
      <c r="AM146" s="438">
        <v>0</v>
      </c>
      <c r="AN146" s="438">
        <v>0</v>
      </c>
      <c r="AO146" s="438">
        <v>0</v>
      </c>
      <c r="AP146" s="438">
        <v>0</v>
      </c>
      <c r="AQ146" s="438">
        <v>0</v>
      </c>
      <c r="AR146" s="438">
        <v>0</v>
      </c>
      <c r="AS146" s="438">
        <v>0</v>
      </c>
      <c r="AT146" s="438">
        <v>0</v>
      </c>
      <c r="AU146" s="438">
        <v>0</v>
      </c>
      <c r="AV146" s="438">
        <v>0</v>
      </c>
      <c r="AW146" s="438">
        <v>3980416</v>
      </c>
      <c r="AX146" s="438">
        <v>3979916</v>
      </c>
      <c r="AY146" s="438">
        <v>0</v>
      </c>
      <c r="AZ146" s="438">
        <v>101331</v>
      </c>
      <c r="BA146" s="438">
        <v>1</v>
      </c>
      <c r="BB146" s="438">
        <v>15706</v>
      </c>
      <c r="BC146" s="438">
        <v>15706</v>
      </c>
      <c r="BD146" s="438">
        <v>20</v>
      </c>
      <c r="BE146" s="438">
        <v>0</v>
      </c>
      <c r="BF146" s="438">
        <v>3389850</v>
      </c>
      <c r="BG146" s="438">
        <v>0</v>
      </c>
      <c r="BH146" s="438">
        <v>0</v>
      </c>
      <c r="BI146" s="438">
        <v>0</v>
      </c>
      <c r="BJ146" s="438">
        <v>12</v>
      </c>
      <c r="BK146" s="438">
        <v>0</v>
      </c>
      <c r="BL146" s="438">
        <v>0</v>
      </c>
      <c r="BM146" s="438">
        <v>0</v>
      </c>
      <c r="BN146" s="438">
        <v>0</v>
      </c>
      <c r="BO146" s="438">
        <v>0</v>
      </c>
      <c r="BP146" s="438">
        <v>0</v>
      </c>
      <c r="BQ146" s="437">
        <v>5392</v>
      </c>
      <c r="BR146" s="438">
        <v>1</v>
      </c>
      <c r="BS146" s="438">
        <v>0</v>
      </c>
      <c r="BT146" s="438">
        <v>0</v>
      </c>
      <c r="BU146" s="438">
        <v>0</v>
      </c>
      <c r="BV146" s="438">
        <v>0</v>
      </c>
      <c r="BW146" s="438">
        <v>0</v>
      </c>
      <c r="BX146" s="438">
        <v>0</v>
      </c>
      <c r="BY146" s="438">
        <v>0</v>
      </c>
      <c r="BZ146" s="438">
        <v>0</v>
      </c>
      <c r="CA146" s="438">
        <v>0</v>
      </c>
      <c r="CB146" s="438">
        <v>0</v>
      </c>
      <c r="CC146" s="438">
        <v>0</v>
      </c>
      <c r="CG146" s="438">
        <v>0</v>
      </c>
      <c r="CH146" s="438">
        <v>500</v>
      </c>
      <c r="CI146" s="438">
        <v>0</v>
      </c>
      <c r="CJ146" s="438">
        <v>4</v>
      </c>
      <c r="CK146" s="438">
        <v>0</v>
      </c>
      <c r="CL146" s="438">
        <v>0</v>
      </c>
      <c r="CN146" s="438">
        <v>0</v>
      </c>
      <c r="CO146" s="438">
        <v>1</v>
      </c>
      <c r="CP146" s="438">
        <v>0</v>
      </c>
      <c r="CQ146" s="438">
        <v>0</v>
      </c>
      <c r="CR146" s="438">
        <v>408.14</v>
      </c>
      <c r="CS146" s="438">
        <v>0</v>
      </c>
      <c r="CT146" s="438">
        <v>0</v>
      </c>
      <c r="CU146" s="438">
        <v>0</v>
      </c>
      <c r="CV146" s="438">
        <v>0</v>
      </c>
      <c r="CW146" s="438">
        <v>0</v>
      </c>
      <c r="CX146" s="438">
        <v>0</v>
      </c>
      <c r="CY146" s="438">
        <v>0</v>
      </c>
      <c r="CZ146" s="438">
        <v>0</v>
      </c>
      <c r="DA146" s="438">
        <v>1</v>
      </c>
      <c r="DB146" s="438">
        <v>2648560</v>
      </c>
      <c r="DC146" s="438">
        <v>0</v>
      </c>
      <c r="DD146" s="438">
        <v>1</v>
      </c>
      <c r="DE146" s="438">
        <v>464192</v>
      </c>
      <c r="DF146" s="438">
        <v>464192</v>
      </c>
      <c r="DG146" s="438">
        <v>354.67</v>
      </c>
      <c r="DH146" s="438">
        <v>0</v>
      </c>
      <c r="DI146" s="438">
        <v>0</v>
      </c>
      <c r="DK146" s="437">
        <v>5392</v>
      </c>
      <c r="DL146" s="438">
        <v>0</v>
      </c>
      <c r="DM146" s="438">
        <v>213022</v>
      </c>
      <c r="DN146" s="438">
        <v>0</v>
      </c>
      <c r="DO146" s="438">
        <v>0</v>
      </c>
      <c r="DP146" s="438">
        <v>0</v>
      </c>
      <c r="DQ146" s="438">
        <v>0</v>
      </c>
      <c r="DR146" s="438">
        <v>0</v>
      </c>
      <c r="DS146" s="438">
        <v>0</v>
      </c>
      <c r="DT146" s="438">
        <v>0</v>
      </c>
      <c r="DU146" s="438">
        <v>0</v>
      </c>
      <c r="DV146" s="438">
        <v>0</v>
      </c>
      <c r="DW146" s="438">
        <v>0</v>
      </c>
      <c r="DX146" s="438">
        <v>0</v>
      </c>
      <c r="DY146" s="438">
        <v>0</v>
      </c>
      <c r="DZ146" s="438">
        <v>0</v>
      </c>
      <c r="EA146" s="438">
        <v>0</v>
      </c>
      <c r="EB146" s="438">
        <v>0</v>
      </c>
      <c r="EC146" s="438">
        <v>16.693000000000001</v>
      </c>
      <c r="ED146" s="438">
        <v>120163</v>
      </c>
      <c r="EE146" s="438">
        <v>0</v>
      </c>
      <c r="EF146" s="438">
        <v>0</v>
      </c>
      <c r="EG146" s="438">
        <v>0</v>
      </c>
      <c r="EH146" s="438">
        <v>18127</v>
      </c>
      <c r="EI146" s="438">
        <v>74732</v>
      </c>
      <c r="EJ146" s="438">
        <v>2.855</v>
      </c>
      <c r="EK146" s="438">
        <v>0</v>
      </c>
      <c r="EL146" s="438">
        <v>0</v>
      </c>
      <c r="EM146" s="438">
        <v>0</v>
      </c>
      <c r="EN146" s="438">
        <v>0.55400000000000005</v>
      </c>
      <c r="EO146" s="438">
        <v>0</v>
      </c>
      <c r="EP146" s="438">
        <v>0</v>
      </c>
      <c r="EQ146" s="438">
        <v>3.4089999999999998</v>
      </c>
      <c r="ER146" s="438">
        <v>0</v>
      </c>
      <c r="ES146" s="438">
        <v>2.77</v>
      </c>
      <c r="ET146" s="438">
        <v>500</v>
      </c>
      <c r="EU146" s="438">
        <v>101331</v>
      </c>
      <c r="EV146" s="438">
        <v>0</v>
      </c>
      <c r="EW146" s="438">
        <v>0</v>
      </c>
      <c r="EX146" s="438">
        <v>0</v>
      </c>
      <c r="EZ146" s="438">
        <v>3381334</v>
      </c>
      <c r="FA146" s="438">
        <v>0</v>
      </c>
      <c r="FB146" s="438">
        <v>3482665</v>
      </c>
      <c r="FC146" s="438">
        <v>0.97334900000000002</v>
      </c>
      <c r="FD146" s="438">
        <v>0</v>
      </c>
      <c r="FE146" s="438">
        <v>487476</v>
      </c>
      <c r="FF146" s="438">
        <v>111106</v>
      </c>
      <c r="FG146" s="437">
        <v>5.7854999999999997E-2</v>
      </c>
      <c r="FH146" s="437">
        <v>5.2366000000000003E-2</v>
      </c>
      <c r="FI146" s="438">
        <v>0</v>
      </c>
      <c r="FJ146" s="438">
        <v>0</v>
      </c>
      <c r="FK146" s="438">
        <v>664.07799999999997</v>
      </c>
      <c r="FL146" s="438">
        <v>4081747</v>
      </c>
      <c r="FM146" s="438">
        <v>0</v>
      </c>
      <c r="FN146" s="438">
        <v>0</v>
      </c>
      <c r="FO146" s="438">
        <v>0</v>
      </c>
      <c r="FP146" s="438">
        <v>0</v>
      </c>
      <c r="FQ146" s="438">
        <v>0</v>
      </c>
      <c r="FR146" s="438">
        <v>0</v>
      </c>
      <c r="FS146" s="438">
        <v>0</v>
      </c>
      <c r="FT146" s="438">
        <v>0</v>
      </c>
      <c r="FU146" s="438">
        <v>0</v>
      </c>
      <c r="FV146" s="438">
        <v>0</v>
      </c>
      <c r="FW146" s="438">
        <v>0</v>
      </c>
      <c r="FX146" s="438">
        <v>0</v>
      </c>
      <c r="FY146" s="438">
        <v>0</v>
      </c>
      <c r="FZ146" s="438">
        <v>0</v>
      </c>
      <c r="GA146" s="438">
        <v>0</v>
      </c>
      <c r="GB146" s="438">
        <v>0</v>
      </c>
      <c r="GC146" s="438">
        <v>0</v>
      </c>
      <c r="GD146" s="438">
        <v>0</v>
      </c>
      <c r="GF146" s="438">
        <v>0</v>
      </c>
      <c r="GG146" s="438">
        <v>0</v>
      </c>
      <c r="GH146" s="438">
        <v>0</v>
      </c>
      <c r="GI146" s="438">
        <v>0</v>
      </c>
      <c r="GJ146" s="438">
        <v>0</v>
      </c>
      <c r="GK146" s="438">
        <v>4794.5290000000005</v>
      </c>
      <c r="GL146" s="438">
        <v>5811</v>
      </c>
      <c r="GM146" s="438">
        <v>0</v>
      </c>
      <c r="GN146" s="438">
        <v>0</v>
      </c>
      <c r="GO146" s="438">
        <v>0</v>
      </c>
      <c r="GP146" s="438">
        <v>4081247</v>
      </c>
      <c r="GQ146" s="438">
        <v>4081247</v>
      </c>
      <c r="GR146" s="438">
        <v>0</v>
      </c>
      <c r="GS146" s="438">
        <v>0</v>
      </c>
      <c r="GT146" s="438">
        <v>0</v>
      </c>
      <c r="HB146" s="438">
        <v>0</v>
      </c>
      <c r="HC146" s="437">
        <v>6.0754000000000002E-2</v>
      </c>
      <c r="HD146" s="438">
        <v>0</v>
      </c>
    </row>
    <row r="147" spans="1:212" x14ac:dyDescent="0.2">
      <c r="A147" s="438">
        <v>25836</v>
      </c>
      <c r="B147" s="442">
        <v>123807</v>
      </c>
      <c r="C147" s="438">
        <v>9</v>
      </c>
      <c r="D147" s="438">
        <v>2020</v>
      </c>
      <c r="E147" s="438">
        <v>5392</v>
      </c>
      <c r="F147" s="438">
        <v>0</v>
      </c>
      <c r="G147" s="438">
        <v>1278.4469999999999</v>
      </c>
      <c r="H147" s="438">
        <v>1083.1289999999999</v>
      </c>
      <c r="I147" s="438">
        <v>1083.1289999999999</v>
      </c>
      <c r="J147" s="438">
        <v>1278.4469999999999</v>
      </c>
      <c r="K147" s="438">
        <v>0</v>
      </c>
      <c r="L147" s="437">
        <v>6544</v>
      </c>
      <c r="M147" s="438">
        <v>0</v>
      </c>
      <c r="N147" s="438">
        <v>0</v>
      </c>
      <c r="P147" s="438">
        <v>1281.1300000000001</v>
      </c>
      <c r="Q147" s="438">
        <v>0</v>
      </c>
      <c r="R147" s="438">
        <v>317191</v>
      </c>
      <c r="S147" s="437">
        <v>247.58699999999999</v>
      </c>
      <c r="U147" s="438">
        <v>0</v>
      </c>
      <c r="V147" s="438">
        <v>511.29500000000002</v>
      </c>
      <c r="W147" s="438">
        <v>334591</v>
      </c>
      <c r="X147" s="438">
        <v>334591</v>
      </c>
      <c r="Z147" s="438">
        <v>0</v>
      </c>
      <c r="AA147" s="438">
        <v>1</v>
      </c>
      <c r="AB147" s="438">
        <v>1</v>
      </c>
      <c r="AC147" s="438">
        <v>0</v>
      </c>
      <c r="AD147" s="438" t="s">
        <v>332</v>
      </c>
      <c r="AE147" s="438">
        <v>0</v>
      </c>
      <c r="AH147" s="438">
        <v>0</v>
      </c>
      <c r="AI147" s="438">
        <v>0</v>
      </c>
      <c r="AJ147" s="437">
        <v>5105</v>
      </c>
      <c r="AK147" s="438" t="s">
        <v>561</v>
      </c>
      <c r="AL147" s="438" t="s">
        <v>374</v>
      </c>
      <c r="AM147" s="438">
        <v>0</v>
      </c>
      <c r="AN147" s="438">
        <v>0</v>
      </c>
      <c r="AO147" s="438">
        <v>0</v>
      </c>
      <c r="AP147" s="438">
        <v>0</v>
      </c>
      <c r="AQ147" s="438">
        <v>0</v>
      </c>
      <c r="AR147" s="438">
        <v>0</v>
      </c>
      <c r="AS147" s="438">
        <v>0</v>
      </c>
      <c r="AT147" s="438">
        <v>0</v>
      </c>
      <c r="AU147" s="438">
        <v>0</v>
      </c>
      <c r="AV147" s="438">
        <v>0</v>
      </c>
      <c r="AW147" s="438">
        <v>12551316</v>
      </c>
      <c r="AX147" s="438">
        <v>12454454</v>
      </c>
      <c r="AY147" s="438">
        <v>0</v>
      </c>
      <c r="AZ147" s="438">
        <v>414053</v>
      </c>
      <c r="BA147" s="438">
        <v>0</v>
      </c>
      <c r="BB147" s="438">
        <v>0</v>
      </c>
      <c r="BC147" s="438">
        <v>0</v>
      </c>
      <c r="BD147" s="438">
        <v>0</v>
      </c>
      <c r="BE147" s="438">
        <v>0</v>
      </c>
      <c r="BF147" s="438">
        <v>10598012</v>
      </c>
      <c r="BG147" s="438">
        <v>0</v>
      </c>
      <c r="BH147" s="438">
        <v>352.22500000000002</v>
      </c>
      <c r="BI147" s="438">
        <v>96862</v>
      </c>
      <c r="BJ147" s="438">
        <v>12</v>
      </c>
      <c r="BK147" s="438">
        <v>0</v>
      </c>
      <c r="BL147" s="438">
        <v>0</v>
      </c>
      <c r="BM147" s="438">
        <v>0</v>
      </c>
      <c r="BN147" s="438">
        <v>0</v>
      </c>
      <c r="BO147" s="438">
        <v>0</v>
      </c>
      <c r="BP147" s="438">
        <v>0</v>
      </c>
      <c r="BQ147" s="437">
        <v>5392</v>
      </c>
      <c r="BR147" s="438">
        <v>1</v>
      </c>
      <c r="BS147" s="438">
        <v>0</v>
      </c>
      <c r="BT147" s="438">
        <v>0</v>
      </c>
      <c r="BU147" s="438">
        <v>0</v>
      </c>
      <c r="BV147" s="438">
        <v>0</v>
      </c>
      <c r="BW147" s="438">
        <v>0</v>
      </c>
      <c r="BX147" s="438">
        <v>0</v>
      </c>
      <c r="BY147" s="438">
        <v>0</v>
      </c>
      <c r="BZ147" s="438">
        <v>0</v>
      </c>
      <c r="CA147" s="438">
        <v>0</v>
      </c>
      <c r="CB147" s="438">
        <v>0</v>
      </c>
      <c r="CC147" s="438">
        <v>0</v>
      </c>
      <c r="CG147" s="438">
        <v>0</v>
      </c>
      <c r="CH147" s="438">
        <v>0</v>
      </c>
      <c r="CI147" s="438">
        <v>0</v>
      </c>
      <c r="CJ147" s="438">
        <v>4</v>
      </c>
      <c r="CK147" s="438">
        <v>0</v>
      </c>
      <c r="CL147" s="438">
        <v>0</v>
      </c>
      <c r="CN147" s="438">
        <v>0</v>
      </c>
      <c r="CO147" s="438">
        <v>1</v>
      </c>
      <c r="CP147" s="438">
        <v>2.5999999999999999E-2</v>
      </c>
      <c r="CQ147" s="438">
        <v>0</v>
      </c>
      <c r="CR147" s="438">
        <v>1278.4469999999999</v>
      </c>
      <c r="CS147" s="438">
        <v>0</v>
      </c>
      <c r="CT147" s="438">
        <v>0</v>
      </c>
      <c r="CU147" s="438">
        <v>0</v>
      </c>
      <c r="CV147" s="438">
        <v>0</v>
      </c>
      <c r="CW147" s="438">
        <v>0</v>
      </c>
      <c r="CX147" s="438">
        <v>0</v>
      </c>
      <c r="CY147" s="438">
        <v>0</v>
      </c>
      <c r="CZ147" s="438">
        <v>0</v>
      </c>
      <c r="DA147" s="438">
        <v>1</v>
      </c>
      <c r="DB147" s="438">
        <v>7087996</v>
      </c>
      <c r="DC147" s="438">
        <v>0</v>
      </c>
      <c r="DD147" s="438">
        <v>0</v>
      </c>
      <c r="DE147" s="438">
        <v>1433136</v>
      </c>
      <c r="DF147" s="438">
        <v>1433546</v>
      </c>
      <c r="DG147" s="438">
        <v>1095</v>
      </c>
      <c r="DH147" s="438">
        <v>0</v>
      </c>
      <c r="DI147" s="438">
        <v>410</v>
      </c>
      <c r="DK147" s="437">
        <v>5392</v>
      </c>
      <c r="DL147" s="438">
        <v>0</v>
      </c>
      <c r="DM147" s="438">
        <v>493413</v>
      </c>
      <c r="DN147" s="438">
        <v>0</v>
      </c>
      <c r="DO147" s="438">
        <v>0</v>
      </c>
      <c r="DP147" s="438">
        <v>0</v>
      </c>
      <c r="DQ147" s="438">
        <v>0</v>
      </c>
      <c r="DR147" s="438">
        <v>0</v>
      </c>
      <c r="DS147" s="438">
        <v>0</v>
      </c>
      <c r="DT147" s="438">
        <v>0</v>
      </c>
      <c r="DU147" s="438">
        <v>0</v>
      </c>
      <c r="DV147" s="438">
        <v>0</v>
      </c>
      <c r="DW147" s="438">
        <v>0</v>
      </c>
      <c r="DX147" s="438">
        <v>0</v>
      </c>
      <c r="DY147" s="438">
        <v>0</v>
      </c>
      <c r="DZ147" s="438">
        <v>0</v>
      </c>
      <c r="EA147" s="438">
        <v>0</v>
      </c>
      <c r="EB147" s="438">
        <v>0</v>
      </c>
      <c r="EC147" s="438">
        <v>8.6929999999999996</v>
      </c>
      <c r="ED147" s="438">
        <v>62576</v>
      </c>
      <c r="EE147" s="438">
        <v>0</v>
      </c>
      <c r="EF147" s="438">
        <v>0</v>
      </c>
      <c r="EG147" s="438">
        <v>0</v>
      </c>
      <c r="EH147" s="438">
        <v>430837</v>
      </c>
      <c r="EI147" s="438">
        <v>0</v>
      </c>
      <c r="EJ147" s="438">
        <v>0</v>
      </c>
      <c r="EK147" s="438">
        <v>13.593999999999999</v>
      </c>
      <c r="EL147" s="438">
        <v>0</v>
      </c>
      <c r="EM147" s="438">
        <v>6.37</v>
      </c>
      <c r="EN147" s="438">
        <v>1.1890000000000001</v>
      </c>
      <c r="EO147" s="438">
        <v>0</v>
      </c>
      <c r="EP147" s="438">
        <v>0</v>
      </c>
      <c r="EQ147" s="438">
        <v>21.152999999999999</v>
      </c>
      <c r="ER147" s="438">
        <v>0</v>
      </c>
      <c r="ES147" s="438">
        <v>65.837000000000003</v>
      </c>
      <c r="ET147" s="438">
        <v>0</v>
      </c>
      <c r="EU147" s="438">
        <v>414053</v>
      </c>
      <c r="EV147" s="438">
        <v>0</v>
      </c>
      <c r="EW147" s="438">
        <v>0</v>
      </c>
      <c r="EX147" s="438">
        <v>0</v>
      </c>
      <c r="EZ147" s="438">
        <v>10583050</v>
      </c>
      <c r="FA147" s="438">
        <v>0</v>
      </c>
      <c r="FB147" s="438">
        <v>10997103</v>
      </c>
      <c r="FC147" s="438">
        <v>0.97334900000000002</v>
      </c>
      <c r="FD147" s="438">
        <v>0</v>
      </c>
      <c r="FE147" s="438">
        <v>1524041</v>
      </c>
      <c r="FF147" s="438">
        <v>347363</v>
      </c>
      <c r="FG147" s="437">
        <v>5.7854999999999997E-2</v>
      </c>
      <c r="FH147" s="437">
        <v>5.2366000000000003E-2</v>
      </c>
      <c r="FI147" s="438">
        <v>0</v>
      </c>
      <c r="FJ147" s="438">
        <v>0</v>
      </c>
      <c r="FK147" s="438">
        <v>2076.1689999999999</v>
      </c>
      <c r="FL147" s="438">
        <v>12868507</v>
      </c>
      <c r="FM147" s="438">
        <v>0</v>
      </c>
      <c r="FN147" s="438">
        <v>0</v>
      </c>
      <c r="FO147" s="438">
        <v>3611</v>
      </c>
      <c r="FP147" s="438">
        <v>6490</v>
      </c>
      <c r="FQ147" s="438">
        <v>12052</v>
      </c>
      <c r="FR147" s="438">
        <v>3611</v>
      </c>
      <c r="FS147" s="438">
        <v>1951</v>
      </c>
      <c r="FT147" s="438">
        <v>0</v>
      </c>
      <c r="FU147" s="438">
        <v>0</v>
      </c>
      <c r="FV147" s="438">
        <v>0</v>
      </c>
      <c r="FW147" s="438">
        <v>0</v>
      </c>
      <c r="FX147" s="438">
        <v>0</v>
      </c>
      <c r="FY147" s="438">
        <v>0</v>
      </c>
      <c r="FZ147" s="438">
        <v>0</v>
      </c>
      <c r="GA147" s="438">
        <v>0</v>
      </c>
      <c r="GB147" s="438">
        <v>1538643</v>
      </c>
      <c r="GC147" s="438">
        <v>1538643</v>
      </c>
      <c r="GD147" s="438">
        <v>174.16499999999999</v>
      </c>
      <c r="GF147" s="438">
        <v>0</v>
      </c>
      <c r="GG147" s="438">
        <v>0</v>
      </c>
      <c r="GH147" s="438">
        <v>0</v>
      </c>
      <c r="GI147" s="438">
        <v>0</v>
      </c>
      <c r="GJ147" s="438">
        <v>0</v>
      </c>
      <c r="GK147" s="438">
        <v>4604.6369999999997</v>
      </c>
      <c r="GL147" s="438">
        <v>0</v>
      </c>
      <c r="GM147" s="438">
        <v>0</v>
      </c>
      <c r="GN147" s="438">
        <v>0</v>
      </c>
      <c r="GO147" s="438">
        <v>0</v>
      </c>
      <c r="GP147" s="438">
        <v>12868507</v>
      </c>
      <c r="GQ147" s="438">
        <v>12868507</v>
      </c>
      <c r="GR147" s="438">
        <v>0</v>
      </c>
      <c r="GS147" s="438">
        <v>0</v>
      </c>
      <c r="GT147" s="438">
        <v>0</v>
      </c>
      <c r="HB147" s="438">
        <v>0</v>
      </c>
      <c r="HC147" s="437">
        <v>6.0754000000000002E-2</v>
      </c>
      <c r="HD147" s="438">
        <v>0</v>
      </c>
    </row>
    <row r="148" spans="1:212" x14ac:dyDescent="0.2">
      <c r="A148" s="438">
        <v>25836</v>
      </c>
      <c r="B148" s="442">
        <v>126801</v>
      </c>
      <c r="C148" s="438">
        <v>9</v>
      </c>
      <c r="D148" s="438">
        <v>2020</v>
      </c>
      <c r="E148" s="438">
        <v>5392</v>
      </c>
      <c r="F148" s="438">
        <v>0</v>
      </c>
      <c r="G148" s="438">
        <v>91.43</v>
      </c>
      <c r="H148" s="438">
        <v>88.772000000000006</v>
      </c>
      <c r="I148" s="438">
        <v>88.772000000000006</v>
      </c>
      <c r="J148" s="438">
        <v>91.43</v>
      </c>
      <c r="K148" s="438">
        <v>0</v>
      </c>
      <c r="L148" s="437">
        <v>6544</v>
      </c>
      <c r="M148" s="438">
        <v>0</v>
      </c>
      <c r="N148" s="438">
        <v>0</v>
      </c>
      <c r="P148" s="438">
        <v>91.77</v>
      </c>
      <c r="Q148" s="438">
        <v>0</v>
      </c>
      <c r="R148" s="438">
        <v>22721</v>
      </c>
      <c r="S148" s="437">
        <v>247.58699999999999</v>
      </c>
      <c r="U148" s="438">
        <v>0</v>
      </c>
      <c r="V148" s="438">
        <v>0</v>
      </c>
      <c r="W148" s="438">
        <v>0</v>
      </c>
      <c r="X148" s="438">
        <v>0</v>
      </c>
      <c r="Z148" s="438">
        <v>0</v>
      </c>
      <c r="AA148" s="438">
        <v>1</v>
      </c>
      <c r="AB148" s="438">
        <v>1</v>
      </c>
      <c r="AC148" s="438">
        <v>0</v>
      </c>
      <c r="AD148" s="438" t="s">
        <v>332</v>
      </c>
      <c r="AE148" s="438">
        <v>0</v>
      </c>
      <c r="AH148" s="438">
        <v>0</v>
      </c>
      <c r="AI148" s="438">
        <v>0</v>
      </c>
      <c r="AJ148" s="437">
        <v>5105</v>
      </c>
      <c r="AK148" s="438" t="s">
        <v>561</v>
      </c>
      <c r="AL148" s="438" t="s">
        <v>410</v>
      </c>
      <c r="AM148" s="438">
        <v>0</v>
      </c>
      <c r="AN148" s="438">
        <v>0</v>
      </c>
      <c r="AO148" s="438">
        <v>0</v>
      </c>
      <c r="AP148" s="438">
        <v>0</v>
      </c>
      <c r="AQ148" s="438">
        <v>0</v>
      </c>
      <c r="AR148" s="438">
        <v>0</v>
      </c>
      <c r="AS148" s="438">
        <v>0</v>
      </c>
      <c r="AT148" s="438">
        <v>0</v>
      </c>
      <c r="AU148" s="438">
        <v>0</v>
      </c>
      <c r="AV148" s="438">
        <v>0</v>
      </c>
      <c r="AW148" s="438">
        <v>899981</v>
      </c>
      <c r="AX148" s="438">
        <v>889183</v>
      </c>
      <c r="AY148" s="438">
        <v>0</v>
      </c>
      <c r="AZ148" s="438">
        <v>33519</v>
      </c>
      <c r="BA148" s="438">
        <v>0</v>
      </c>
      <c r="BB148" s="438">
        <v>0</v>
      </c>
      <c r="BC148" s="438">
        <v>0</v>
      </c>
      <c r="BD148" s="438">
        <v>0</v>
      </c>
      <c r="BE148" s="438">
        <v>0</v>
      </c>
      <c r="BF148" s="438">
        <v>757421</v>
      </c>
      <c r="BG148" s="438">
        <v>0</v>
      </c>
      <c r="BH148" s="438">
        <v>39.267000000000003</v>
      </c>
      <c r="BI148" s="438">
        <v>10798</v>
      </c>
      <c r="BJ148" s="438">
        <v>12</v>
      </c>
      <c r="BK148" s="438">
        <v>0</v>
      </c>
      <c r="BL148" s="438">
        <v>0</v>
      </c>
      <c r="BM148" s="438">
        <v>0</v>
      </c>
      <c r="BN148" s="438">
        <v>0</v>
      </c>
      <c r="BO148" s="438">
        <v>0</v>
      </c>
      <c r="BP148" s="438">
        <v>0</v>
      </c>
      <c r="BQ148" s="437">
        <v>5392</v>
      </c>
      <c r="BR148" s="438">
        <v>1</v>
      </c>
      <c r="BS148" s="438">
        <v>0</v>
      </c>
      <c r="BT148" s="438">
        <v>0</v>
      </c>
      <c r="BU148" s="438">
        <v>0</v>
      </c>
      <c r="BV148" s="438">
        <v>0</v>
      </c>
      <c r="BW148" s="438">
        <v>0</v>
      </c>
      <c r="BX148" s="438">
        <v>0</v>
      </c>
      <c r="BY148" s="438">
        <v>0</v>
      </c>
      <c r="BZ148" s="438">
        <v>0</v>
      </c>
      <c r="CA148" s="438">
        <v>0</v>
      </c>
      <c r="CB148" s="438">
        <v>0</v>
      </c>
      <c r="CC148" s="438">
        <v>0</v>
      </c>
      <c r="CG148" s="438">
        <v>0</v>
      </c>
      <c r="CH148" s="438">
        <v>0</v>
      </c>
      <c r="CI148" s="438">
        <v>0</v>
      </c>
      <c r="CJ148" s="438">
        <v>4</v>
      </c>
      <c r="CK148" s="438">
        <v>0</v>
      </c>
      <c r="CL148" s="438">
        <v>0</v>
      </c>
      <c r="CN148" s="438">
        <v>0</v>
      </c>
      <c r="CO148" s="438">
        <v>1</v>
      </c>
      <c r="CP148" s="438">
        <v>0</v>
      </c>
      <c r="CQ148" s="438">
        <v>0</v>
      </c>
      <c r="CR148" s="438">
        <v>91.43</v>
      </c>
      <c r="CS148" s="438">
        <v>0</v>
      </c>
      <c r="CT148" s="438">
        <v>0</v>
      </c>
      <c r="CU148" s="438">
        <v>0</v>
      </c>
      <c r="CV148" s="438">
        <v>0</v>
      </c>
      <c r="CW148" s="438">
        <v>0</v>
      </c>
      <c r="CX148" s="438">
        <v>0</v>
      </c>
      <c r="CY148" s="438">
        <v>0</v>
      </c>
      <c r="CZ148" s="438">
        <v>0</v>
      </c>
      <c r="DA148" s="438">
        <v>1</v>
      </c>
      <c r="DB148" s="438">
        <v>580924</v>
      </c>
      <c r="DC148" s="438">
        <v>0</v>
      </c>
      <c r="DD148" s="438">
        <v>0</v>
      </c>
      <c r="DE148" s="438">
        <v>48203</v>
      </c>
      <c r="DF148" s="438">
        <v>48203</v>
      </c>
      <c r="DG148" s="438">
        <v>36.83</v>
      </c>
      <c r="DH148" s="438">
        <v>0</v>
      </c>
      <c r="DI148" s="438">
        <v>0</v>
      </c>
      <c r="DK148" s="437">
        <v>5392</v>
      </c>
      <c r="DL148" s="438">
        <v>0</v>
      </c>
      <c r="DM148" s="438">
        <v>127255</v>
      </c>
      <c r="DN148" s="438">
        <v>0</v>
      </c>
      <c r="DO148" s="438">
        <v>0</v>
      </c>
      <c r="DP148" s="438">
        <v>0</v>
      </c>
      <c r="DQ148" s="438">
        <v>0</v>
      </c>
      <c r="DR148" s="438">
        <v>0</v>
      </c>
      <c r="DS148" s="438">
        <v>0</v>
      </c>
      <c r="DT148" s="438">
        <v>0</v>
      </c>
      <c r="DU148" s="438">
        <v>0</v>
      </c>
      <c r="DV148" s="438">
        <v>0</v>
      </c>
      <c r="DW148" s="438">
        <v>0</v>
      </c>
      <c r="DX148" s="438">
        <v>0</v>
      </c>
      <c r="DY148" s="438">
        <v>0</v>
      </c>
      <c r="DZ148" s="438">
        <v>0</v>
      </c>
      <c r="EA148" s="438">
        <v>0</v>
      </c>
      <c r="EB148" s="438">
        <v>0</v>
      </c>
      <c r="EC148" s="438">
        <v>16.800999999999998</v>
      </c>
      <c r="ED148" s="438">
        <v>120940</v>
      </c>
      <c r="EE148" s="438">
        <v>0</v>
      </c>
      <c r="EF148" s="438">
        <v>0</v>
      </c>
      <c r="EG148" s="438">
        <v>0</v>
      </c>
      <c r="EH148" s="438">
        <v>6315</v>
      </c>
      <c r="EI148" s="438">
        <v>0</v>
      </c>
      <c r="EJ148" s="438">
        <v>0</v>
      </c>
      <c r="EK148" s="438">
        <v>0</v>
      </c>
      <c r="EL148" s="438">
        <v>0</v>
      </c>
      <c r="EM148" s="438">
        <v>0</v>
      </c>
      <c r="EN148" s="438">
        <v>0.193</v>
      </c>
      <c r="EO148" s="438">
        <v>0</v>
      </c>
      <c r="EP148" s="438">
        <v>0</v>
      </c>
      <c r="EQ148" s="438">
        <v>0.193</v>
      </c>
      <c r="ER148" s="438">
        <v>0</v>
      </c>
      <c r="ES148" s="438">
        <v>0.96499999999999997</v>
      </c>
      <c r="ET148" s="438">
        <v>0</v>
      </c>
      <c r="EU148" s="438">
        <v>33519</v>
      </c>
      <c r="EV148" s="438">
        <v>0</v>
      </c>
      <c r="EW148" s="438">
        <v>0</v>
      </c>
      <c r="EX148" s="438">
        <v>0</v>
      </c>
      <c r="EZ148" s="438">
        <v>755438</v>
      </c>
      <c r="FA148" s="438">
        <v>0</v>
      </c>
      <c r="FB148" s="438">
        <v>788957</v>
      </c>
      <c r="FC148" s="438">
        <v>0.97334900000000002</v>
      </c>
      <c r="FD148" s="438">
        <v>0</v>
      </c>
      <c r="FE148" s="438">
        <v>108920</v>
      </c>
      <c r="FF148" s="438">
        <v>24825</v>
      </c>
      <c r="FG148" s="437">
        <v>5.7854999999999997E-2</v>
      </c>
      <c r="FH148" s="437">
        <v>5.2366000000000003E-2</v>
      </c>
      <c r="FI148" s="438">
        <v>0</v>
      </c>
      <c r="FJ148" s="438">
        <v>0</v>
      </c>
      <c r="FK148" s="438">
        <v>148.38</v>
      </c>
      <c r="FL148" s="438">
        <v>922702</v>
      </c>
      <c r="FM148" s="438">
        <v>0</v>
      </c>
      <c r="FN148" s="438">
        <v>0</v>
      </c>
      <c r="FO148" s="438">
        <v>0</v>
      </c>
      <c r="FP148" s="438">
        <v>0</v>
      </c>
      <c r="FQ148" s="438">
        <v>0</v>
      </c>
      <c r="FR148" s="438">
        <v>0</v>
      </c>
      <c r="FS148" s="438">
        <v>0</v>
      </c>
      <c r="FT148" s="438">
        <v>0</v>
      </c>
      <c r="FU148" s="438">
        <v>0</v>
      </c>
      <c r="FV148" s="438">
        <v>0</v>
      </c>
      <c r="FW148" s="438">
        <v>0</v>
      </c>
      <c r="FX148" s="438">
        <v>0</v>
      </c>
      <c r="FY148" s="438">
        <v>0</v>
      </c>
      <c r="FZ148" s="438">
        <v>0</v>
      </c>
      <c r="GA148" s="438">
        <v>0</v>
      </c>
      <c r="GB148" s="438">
        <v>21777</v>
      </c>
      <c r="GC148" s="438">
        <v>21777</v>
      </c>
      <c r="GD148" s="438">
        <v>2.4649999999999999</v>
      </c>
      <c r="GF148" s="438">
        <v>0</v>
      </c>
      <c r="GG148" s="438">
        <v>0</v>
      </c>
      <c r="GH148" s="438">
        <v>0</v>
      </c>
      <c r="GI148" s="438">
        <v>0</v>
      </c>
      <c r="GJ148" s="438">
        <v>0</v>
      </c>
      <c r="GK148" s="438">
        <v>4604.6369999999997</v>
      </c>
      <c r="GL148" s="438">
        <v>0</v>
      </c>
      <c r="GM148" s="438">
        <v>0</v>
      </c>
      <c r="GN148" s="438">
        <v>0</v>
      </c>
      <c r="GO148" s="438">
        <v>0</v>
      </c>
      <c r="GP148" s="438">
        <v>922702</v>
      </c>
      <c r="GQ148" s="438">
        <v>922702</v>
      </c>
      <c r="GR148" s="438">
        <v>0</v>
      </c>
      <c r="GS148" s="438">
        <v>0</v>
      </c>
      <c r="GT148" s="438">
        <v>0</v>
      </c>
      <c r="HB148" s="438">
        <v>0</v>
      </c>
      <c r="HC148" s="437">
        <v>0</v>
      </c>
      <c r="HD148" s="438">
        <v>0</v>
      </c>
    </row>
    <row r="149" spans="1:212" x14ac:dyDescent="0.2">
      <c r="A149" s="438">
        <v>25836</v>
      </c>
      <c r="B149" s="442">
        <v>130801</v>
      </c>
      <c r="C149" s="438">
        <v>9</v>
      </c>
      <c r="D149" s="438">
        <v>2020</v>
      </c>
      <c r="E149" s="438">
        <v>5392</v>
      </c>
      <c r="F149" s="438">
        <v>0</v>
      </c>
      <c r="G149" s="438">
        <v>107.55500000000001</v>
      </c>
      <c r="H149" s="438">
        <v>73.075000000000003</v>
      </c>
      <c r="I149" s="438">
        <v>73.075000000000003</v>
      </c>
      <c r="J149" s="438">
        <v>107.55500000000001</v>
      </c>
      <c r="K149" s="438">
        <v>0</v>
      </c>
      <c r="L149" s="437">
        <v>6544</v>
      </c>
      <c r="M149" s="438">
        <v>0</v>
      </c>
      <c r="N149" s="438">
        <v>0</v>
      </c>
      <c r="P149" s="438">
        <v>105.13</v>
      </c>
      <c r="Q149" s="438">
        <v>0</v>
      </c>
      <c r="R149" s="438">
        <v>26029</v>
      </c>
      <c r="S149" s="437">
        <v>247.58699999999999</v>
      </c>
      <c r="U149" s="438">
        <v>0</v>
      </c>
      <c r="V149" s="438">
        <v>0</v>
      </c>
      <c r="W149" s="438">
        <v>0</v>
      </c>
      <c r="X149" s="438">
        <v>0</v>
      </c>
      <c r="Z149" s="438">
        <v>0</v>
      </c>
      <c r="AA149" s="438">
        <v>1</v>
      </c>
      <c r="AB149" s="438">
        <v>1</v>
      </c>
      <c r="AC149" s="438">
        <v>0</v>
      </c>
      <c r="AD149" s="438" t="s">
        <v>332</v>
      </c>
      <c r="AE149" s="438">
        <v>0</v>
      </c>
      <c r="AH149" s="438">
        <v>0</v>
      </c>
      <c r="AI149" s="438">
        <v>0</v>
      </c>
      <c r="AJ149" s="437">
        <v>5105</v>
      </c>
      <c r="AK149" s="438" t="s">
        <v>561</v>
      </c>
      <c r="AL149" s="438" t="s">
        <v>551</v>
      </c>
      <c r="AM149" s="438">
        <v>0</v>
      </c>
      <c r="AN149" s="438">
        <v>0</v>
      </c>
      <c r="AO149" s="438">
        <v>0</v>
      </c>
      <c r="AP149" s="438">
        <v>0</v>
      </c>
      <c r="AQ149" s="438">
        <v>0</v>
      </c>
      <c r="AR149" s="438">
        <v>0</v>
      </c>
      <c r="AS149" s="438">
        <v>0</v>
      </c>
      <c r="AT149" s="438">
        <v>0</v>
      </c>
      <c r="AU149" s="438">
        <v>0</v>
      </c>
      <c r="AV149" s="438">
        <v>0</v>
      </c>
      <c r="AW149" s="438">
        <v>1792063</v>
      </c>
      <c r="AX149" s="438">
        <v>1779959</v>
      </c>
      <c r="AY149" s="438">
        <v>0</v>
      </c>
      <c r="AZ149" s="438">
        <v>38133</v>
      </c>
      <c r="BA149" s="438">
        <v>0</v>
      </c>
      <c r="BB149" s="438">
        <v>0</v>
      </c>
      <c r="BC149" s="438">
        <v>0</v>
      </c>
      <c r="BD149" s="438">
        <v>0</v>
      </c>
      <c r="BE149" s="438">
        <v>0</v>
      </c>
      <c r="BF149" s="438">
        <v>1500038</v>
      </c>
      <c r="BG149" s="438">
        <v>0</v>
      </c>
      <c r="BH149" s="438">
        <v>44.014000000000003</v>
      </c>
      <c r="BI149" s="438">
        <v>12104</v>
      </c>
      <c r="BJ149" s="438">
        <v>12</v>
      </c>
      <c r="BK149" s="438">
        <v>0</v>
      </c>
      <c r="BL149" s="438">
        <v>0</v>
      </c>
      <c r="BM149" s="438">
        <v>0</v>
      </c>
      <c r="BN149" s="438">
        <v>0</v>
      </c>
      <c r="BO149" s="438">
        <v>0</v>
      </c>
      <c r="BP149" s="438">
        <v>0</v>
      </c>
      <c r="BQ149" s="437">
        <v>5392</v>
      </c>
      <c r="BR149" s="438">
        <v>1</v>
      </c>
      <c r="BS149" s="438">
        <v>0</v>
      </c>
      <c r="BT149" s="438">
        <v>0</v>
      </c>
      <c r="BU149" s="438">
        <v>0</v>
      </c>
      <c r="BV149" s="438">
        <v>0</v>
      </c>
      <c r="BW149" s="438">
        <v>0</v>
      </c>
      <c r="BX149" s="438">
        <v>0</v>
      </c>
      <c r="BY149" s="438">
        <v>0</v>
      </c>
      <c r="BZ149" s="438">
        <v>0</v>
      </c>
      <c r="CA149" s="438">
        <v>0</v>
      </c>
      <c r="CB149" s="438">
        <v>0</v>
      </c>
      <c r="CC149" s="438">
        <v>0</v>
      </c>
      <c r="CG149" s="438">
        <v>0</v>
      </c>
      <c r="CH149" s="438">
        <v>0</v>
      </c>
      <c r="CI149" s="438">
        <v>0</v>
      </c>
      <c r="CJ149" s="438">
        <v>4</v>
      </c>
      <c r="CK149" s="438">
        <v>0</v>
      </c>
      <c r="CL149" s="438">
        <v>0</v>
      </c>
      <c r="CN149" s="438">
        <v>0</v>
      </c>
      <c r="CO149" s="438">
        <v>1</v>
      </c>
      <c r="CP149" s="438">
        <v>0</v>
      </c>
      <c r="CQ149" s="438">
        <v>0</v>
      </c>
      <c r="CR149" s="438">
        <v>107.55500000000001</v>
      </c>
      <c r="CS149" s="438">
        <v>0</v>
      </c>
      <c r="CT149" s="438">
        <v>0</v>
      </c>
      <c r="CU149" s="438">
        <v>0</v>
      </c>
      <c r="CV149" s="438">
        <v>0</v>
      </c>
      <c r="CW149" s="438">
        <v>0</v>
      </c>
      <c r="CX149" s="438">
        <v>0</v>
      </c>
      <c r="CY149" s="438">
        <v>0</v>
      </c>
      <c r="CZ149" s="438">
        <v>0</v>
      </c>
      <c r="DA149" s="438">
        <v>1</v>
      </c>
      <c r="DB149" s="438">
        <v>478203</v>
      </c>
      <c r="DC149" s="438">
        <v>0</v>
      </c>
      <c r="DD149" s="438">
        <v>0</v>
      </c>
      <c r="DE149" s="438">
        <v>193702</v>
      </c>
      <c r="DF149" s="438">
        <v>193702</v>
      </c>
      <c r="DG149" s="438">
        <v>148</v>
      </c>
      <c r="DH149" s="438">
        <v>0</v>
      </c>
      <c r="DI149" s="438">
        <v>0</v>
      </c>
      <c r="DK149" s="437">
        <v>5392</v>
      </c>
      <c r="DL149" s="438">
        <v>0</v>
      </c>
      <c r="DM149" s="438">
        <v>847941</v>
      </c>
      <c r="DN149" s="438">
        <v>0</v>
      </c>
      <c r="DO149" s="438">
        <v>0</v>
      </c>
      <c r="DP149" s="438">
        <v>0</v>
      </c>
      <c r="DQ149" s="438">
        <v>0</v>
      </c>
      <c r="DR149" s="438">
        <v>0</v>
      </c>
      <c r="DS149" s="438">
        <v>0</v>
      </c>
      <c r="DT149" s="438">
        <v>0</v>
      </c>
      <c r="DU149" s="438">
        <v>0</v>
      </c>
      <c r="DV149" s="438">
        <v>0</v>
      </c>
      <c r="DW149" s="438">
        <v>0</v>
      </c>
      <c r="DX149" s="438">
        <v>0</v>
      </c>
      <c r="DY149" s="438">
        <v>0</v>
      </c>
      <c r="DZ149" s="438">
        <v>0</v>
      </c>
      <c r="EA149" s="438">
        <v>0</v>
      </c>
      <c r="EB149" s="438">
        <v>0</v>
      </c>
      <c r="EC149" s="438">
        <v>1.1930000000000001</v>
      </c>
      <c r="ED149" s="438">
        <v>8588</v>
      </c>
      <c r="EE149" s="438">
        <v>0</v>
      </c>
      <c r="EF149" s="438">
        <v>0</v>
      </c>
      <c r="EG149" s="438">
        <v>0</v>
      </c>
      <c r="EH149" s="438">
        <v>18526</v>
      </c>
      <c r="EI149" s="438">
        <v>820827</v>
      </c>
      <c r="EJ149" s="438">
        <v>31.358000000000001</v>
      </c>
      <c r="EK149" s="438">
        <v>0.28499999999999998</v>
      </c>
      <c r="EL149" s="438">
        <v>0</v>
      </c>
      <c r="EM149" s="438">
        <v>8.6999999999999994E-2</v>
      </c>
      <c r="EN149" s="438">
        <v>0.34300000000000003</v>
      </c>
      <c r="EO149" s="438">
        <v>0</v>
      </c>
      <c r="EP149" s="438">
        <v>0</v>
      </c>
      <c r="EQ149" s="438">
        <v>32.073</v>
      </c>
      <c r="ER149" s="438">
        <v>0</v>
      </c>
      <c r="ES149" s="438">
        <v>2.831</v>
      </c>
      <c r="ET149" s="438">
        <v>0</v>
      </c>
      <c r="EU149" s="438">
        <v>38133</v>
      </c>
      <c r="EV149" s="438">
        <v>0</v>
      </c>
      <c r="EW149" s="438">
        <v>0</v>
      </c>
      <c r="EX149" s="438">
        <v>0</v>
      </c>
      <c r="EZ149" s="438">
        <v>1515081</v>
      </c>
      <c r="FA149" s="438">
        <v>0</v>
      </c>
      <c r="FB149" s="438">
        <v>1553214</v>
      </c>
      <c r="FC149" s="438">
        <v>0.97334900000000002</v>
      </c>
      <c r="FD149" s="438">
        <v>0</v>
      </c>
      <c r="FE149" s="438">
        <v>215712</v>
      </c>
      <c r="FF149" s="438">
        <v>49166</v>
      </c>
      <c r="FG149" s="437">
        <v>5.7854999999999997E-2</v>
      </c>
      <c r="FH149" s="437">
        <v>5.2366000000000003E-2</v>
      </c>
      <c r="FI149" s="438">
        <v>0</v>
      </c>
      <c r="FJ149" s="438">
        <v>0</v>
      </c>
      <c r="FK149" s="438">
        <v>293.86</v>
      </c>
      <c r="FL149" s="438">
        <v>1818092</v>
      </c>
      <c r="FM149" s="438">
        <v>0</v>
      </c>
      <c r="FN149" s="438">
        <v>0</v>
      </c>
      <c r="FO149" s="438">
        <v>0</v>
      </c>
      <c r="FP149" s="438">
        <v>0</v>
      </c>
      <c r="FQ149" s="438">
        <v>0</v>
      </c>
      <c r="FR149" s="438">
        <v>0</v>
      </c>
      <c r="FS149" s="438">
        <v>0</v>
      </c>
      <c r="FT149" s="438">
        <v>0</v>
      </c>
      <c r="FU149" s="438">
        <v>0</v>
      </c>
      <c r="FV149" s="438">
        <v>0</v>
      </c>
      <c r="FW149" s="438">
        <v>0</v>
      </c>
      <c r="FX149" s="438">
        <v>0</v>
      </c>
      <c r="FY149" s="438">
        <v>0</v>
      </c>
      <c r="FZ149" s="438">
        <v>0</v>
      </c>
      <c r="GA149" s="438">
        <v>0</v>
      </c>
      <c r="GB149" s="438">
        <v>21264</v>
      </c>
      <c r="GC149" s="438">
        <v>21264</v>
      </c>
      <c r="GD149" s="438">
        <v>2.407</v>
      </c>
      <c r="GF149" s="438">
        <v>0</v>
      </c>
      <c r="GG149" s="438">
        <v>0</v>
      </c>
      <c r="GH149" s="438">
        <v>0</v>
      </c>
      <c r="GI149" s="438">
        <v>0</v>
      </c>
      <c r="GJ149" s="438">
        <v>0</v>
      </c>
      <c r="GK149" s="438">
        <v>4651.8789999999999</v>
      </c>
      <c r="GL149" s="438">
        <v>2222</v>
      </c>
      <c r="GM149" s="438">
        <v>0</v>
      </c>
      <c r="GN149" s="438">
        <v>0</v>
      </c>
      <c r="GO149" s="438">
        <v>0</v>
      </c>
      <c r="GP149" s="438">
        <v>1818092</v>
      </c>
      <c r="GQ149" s="438">
        <v>1818092</v>
      </c>
      <c r="GR149" s="438">
        <v>0</v>
      </c>
      <c r="GS149" s="438">
        <v>0</v>
      </c>
      <c r="GT149" s="438">
        <v>0</v>
      </c>
      <c r="HB149" s="438">
        <v>0</v>
      </c>
      <c r="HC149" s="437">
        <v>6.0754000000000002E-2</v>
      </c>
      <c r="HD149" s="438">
        <v>0</v>
      </c>
    </row>
    <row r="150" spans="1:212" x14ac:dyDescent="0.2">
      <c r="A150" s="438">
        <v>25836</v>
      </c>
      <c r="B150" s="442">
        <v>131001</v>
      </c>
      <c r="C150" s="438">
        <v>9</v>
      </c>
      <c r="D150" s="438">
        <v>2020</v>
      </c>
      <c r="E150" s="438">
        <v>5578</v>
      </c>
      <c r="F150" s="438">
        <v>0</v>
      </c>
      <c r="G150" s="438">
        <v>61.8</v>
      </c>
      <c r="H150" s="438">
        <v>61.408999999999999</v>
      </c>
      <c r="I150" s="438">
        <v>61.408999999999999</v>
      </c>
      <c r="J150" s="438">
        <v>61.8</v>
      </c>
      <c r="K150" s="438">
        <v>0</v>
      </c>
      <c r="L150" s="437">
        <v>9011</v>
      </c>
      <c r="M150" s="438">
        <v>0</v>
      </c>
      <c r="N150" s="438">
        <v>0</v>
      </c>
      <c r="P150" s="438">
        <v>51.448</v>
      </c>
      <c r="Q150" s="438">
        <v>0</v>
      </c>
      <c r="R150" s="438">
        <v>12738</v>
      </c>
      <c r="S150" s="437">
        <v>247.58699999999999</v>
      </c>
      <c r="U150" s="438">
        <v>0</v>
      </c>
      <c r="V150" s="438">
        <v>1.55</v>
      </c>
      <c r="W150" s="438">
        <v>1397</v>
      </c>
      <c r="X150" s="438">
        <v>1397</v>
      </c>
      <c r="Z150" s="438">
        <v>7491700</v>
      </c>
      <c r="AA150" s="438">
        <v>1.1200000000000001</v>
      </c>
      <c r="AB150" s="438">
        <v>1.1200000000000001</v>
      </c>
      <c r="AC150" s="438">
        <v>0</v>
      </c>
      <c r="AD150" s="438" t="s">
        <v>636</v>
      </c>
      <c r="AE150" s="438">
        <v>0</v>
      </c>
      <c r="AH150" s="438">
        <v>821082166</v>
      </c>
      <c r="AI150" s="438">
        <v>0</v>
      </c>
      <c r="AJ150" s="437">
        <v>5140</v>
      </c>
      <c r="AK150" s="438" t="s">
        <v>637</v>
      </c>
      <c r="AL150" s="438" t="s">
        <v>656</v>
      </c>
      <c r="AM150" s="438">
        <v>0</v>
      </c>
      <c r="AN150" s="438">
        <v>0</v>
      </c>
      <c r="AO150" s="438">
        <v>297513</v>
      </c>
      <c r="AP150" s="438">
        <v>6582</v>
      </c>
      <c r="AQ150" s="438">
        <v>0</v>
      </c>
      <c r="AR150" s="438">
        <v>7780340.1733879996</v>
      </c>
      <c r="AS150" s="438">
        <v>0</v>
      </c>
      <c r="AT150" s="438">
        <v>1</v>
      </c>
      <c r="AU150" s="438">
        <v>0</v>
      </c>
      <c r="AV150" s="438">
        <v>0</v>
      </c>
      <c r="AW150" s="438">
        <v>5453</v>
      </c>
      <c r="AX150" s="438">
        <v>0</v>
      </c>
      <c r="AY150" s="438">
        <v>0</v>
      </c>
      <c r="AZ150" s="438">
        <v>8223560</v>
      </c>
      <c r="BA150" s="438">
        <v>10</v>
      </c>
      <c r="BB150" s="438">
        <v>3330</v>
      </c>
      <c r="BC150" s="438">
        <v>3330</v>
      </c>
      <c r="BD150" s="438">
        <v>3.08</v>
      </c>
      <c r="BE150" s="438">
        <v>0</v>
      </c>
      <c r="BF150" s="438">
        <v>703126</v>
      </c>
      <c r="BG150" s="438">
        <v>0</v>
      </c>
      <c r="BH150" s="438">
        <v>0</v>
      </c>
      <c r="BI150" s="438">
        <v>0</v>
      </c>
      <c r="BJ150" s="438">
        <v>6</v>
      </c>
      <c r="BK150" s="438">
        <v>0</v>
      </c>
      <c r="BL150" s="438">
        <v>0</v>
      </c>
      <c r="BM150" s="438">
        <v>0</v>
      </c>
      <c r="BN150" s="438">
        <v>0</v>
      </c>
      <c r="BO150" s="438">
        <v>0</v>
      </c>
      <c r="BP150" s="438">
        <v>0</v>
      </c>
      <c r="BQ150" s="437">
        <v>0</v>
      </c>
      <c r="BR150" s="438">
        <v>2</v>
      </c>
      <c r="BS150" s="438">
        <v>0</v>
      </c>
      <c r="BT150" s="438">
        <v>8637004</v>
      </c>
      <c r="BU150" s="438">
        <v>518220</v>
      </c>
      <c r="BV150" s="438">
        <v>0</v>
      </c>
      <c r="BW150" s="438">
        <v>0.99</v>
      </c>
      <c r="BX150" s="438">
        <v>1</v>
      </c>
      <c r="BY150" s="438">
        <v>0.06</v>
      </c>
      <c r="BZ150" s="438">
        <v>0</v>
      </c>
      <c r="CA150" s="438">
        <v>0</v>
      </c>
      <c r="CB150" s="438">
        <v>0</v>
      </c>
      <c r="CC150" s="438">
        <v>0</v>
      </c>
      <c r="CD150" s="438">
        <v>7780340</v>
      </c>
      <c r="CF150" s="438">
        <v>0</v>
      </c>
      <c r="CG150" s="438">
        <v>0</v>
      </c>
      <c r="CH150" s="438">
        <v>5453</v>
      </c>
      <c r="CI150" s="438">
        <v>62</v>
      </c>
      <c r="CJ150" s="438">
        <v>3</v>
      </c>
      <c r="CK150" s="438">
        <v>0</v>
      </c>
      <c r="CL150" s="438">
        <v>0</v>
      </c>
      <c r="CN150" s="438">
        <v>0</v>
      </c>
      <c r="CO150" s="438">
        <v>0</v>
      </c>
      <c r="CP150" s="438">
        <v>0</v>
      </c>
      <c r="CQ150" s="438">
        <v>1</v>
      </c>
      <c r="CR150" s="438">
        <v>51.448</v>
      </c>
      <c r="CS150" s="438">
        <v>821082166</v>
      </c>
      <c r="CT150" s="438">
        <v>316110</v>
      </c>
      <c r="CU150" s="438">
        <v>9155224</v>
      </c>
      <c r="CV150" s="438">
        <v>1.06</v>
      </c>
      <c r="CW150" s="438">
        <v>11174834</v>
      </c>
      <c r="CX150" s="438">
        <v>0</v>
      </c>
      <c r="CY150" s="438">
        <v>821082166</v>
      </c>
      <c r="CZ150" s="438">
        <v>7780340</v>
      </c>
      <c r="DA150" s="438">
        <v>1</v>
      </c>
      <c r="DB150" s="438">
        <v>553356</v>
      </c>
      <c r="DC150" s="438">
        <v>0</v>
      </c>
      <c r="DD150" s="438">
        <v>0</v>
      </c>
      <c r="DE150" s="438">
        <v>93714</v>
      </c>
      <c r="DF150" s="438">
        <v>93714</v>
      </c>
      <c r="DG150" s="438">
        <v>52</v>
      </c>
      <c r="DH150" s="438">
        <v>0</v>
      </c>
      <c r="DI150" s="438">
        <v>0</v>
      </c>
      <c r="DK150" s="437">
        <v>9011</v>
      </c>
      <c r="DL150" s="438">
        <v>0</v>
      </c>
      <c r="DM150" s="438">
        <v>80063</v>
      </c>
      <c r="DN150" s="438">
        <v>0</v>
      </c>
      <c r="DO150" s="438">
        <v>0</v>
      </c>
      <c r="DP150" s="438">
        <v>0</v>
      </c>
      <c r="DQ150" s="438">
        <v>0</v>
      </c>
      <c r="DR150" s="438">
        <v>0</v>
      </c>
      <c r="DS150" s="438">
        <v>0</v>
      </c>
      <c r="DT150" s="438">
        <v>0</v>
      </c>
      <c r="DU150" s="438">
        <v>0</v>
      </c>
      <c r="DV150" s="438">
        <v>0</v>
      </c>
      <c r="DW150" s="438">
        <v>0</v>
      </c>
      <c r="DX150" s="438">
        <v>0</v>
      </c>
      <c r="DY150" s="438">
        <v>0</v>
      </c>
      <c r="DZ150" s="438">
        <v>0</v>
      </c>
      <c r="EA150" s="438">
        <v>0</v>
      </c>
      <c r="EB150" s="438">
        <v>0</v>
      </c>
      <c r="EC150" s="438">
        <v>6.3</v>
      </c>
      <c r="ED150" s="438">
        <v>62446</v>
      </c>
      <c r="EE150" s="438">
        <v>0</v>
      </c>
      <c r="EF150" s="438">
        <v>0</v>
      </c>
      <c r="EG150" s="438">
        <v>0</v>
      </c>
      <c r="EH150" s="438">
        <v>17617</v>
      </c>
      <c r="EI150" s="438">
        <v>0</v>
      </c>
      <c r="EJ150" s="438">
        <v>0</v>
      </c>
      <c r="EK150" s="438">
        <v>0</v>
      </c>
      <c r="EL150" s="438">
        <v>0</v>
      </c>
      <c r="EM150" s="438">
        <v>0</v>
      </c>
      <c r="EN150" s="438">
        <v>0.39100000000000001</v>
      </c>
      <c r="EO150" s="438">
        <v>0</v>
      </c>
      <c r="EP150" s="438">
        <v>0</v>
      </c>
      <c r="EQ150" s="438">
        <v>0.39100000000000001</v>
      </c>
      <c r="ER150" s="438">
        <v>0</v>
      </c>
      <c r="ES150" s="438">
        <v>1.9550000000000001</v>
      </c>
      <c r="ET150" s="438">
        <v>5250</v>
      </c>
      <c r="EU150" s="438">
        <v>12738</v>
      </c>
      <c r="EV150" s="438">
        <v>0</v>
      </c>
      <c r="EW150" s="438">
        <v>0</v>
      </c>
      <c r="EX150" s="438">
        <v>0</v>
      </c>
      <c r="EZ150" s="438">
        <v>0</v>
      </c>
      <c r="FA150" s="438">
        <v>8210822</v>
      </c>
      <c r="FB150" s="438">
        <v>731860</v>
      </c>
      <c r="FC150" s="438">
        <v>0.96073900000000001</v>
      </c>
      <c r="FD150" s="438">
        <v>0</v>
      </c>
      <c r="FE150" s="438">
        <v>0</v>
      </c>
      <c r="FF150" s="438">
        <v>0</v>
      </c>
      <c r="FG150" s="437">
        <v>6.3100000000000003E-2</v>
      </c>
      <c r="FH150" s="437">
        <v>0</v>
      </c>
      <c r="FI150" s="438">
        <v>518103</v>
      </c>
      <c r="FJ150" s="438">
        <v>0</v>
      </c>
      <c r="FK150" s="438">
        <v>136.79499999999999</v>
      </c>
      <c r="FL150" s="438">
        <v>18257</v>
      </c>
      <c r="FM150" s="438">
        <v>9471334</v>
      </c>
      <c r="FN150" s="438">
        <v>0</v>
      </c>
      <c r="FO150" s="438">
        <v>0</v>
      </c>
      <c r="FP150" s="438">
        <v>0</v>
      </c>
      <c r="FQ150" s="438">
        <v>0</v>
      </c>
      <c r="FR150" s="438">
        <v>0</v>
      </c>
      <c r="FS150" s="438">
        <v>0</v>
      </c>
      <c r="FT150" s="438">
        <v>0</v>
      </c>
      <c r="FU150" s="438">
        <v>0</v>
      </c>
      <c r="FV150" s="438">
        <v>0</v>
      </c>
      <c r="FW150" s="438">
        <v>0</v>
      </c>
      <c r="FX150" s="438">
        <v>0</v>
      </c>
      <c r="FY150" s="438">
        <v>0</v>
      </c>
      <c r="FZ150" s="438">
        <v>0</v>
      </c>
      <c r="GA150" s="438">
        <v>0</v>
      </c>
      <c r="GB150" s="438">
        <v>0</v>
      </c>
      <c r="GC150" s="438">
        <v>0</v>
      </c>
      <c r="GD150" s="438">
        <v>0</v>
      </c>
      <c r="GF150" s="438">
        <v>0</v>
      </c>
      <c r="GG150" s="438">
        <v>0</v>
      </c>
      <c r="GH150" s="438">
        <v>0</v>
      </c>
      <c r="GI150" s="438">
        <v>0</v>
      </c>
      <c r="GJ150" s="438">
        <v>1.5</v>
      </c>
      <c r="GK150" s="438">
        <v>6489.1329999999998</v>
      </c>
      <c r="GL150" s="438">
        <v>3274</v>
      </c>
      <c r="GM150" s="438">
        <v>0</v>
      </c>
      <c r="GN150" s="438">
        <v>0</v>
      </c>
      <c r="GO150" s="438">
        <v>1374884</v>
      </c>
      <c r="GP150" s="438">
        <v>12738</v>
      </c>
      <c r="GQ150" s="438">
        <v>1387622</v>
      </c>
      <c r="GR150" s="438">
        <v>821082166</v>
      </c>
      <c r="GS150" s="438">
        <v>9155224</v>
      </c>
      <c r="GT150" s="438">
        <v>9155224</v>
      </c>
      <c r="HB150" s="438">
        <v>0</v>
      </c>
      <c r="HC150" s="437">
        <v>0</v>
      </c>
      <c r="HD150" s="438">
        <v>0</v>
      </c>
    </row>
    <row r="151" spans="1:212" x14ac:dyDescent="0.2">
      <c r="A151" s="438">
        <v>25836</v>
      </c>
      <c r="B151" s="442">
        <v>135001</v>
      </c>
      <c r="C151" s="438">
        <v>9</v>
      </c>
      <c r="D151" s="438">
        <v>2020</v>
      </c>
      <c r="E151" s="438">
        <v>5323</v>
      </c>
      <c r="F151" s="438">
        <v>0</v>
      </c>
      <c r="G151" s="438">
        <v>99</v>
      </c>
      <c r="H151" s="438">
        <v>90.85</v>
      </c>
      <c r="I151" s="438">
        <v>130</v>
      </c>
      <c r="J151" s="438">
        <v>99</v>
      </c>
      <c r="K151" s="438">
        <v>0</v>
      </c>
      <c r="L151" s="437">
        <v>8453</v>
      </c>
      <c r="M151" s="438">
        <v>0</v>
      </c>
      <c r="N151" s="438">
        <v>0</v>
      </c>
      <c r="P151" s="438">
        <v>97.74</v>
      </c>
      <c r="Q151" s="438">
        <v>0</v>
      </c>
      <c r="R151" s="438">
        <v>24199</v>
      </c>
      <c r="S151" s="437">
        <v>247.58699999999999</v>
      </c>
      <c r="U151" s="438">
        <v>0</v>
      </c>
      <c r="V151" s="438">
        <v>1</v>
      </c>
      <c r="W151" s="438">
        <v>845</v>
      </c>
      <c r="X151" s="438">
        <v>845</v>
      </c>
      <c r="Z151" s="438">
        <v>372888</v>
      </c>
      <c r="AA151" s="438">
        <v>1.08</v>
      </c>
      <c r="AB151" s="438">
        <v>1.08</v>
      </c>
      <c r="AC151" s="438">
        <v>0</v>
      </c>
      <c r="AD151" s="438" t="s">
        <v>636</v>
      </c>
      <c r="AE151" s="438">
        <v>0</v>
      </c>
      <c r="AH151" s="438">
        <v>169354248</v>
      </c>
      <c r="AI151" s="438">
        <v>0</v>
      </c>
      <c r="AJ151" s="437">
        <v>5037</v>
      </c>
      <c r="AK151" s="438" t="s">
        <v>637</v>
      </c>
      <c r="AL151" s="438" t="s">
        <v>657</v>
      </c>
      <c r="AM151" s="438">
        <v>0</v>
      </c>
      <c r="AN151" s="438">
        <v>0</v>
      </c>
      <c r="AO151" s="438">
        <v>460044</v>
      </c>
      <c r="AP151" s="438">
        <v>68661</v>
      </c>
      <c r="AQ151" s="438">
        <v>0</v>
      </c>
      <c r="AR151" s="438">
        <v>0</v>
      </c>
      <c r="AS151" s="438">
        <v>0</v>
      </c>
      <c r="AT151" s="438">
        <v>1</v>
      </c>
      <c r="AU151" s="438">
        <v>0</v>
      </c>
      <c r="AV151" s="438">
        <v>0</v>
      </c>
      <c r="AW151" s="438">
        <v>103745</v>
      </c>
      <c r="AX151" s="438">
        <v>90003</v>
      </c>
      <c r="AY151" s="438">
        <v>0</v>
      </c>
      <c r="AZ151" s="438">
        <v>1691571</v>
      </c>
      <c r="BA151" s="438">
        <v>12.083</v>
      </c>
      <c r="BB151" s="438">
        <v>5021</v>
      </c>
      <c r="BC151" s="438">
        <v>5021</v>
      </c>
      <c r="BD151" s="438">
        <v>4.95</v>
      </c>
      <c r="BE151" s="438">
        <v>0</v>
      </c>
      <c r="BF151" s="438">
        <v>1244966</v>
      </c>
      <c r="BG151" s="438">
        <v>0</v>
      </c>
      <c r="BH151" s="438">
        <v>28</v>
      </c>
      <c r="BI151" s="438">
        <v>7700</v>
      </c>
      <c r="BJ151" s="438">
        <v>12</v>
      </c>
      <c r="BK151" s="438">
        <v>0</v>
      </c>
      <c r="BL151" s="438">
        <v>0</v>
      </c>
      <c r="BM151" s="438">
        <v>0</v>
      </c>
      <c r="BN151" s="438">
        <v>0</v>
      </c>
      <c r="BO151" s="438">
        <v>0</v>
      </c>
      <c r="BP151" s="438">
        <v>0</v>
      </c>
      <c r="BQ151" s="437">
        <v>5971</v>
      </c>
      <c r="BR151" s="438">
        <v>2</v>
      </c>
      <c r="BS151" s="438">
        <v>0</v>
      </c>
      <c r="BT151" s="438">
        <v>1725989</v>
      </c>
      <c r="BU151" s="438">
        <v>105673</v>
      </c>
      <c r="BV151" s="438">
        <v>0</v>
      </c>
      <c r="BW151" s="438">
        <v>1</v>
      </c>
      <c r="BX151" s="438">
        <v>0.98</v>
      </c>
      <c r="BY151" s="438">
        <v>0.06</v>
      </c>
      <c r="BZ151" s="438">
        <v>0</v>
      </c>
      <c r="CA151" s="438">
        <v>0</v>
      </c>
      <c r="CB151" s="438">
        <v>0</v>
      </c>
      <c r="CC151" s="438">
        <v>0</v>
      </c>
      <c r="CD151" s="438">
        <v>0</v>
      </c>
      <c r="CF151" s="438">
        <v>0</v>
      </c>
      <c r="CG151" s="438">
        <v>0</v>
      </c>
      <c r="CH151" s="438">
        <v>6042</v>
      </c>
      <c r="CI151" s="438">
        <v>99</v>
      </c>
      <c r="CJ151" s="438">
        <v>3</v>
      </c>
      <c r="CK151" s="438">
        <v>0</v>
      </c>
      <c r="CL151" s="438">
        <v>0</v>
      </c>
      <c r="CN151" s="438">
        <v>0</v>
      </c>
      <c r="CO151" s="438">
        <v>0</v>
      </c>
      <c r="CP151" s="438">
        <v>0</v>
      </c>
      <c r="CQ151" s="438">
        <v>0</v>
      </c>
      <c r="CR151" s="438">
        <v>97.74</v>
      </c>
      <c r="CS151" s="438">
        <v>169354248</v>
      </c>
      <c r="CT151" s="438">
        <v>488522</v>
      </c>
      <c r="CU151" s="438">
        <v>1831662</v>
      </c>
      <c r="CV151" s="438">
        <v>1.04</v>
      </c>
      <c r="CW151" s="438">
        <v>4778293</v>
      </c>
      <c r="CX151" s="438">
        <v>0</v>
      </c>
      <c r="CY151" s="438">
        <v>169354248</v>
      </c>
      <c r="CZ151" s="438">
        <v>0</v>
      </c>
      <c r="DA151" s="438">
        <v>1</v>
      </c>
      <c r="DB151" s="438">
        <v>1098890</v>
      </c>
      <c r="DC151" s="438">
        <v>0</v>
      </c>
      <c r="DD151" s="438">
        <v>0</v>
      </c>
      <c r="DE151" s="438">
        <v>67624</v>
      </c>
      <c r="DF151" s="438">
        <v>67624</v>
      </c>
      <c r="DG151" s="438">
        <v>40</v>
      </c>
      <c r="DH151" s="438">
        <v>0</v>
      </c>
      <c r="DI151" s="438">
        <v>0</v>
      </c>
      <c r="DK151" s="437">
        <v>8453</v>
      </c>
      <c r="DL151" s="438">
        <v>0</v>
      </c>
      <c r="DM151" s="438">
        <v>15638</v>
      </c>
      <c r="DN151" s="438">
        <v>0</v>
      </c>
      <c r="DO151" s="438">
        <v>0</v>
      </c>
      <c r="DP151" s="438">
        <v>0</v>
      </c>
      <c r="DQ151" s="438">
        <v>0</v>
      </c>
      <c r="DR151" s="438">
        <v>0</v>
      </c>
      <c r="DS151" s="438">
        <v>0</v>
      </c>
      <c r="DT151" s="438">
        <v>0</v>
      </c>
      <c r="DU151" s="438">
        <v>0</v>
      </c>
      <c r="DV151" s="438">
        <v>0</v>
      </c>
      <c r="DW151" s="438">
        <v>0</v>
      </c>
      <c r="DX151" s="438">
        <v>0</v>
      </c>
      <c r="DY151" s="438">
        <v>0</v>
      </c>
      <c r="DZ151" s="438">
        <v>0</v>
      </c>
      <c r="EA151" s="438">
        <v>0</v>
      </c>
      <c r="EB151" s="438">
        <v>0</v>
      </c>
      <c r="EC151" s="438">
        <v>1</v>
      </c>
      <c r="ED151" s="438">
        <v>9298</v>
      </c>
      <c r="EE151" s="438">
        <v>0</v>
      </c>
      <c r="EF151" s="438">
        <v>0</v>
      </c>
      <c r="EG151" s="438">
        <v>0</v>
      </c>
      <c r="EH151" s="438">
        <v>6340</v>
      </c>
      <c r="EI151" s="438">
        <v>0</v>
      </c>
      <c r="EJ151" s="438">
        <v>0</v>
      </c>
      <c r="EK151" s="438">
        <v>0</v>
      </c>
      <c r="EL151" s="438">
        <v>0</v>
      </c>
      <c r="EM151" s="438">
        <v>0</v>
      </c>
      <c r="EN151" s="438">
        <v>0.15</v>
      </c>
      <c r="EO151" s="438">
        <v>0</v>
      </c>
      <c r="EP151" s="438">
        <v>0</v>
      </c>
      <c r="EQ151" s="438">
        <v>0.15</v>
      </c>
      <c r="ER151" s="438">
        <v>0</v>
      </c>
      <c r="ES151" s="438">
        <v>0.75</v>
      </c>
      <c r="ET151" s="438">
        <v>6042</v>
      </c>
      <c r="EU151" s="438">
        <v>31899</v>
      </c>
      <c r="EV151" s="438">
        <v>0</v>
      </c>
      <c r="EW151" s="438">
        <v>0</v>
      </c>
      <c r="EX151" s="438">
        <v>0</v>
      </c>
      <c r="EZ151" s="438">
        <v>0</v>
      </c>
      <c r="FA151" s="438">
        <v>1659672</v>
      </c>
      <c r="FB151" s="438">
        <v>1318683</v>
      </c>
      <c r="FC151" s="438">
        <v>0.97315399999999996</v>
      </c>
      <c r="FD151" s="438">
        <v>0</v>
      </c>
      <c r="FE151" s="438">
        <v>90003</v>
      </c>
      <c r="FF151" s="438">
        <v>0</v>
      </c>
      <c r="FG151" s="437">
        <v>6.2399999999999997E-2</v>
      </c>
      <c r="FH151" s="437">
        <v>0</v>
      </c>
      <c r="FI151" s="438">
        <v>105677</v>
      </c>
      <c r="FJ151" s="438">
        <v>0</v>
      </c>
      <c r="FK151" s="438">
        <v>247.154</v>
      </c>
      <c r="FL151" s="438">
        <v>128426</v>
      </c>
      <c r="FM151" s="438">
        <v>2320184</v>
      </c>
      <c r="FN151" s="438">
        <v>0</v>
      </c>
      <c r="FO151" s="438">
        <v>31673</v>
      </c>
      <c r="FP151" s="438">
        <v>0</v>
      </c>
      <c r="FQ151" s="438">
        <v>31673</v>
      </c>
      <c r="FR151" s="438">
        <v>31673</v>
      </c>
      <c r="FS151" s="438">
        <v>0</v>
      </c>
      <c r="FT151" s="438">
        <v>0</v>
      </c>
      <c r="FU151" s="438">
        <v>0</v>
      </c>
      <c r="FV151" s="438">
        <v>0</v>
      </c>
      <c r="FW151" s="438">
        <v>0</v>
      </c>
      <c r="FX151" s="438">
        <v>0</v>
      </c>
      <c r="FY151" s="438">
        <v>0</v>
      </c>
      <c r="FZ151" s="438">
        <v>0</v>
      </c>
      <c r="GA151" s="438">
        <v>0</v>
      </c>
      <c r="GB151" s="438">
        <v>91292</v>
      </c>
      <c r="GC151" s="438">
        <v>91292</v>
      </c>
      <c r="GD151" s="438">
        <v>8</v>
      </c>
      <c r="GF151" s="438">
        <v>0</v>
      </c>
      <c r="GG151" s="438">
        <v>0</v>
      </c>
      <c r="GH151" s="438">
        <v>0</v>
      </c>
      <c r="GI151" s="438">
        <v>0</v>
      </c>
      <c r="GJ151" s="438">
        <v>1.41</v>
      </c>
      <c r="GK151" s="438">
        <v>11431.617</v>
      </c>
      <c r="GL151" s="438">
        <v>5667</v>
      </c>
      <c r="GM151" s="438">
        <v>0</v>
      </c>
      <c r="GN151" s="438">
        <v>144684</v>
      </c>
      <c r="GO151" s="438">
        <v>1831662</v>
      </c>
      <c r="GP151" s="438">
        <v>121902</v>
      </c>
      <c r="GQ151" s="438">
        <v>1953564</v>
      </c>
      <c r="GR151" s="438">
        <v>169354248</v>
      </c>
      <c r="GS151" s="438">
        <v>1814050</v>
      </c>
      <c r="GT151" s="438">
        <v>1831662</v>
      </c>
      <c r="HB151" s="438">
        <v>0</v>
      </c>
      <c r="HC151" s="437">
        <v>0</v>
      </c>
      <c r="HD151" s="438">
        <v>0</v>
      </c>
    </row>
    <row r="152" spans="1:212" x14ac:dyDescent="0.2">
      <c r="A152" s="438">
        <v>25836</v>
      </c>
      <c r="B152" s="442">
        <v>152802</v>
      </c>
      <c r="C152" s="438">
        <v>9</v>
      </c>
      <c r="D152" s="438">
        <v>2020</v>
      </c>
      <c r="E152" s="438">
        <v>5392</v>
      </c>
      <c r="F152" s="438">
        <v>0</v>
      </c>
      <c r="G152" s="438">
        <v>243.12</v>
      </c>
      <c r="H152" s="438">
        <v>238.32599999999999</v>
      </c>
      <c r="I152" s="438">
        <v>238.32599999999999</v>
      </c>
      <c r="J152" s="438">
        <v>243.12</v>
      </c>
      <c r="K152" s="438">
        <v>0</v>
      </c>
      <c r="L152" s="437">
        <v>6544</v>
      </c>
      <c r="M152" s="438">
        <v>0</v>
      </c>
      <c r="N152" s="438">
        <v>0</v>
      </c>
      <c r="P152" s="438">
        <v>243.32499999999999</v>
      </c>
      <c r="Q152" s="438">
        <v>0</v>
      </c>
      <c r="R152" s="438">
        <v>60244</v>
      </c>
      <c r="S152" s="437">
        <v>247.58699999999999</v>
      </c>
      <c r="U152" s="438">
        <v>0</v>
      </c>
      <c r="V152" s="438">
        <v>0</v>
      </c>
      <c r="W152" s="438">
        <v>0</v>
      </c>
      <c r="X152" s="438">
        <v>0</v>
      </c>
      <c r="Z152" s="438">
        <v>0</v>
      </c>
      <c r="AA152" s="438">
        <v>1</v>
      </c>
      <c r="AB152" s="438">
        <v>1</v>
      </c>
      <c r="AC152" s="438">
        <v>0</v>
      </c>
      <c r="AD152" s="438" t="s">
        <v>332</v>
      </c>
      <c r="AE152" s="438">
        <v>0</v>
      </c>
      <c r="AH152" s="438">
        <v>0</v>
      </c>
      <c r="AI152" s="438">
        <v>0</v>
      </c>
      <c r="AJ152" s="437">
        <v>5105</v>
      </c>
      <c r="AK152" s="438" t="s">
        <v>561</v>
      </c>
      <c r="AL152" s="438" t="s">
        <v>94</v>
      </c>
      <c r="AM152" s="438">
        <v>0</v>
      </c>
      <c r="AN152" s="438">
        <v>0</v>
      </c>
      <c r="AO152" s="438">
        <v>0</v>
      </c>
      <c r="AP152" s="438">
        <v>0</v>
      </c>
      <c r="AQ152" s="438">
        <v>0</v>
      </c>
      <c r="AR152" s="438">
        <v>0</v>
      </c>
      <c r="AS152" s="438">
        <v>0</v>
      </c>
      <c r="AT152" s="438">
        <v>0</v>
      </c>
      <c r="AU152" s="438">
        <v>0</v>
      </c>
      <c r="AV152" s="438">
        <v>0</v>
      </c>
      <c r="AW152" s="438">
        <v>2303951</v>
      </c>
      <c r="AX152" s="438">
        <v>2298034</v>
      </c>
      <c r="AY152" s="438">
        <v>0</v>
      </c>
      <c r="AZ152" s="438">
        <v>60244</v>
      </c>
      <c r="BA152" s="438">
        <v>11.75</v>
      </c>
      <c r="BB152" s="438">
        <v>0</v>
      </c>
      <c r="BC152" s="438">
        <v>0</v>
      </c>
      <c r="BD152" s="438">
        <v>0</v>
      </c>
      <c r="BE152" s="438">
        <v>0</v>
      </c>
      <c r="BF152" s="438">
        <v>1958765</v>
      </c>
      <c r="BG152" s="438">
        <v>0</v>
      </c>
      <c r="BH152" s="438">
        <v>0</v>
      </c>
      <c r="BI152" s="438">
        <v>0</v>
      </c>
      <c r="BJ152" s="438">
        <v>12</v>
      </c>
      <c r="BK152" s="438">
        <v>0</v>
      </c>
      <c r="BL152" s="438">
        <v>0</v>
      </c>
      <c r="BM152" s="438">
        <v>0</v>
      </c>
      <c r="BN152" s="438">
        <v>0</v>
      </c>
      <c r="BO152" s="438">
        <v>0</v>
      </c>
      <c r="BP152" s="438">
        <v>0</v>
      </c>
      <c r="BQ152" s="437">
        <v>5392</v>
      </c>
      <c r="BR152" s="438">
        <v>1</v>
      </c>
      <c r="BS152" s="438">
        <v>0</v>
      </c>
      <c r="BT152" s="438">
        <v>0</v>
      </c>
      <c r="BU152" s="438">
        <v>0</v>
      </c>
      <c r="BV152" s="438">
        <v>0</v>
      </c>
      <c r="BW152" s="438">
        <v>0</v>
      </c>
      <c r="BX152" s="438">
        <v>0</v>
      </c>
      <c r="BY152" s="438">
        <v>0</v>
      </c>
      <c r="BZ152" s="438">
        <v>0</v>
      </c>
      <c r="CA152" s="438">
        <v>0</v>
      </c>
      <c r="CB152" s="438">
        <v>0</v>
      </c>
      <c r="CC152" s="438">
        <v>0</v>
      </c>
      <c r="CG152" s="438">
        <v>0</v>
      </c>
      <c r="CH152" s="438">
        <v>5917</v>
      </c>
      <c r="CI152" s="438">
        <v>0</v>
      </c>
      <c r="CJ152" s="438">
        <v>4</v>
      </c>
      <c r="CK152" s="438">
        <v>0</v>
      </c>
      <c r="CL152" s="438">
        <v>0</v>
      </c>
      <c r="CN152" s="438">
        <v>0</v>
      </c>
      <c r="CO152" s="438">
        <v>1</v>
      </c>
      <c r="CP152" s="438">
        <v>0</v>
      </c>
      <c r="CQ152" s="438">
        <v>0.16700000000000001</v>
      </c>
      <c r="CR152" s="438">
        <v>243.12</v>
      </c>
      <c r="CS152" s="438">
        <v>0</v>
      </c>
      <c r="CT152" s="438">
        <v>0</v>
      </c>
      <c r="CU152" s="438">
        <v>0</v>
      </c>
      <c r="CV152" s="438">
        <v>0</v>
      </c>
      <c r="CW152" s="438">
        <v>0</v>
      </c>
      <c r="CX152" s="438">
        <v>0</v>
      </c>
      <c r="CY152" s="438">
        <v>0</v>
      </c>
      <c r="CZ152" s="438">
        <v>0</v>
      </c>
      <c r="DA152" s="438">
        <v>1</v>
      </c>
      <c r="DB152" s="438">
        <v>1559605</v>
      </c>
      <c r="DC152" s="438">
        <v>0</v>
      </c>
      <c r="DD152" s="438">
        <v>11.917</v>
      </c>
      <c r="DE152" s="438">
        <v>340942</v>
      </c>
      <c r="DF152" s="438">
        <v>340942</v>
      </c>
      <c r="DG152" s="438">
        <v>260.5</v>
      </c>
      <c r="DH152" s="438">
        <v>0</v>
      </c>
      <c r="DI152" s="438">
        <v>0</v>
      </c>
      <c r="DK152" s="437">
        <v>5392</v>
      </c>
      <c r="DL152" s="438">
        <v>0</v>
      </c>
      <c r="DM152" s="438">
        <v>111850</v>
      </c>
      <c r="DN152" s="438">
        <v>0</v>
      </c>
      <c r="DO152" s="438">
        <v>0</v>
      </c>
      <c r="DP152" s="438">
        <v>0</v>
      </c>
      <c r="DQ152" s="438">
        <v>0</v>
      </c>
      <c r="DR152" s="438">
        <v>0</v>
      </c>
      <c r="DS152" s="438">
        <v>0</v>
      </c>
      <c r="DT152" s="438">
        <v>0</v>
      </c>
      <c r="DU152" s="438">
        <v>0</v>
      </c>
      <c r="DV152" s="438">
        <v>0</v>
      </c>
      <c r="DW152" s="438">
        <v>0</v>
      </c>
      <c r="DX152" s="438">
        <v>0</v>
      </c>
      <c r="DY152" s="438">
        <v>0</v>
      </c>
      <c r="DZ152" s="438">
        <v>0</v>
      </c>
      <c r="EA152" s="438">
        <v>0</v>
      </c>
      <c r="EB152" s="438">
        <v>0</v>
      </c>
      <c r="EC152" s="438">
        <v>0</v>
      </c>
      <c r="ED152" s="438">
        <v>0</v>
      </c>
      <c r="EE152" s="438">
        <v>0</v>
      </c>
      <c r="EF152" s="438">
        <v>0</v>
      </c>
      <c r="EG152" s="438">
        <v>0</v>
      </c>
      <c r="EH152" s="438">
        <v>111850</v>
      </c>
      <c r="EI152" s="438">
        <v>0</v>
      </c>
      <c r="EJ152" s="438">
        <v>0</v>
      </c>
      <c r="EK152" s="438">
        <v>3.4390000000000001</v>
      </c>
      <c r="EL152" s="438">
        <v>0</v>
      </c>
      <c r="EM152" s="438">
        <v>0</v>
      </c>
      <c r="EN152" s="438">
        <v>1.355</v>
      </c>
      <c r="EO152" s="438">
        <v>0</v>
      </c>
      <c r="EP152" s="438">
        <v>0</v>
      </c>
      <c r="EQ152" s="438">
        <v>4.7939999999999996</v>
      </c>
      <c r="ER152" s="438">
        <v>0</v>
      </c>
      <c r="ES152" s="438">
        <v>17.091999999999999</v>
      </c>
      <c r="ET152" s="438">
        <v>5917</v>
      </c>
      <c r="EU152" s="438">
        <v>60244</v>
      </c>
      <c r="EV152" s="438">
        <v>0</v>
      </c>
      <c r="EW152" s="438">
        <v>0</v>
      </c>
      <c r="EX152" s="438">
        <v>0</v>
      </c>
      <c r="EZ152" s="438">
        <v>1952153</v>
      </c>
      <c r="FA152" s="438">
        <v>0</v>
      </c>
      <c r="FB152" s="438">
        <v>2012397</v>
      </c>
      <c r="FC152" s="438">
        <v>0.97334900000000002</v>
      </c>
      <c r="FD152" s="438">
        <v>0</v>
      </c>
      <c r="FE152" s="438">
        <v>281680</v>
      </c>
      <c r="FF152" s="438">
        <v>64201</v>
      </c>
      <c r="FG152" s="437">
        <v>5.7854999999999997E-2</v>
      </c>
      <c r="FH152" s="437">
        <v>5.2366000000000003E-2</v>
      </c>
      <c r="FI152" s="438">
        <v>0</v>
      </c>
      <c r="FJ152" s="438">
        <v>0</v>
      </c>
      <c r="FK152" s="438">
        <v>383.726</v>
      </c>
      <c r="FL152" s="438">
        <v>2364195</v>
      </c>
      <c r="FM152" s="438">
        <v>0</v>
      </c>
      <c r="FN152" s="438">
        <v>0</v>
      </c>
      <c r="FO152" s="438">
        <v>0</v>
      </c>
      <c r="FP152" s="438">
        <v>0</v>
      </c>
      <c r="FQ152" s="438">
        <v>0</v>
      </c>
      <c r="FR152" s="438">
        <v>0</v>
      </c>
      <c r="FS152" s="438">
        <v>0</v>
      </c>
      <c r="FT152" s="438">
        <v>0</v>
      </c>
      <c r="FU152" s="438">
        <v>0</v>
      </c>
      <c r="FV152" s="438">
        <v>0</v>
      </c>
      <c r="FW152" s="438">
        <v>0</v>
      </c>
      <c r="FX152" s="438">
        <v>0</v>
      </c>
      <c r="FY152" s="438">
        <v>0</v>
      </c>
      <c r="FZ152" s="438">
        <v>0</v>
      </c>
      <c r="GA152" s="438">
        <v>0</v>
      </c>
      <c r="GB152" s="438">
        <v>0</v>
      </c>
      <c r="GC152" s="438">
        <v>0</v>
      </c>
      <c r="GD152" s="438">
        <v>0</v>
      </c>
      <c r="GF152" s="438">
        <v>0</v>
      </c>
      <c r="GG152" s="438">
        <v>0</v>
      </c>
      <c r="GH152" s="438">
        <v>0</v>
      </c>
      <c r="GI152" s="438">
        <v>0</v>
      </c>
      <c r="GJ152" s="438">
        <v>0</v>
      </c>
      <c r="GK152" s="438">
        <v>4605.5640000000003</v>
      </c>
      <c r="GL152" s="438">
        <v>6224</v>
      </c>
      <c r="GM152" s="438">
        <v>0</v>
      </c>
      <c r="GN152" s="438">
        <v>0</v>
      </c>
      <c r="GO152" s="438">
        <v>0</v>
      </c>
      <c r="GP152" s="438">
        <v>2358278</v>
      </c>
      <c r="GQ152" s="438">
        <v>2358278</v>
      </c>
      <c r="GR152" s="438">
        <v>0</v>
      </c>
      <c r="GS152" s="438">
        <v>0</v>
      </c>
      <c r="GT152" s="438">
        <v>0</v>
      </c>
      <c r="HB152" s="438">
        <v>0</v>
      </c>
      <c r="HC152" s="437">
        <v>6.0754000000000002E-2</v>
      </c>
      <c r="HD152" s="438">
        <v>0</v>
      </c>
    </row>
    <row r="153" spans="1:212" x14ac:dyDescent="0.2">
      <c r="A153" s="438">
        <v>25836</v>
      </c>
      <c r="B153" s="442">
        <v>152803</v>
      </c>
      <c r="C153" s="438">
        <v>9</v>
      </c>
      <c r="D153" s="438">
        <v>2020</v>
      </c>
      <c r="E153" s="438">
        <v>5392</v>
      </c>
      <c r="F153" s="438">
        <v>0</v>
      </c>
      <c r="G153" s="438">
        <v>182.14699999999999</v>
      </c>
      <c r="H153" s="438">
        <v>156.50399999999999</v>
      </c>
      <c r="I153" s="438">
        <v>156.50399999999999</v>
      </c>
      <c r="J153" s="438">
        <v>182.14699999999999</v>
      </c>
      <c r="K153" s="438">
        <v>0</v>
      </c>
      <c r="L153" s="437">
        <v>6544</v>
      </c>
      <c r="M153" s="438">
        <v>0</v>
      </c>
      <c r="N153" s="438">
        <v>0</v>
      </c>
      <c r="P153" s="438">
        <v>182.56</v>
      </c>
      <c r="Q153" s="438">
        <v>0</v>
      </c>
      <c r="R153" s="438">
        <v>45199</v>
      </c>
      <c r="S153" s="437">
        <v>247.58699999999999</v>
      </c>
      <c r="U153" s="438">
        <v>0</v>
      </c>
      <c r="V153" s="438">
        <v>6.3730000000000002</v>
      </c>
      <c r="W153" s="438">
        <v>4170</v>
      </c>
      <c r="X153" s="438">
        <v>4170</v>
      </c>
      <c r="Z153" s="438">
        <v>0</v>
      </c>
      <c r="AA153" s="438">
        <v>1</v>
      </c>
      <c r="AB153" s="438">
        <v>1</v>
      </c>
      <c r="AC153" s="438">
        <v>0</v>
      </c>
      <c r="AD153" s="438" t="s">
        <v>332</v>
      </c>
      <c r="AE153" s="438">
        <v>0</v>
      </c>
      <c r="AH153" s="438">
        <v>0</v>
      </c>
      <c r="AI153" s="438">
        <v>0</v>
      </c>
      <c r="AJ153" s="437">
        <v>5105</v>
      </c>
      <c r="AK153" s="438" t="s">
        <v>561</v>
      </c>
      <c r="AL153" s="438" t="s">
        <v>375</v>
      </c>
      <c r="AM153" s="438">
        <v>0</v>
      </c>
      <c r="AN153" s="438">
        <v>0</v>
      </c>
      <c r="AO153" s="438">
        <v>0</v>
      </c>
      <c r="AP153" s="438">
        <v>0</v>
      </c>
      <c r="AQ153" s="438">
        <v>0</v>
      </c>
      <c r="AR153" s="438">
        <v>0</v>
      </c>
      <c r="AS153" s="438">
        <v>0</v>
      </c>
      <c r="AT153" s="438">
        <v>0</v>
      </c>
      <c r="AU153" s="438">
        <v>0</v>
      </c>
      <c r="AV153" s="438">
        <v>0</v>
      </c>
      <c r="AW153" s="438">
        <v>1953446</v>
      </c>
      <c r="AX153" s="438">
        <v>1903764</v>
      </c>
      <c r="AY153" s="438">
        <v>0</v>
      </c>
      <c r="AZ153" s="438">
        <v>89193</v>
      </c>
      <c r="BA153" s="438">
        <v>5.5</v>
      </c>
      <c r="BB153" s="438">
        <v>0</v>
      </c>
      <c r="BC153" s="438">
        <v>0</v>
      </c>
      <c r="BD153" s="438">
        <v>0</v>
      </c>
      <c r="BE153" s="438">
        <v>0</v>
      </c>
      <c r="BF153" s="438">
        <v>1618793</v>
      </c>
      <c r="BG153" s="438">
        <v>0</v>
      </c>
      <c r="BH153" s="438">
        <v>159.977</v>
      </c>
      <c r="BI153" s="438">
        <v>43994</v>
      </c>
      <c r="BJ153" s="438">
        <v>12</v>
      </c>
      <c r="BK153" s="438">
        <v>0</v>
      </c>
      <c r="BL153" s="438">
        <v>0</v>
      </c>
      <c r="BM153" s="438">
        <v>0</v>
      </c>
      <c r="BN153" s="438">
        <v>0</v>
      </c>
      <c r="BO153" s="438">
        <v>0</v>
      </c>
      <c r="BP153" s="438">
        <v>0</v>
      </c>
      <c r="BQ153" s="437">
        <v>5392</v>
      </c>
      <c r="BR153" s="438">
        <v>1</v>
      </c>
      <c r="BS153" s="438">
        <v>0</v>
      </c>
      <c r="BT153" s="438">
        <v>0</v>
      </c>
      <c r="BU153" s="438">
        <v>0</v>
      </c>
      <c r="BV153" s="438">
        <v>0</v>
      </c>
      <c r="BW153" s="438">
        <v>0</v>
      </c>
      <c r="BX153" s="438">
        <v>0</v>
      </c>
      <c r="BY153" s="438">
        <v>0</v>
      </c>
      <c r="BZ153" s="438">
        <v>0</v>
      </c>
      <c r="CA153" s="438">
        <v>0</v>
      </c>
      <c r="CB153" s="438">
        <v>0</v>
      </c>
      <c r="CC153" s="438">
        <v>0</v>
      </c>
      <c r="CG153" s="438">
        <v>0</v>
      </c>
      <c r="CH153" s="438">
        <v>5688</v>
      </c>
      <c r="CI153" s="438">
        <v>0</v>
      </c>
      <c r="CJ153" s="438">
        <v>4</v>
      </c>
      <c r="CK153" s="438">
        <v>0</v>
      </c>
      <c r="CL153" s="438">
        <v>0</v>
      </c>
      <c r="CN153" s="438">
        <v>0</v>
      </c>
      <c r="CO153" s="438">
        <v>1</v>
      </c>
      <c r="CP153" s="438">
        <v>1.1439999999999999</v>
      </c>
      <c r="CQ153" s="438">
        <v>11.75</v>
      </c>
      <c r="CR153" s="438">
        <v>182.14699999999999</v>
      </c>
      <c r="CS153" s="438">
        <v>0</v>
      </c>
      <c r="CT153" s="438">
        <v>0</v>
      </c>
      <c r="CU153" s="438">
        <v>0</v>
      </c>
      <c r="CV153" s="438">
        <v>0</v>
      </c>
      <c r="CW153" s="438">
        <v>0</v>
      </c>
      <c r="CX153" s="438">
        <v>0</v>
      </c>
      <c r="CY153" s="438">
        <v>0</v>
      </c>
      <c r="CZ153" s="438">
        <v>0</v>
      </c>
      <c r="DA153" s="438">
        <v>1</v>
      </c>
      <c r="DB153" s="438">
        <v>1024162</v>
      </c>
      <c r="DC153" s="438">
        <v>0</v>
      </c>
      <c r="DD153" s="438">
        <v>0</v>
      </c>
      <c r="DE153" s="438">
        <v>242782</v>
      </c>
      <c r="DF153" s="438">
        <v>260824</v>
      </c>
      <c r="DG153" s="438">
        <v>185.5</v>
      </c>
      <c r="DH153" s="438">
        <v>0</v>
      </c>
      <c r="DI153" s="438">
        <v>18042</v>
      </c>
      <c r="DK153" s="437">
        <v>5392</v>
      </c>
      <c r="DL153" s="438">
        <v>0</v>
      </c>
      <c r="DM153" s="438">
        <v>159319</v>
      </c>
      <c r="DN153" s="438">
        <v>0</v>
      </c>
      <c r="DO153" s="438">
        <v>0</v>
      </c>
      <c r="DP153" s="438">
        <v>0</v>
      </c>
      <c r="DQ153" s="438">
        <v>0</v>
      </c>
      <c r="DR153" s="438">
        <v>0</v>
      </c>
      <c r="DS153" s="438">
        <v>0</v>
      </c>
      <c r="DT153" s="438">
        <v>0</v>
      </c>
      <c r="DU153" s="438">
        <v>0</v>
      </c>
      <c r="DV153" s="438">
        <v>0</v>
      </c>
      <c r="DW153" s="438">
        <v>0</v>
      </c>
      <c r="DX153" s="438">
        <v>0</v>
      </c>
      <c r="DY153" s="438">
        <v>0</v>
      </c>
      <c r="DZ153" s="438">
        <v>0</v>
      </c>
      <c r="EA153" s="438">
        <v>0</v>
      </c>
      <c r="EB153" s="438">
        <v>0</v>
      </c>
      <c r="EC153" s="438">
        <v>18.428000000000001</v>
      </c>
      <c r="ED153" s="438">
        <v>132652</v>
      </c>
      <c r="EE153" s="438">
        <v>0</v>
      </c>
      <c r="EF153" s="438">
        <v>0</v>
      </c>
      <c r="EG153" s="438">
        <v>0</v>
      </c>
      <c r="EH153" s="438">
        <v>26667</v>
      </c>
      <c r="EI153" s="438">
        <v>0</v>
      </c>
      <c r="EJ153" s="438">
        <v>0</v>
      </c>
      <c r="EK153" s="438">
        <v>1.33</v>
      </c>
      <c r="EL153" s="438">
        <v>0</v>
      </c>
      <c r="EM153" s="438">
        <v>0</v>
      </c>
      <c r="EN153" s="438">
        <v>1.7000000000000001E-2</v>
      </c>
      <c r="EO153" s="438">
        <v>0</v>
      </c>
      <c r="EP153" s="438">
        <v>0</v>
      </c>
      <c r="EQ153" s="438">
        <v>1.347</v>
      </c>
      <c r="ER153" s="438">
        <v>0</v>
      </c>
      <c r="ES153" s="438">
        <v>4.0750000000000002</v>
      </c>
      <c r="ET153" s="438">
        <v>5688</v>
      </c>
      <c r="EU153" s="438">
        <v>89193</v>
      </c>
      <c r="EV153" s="438">
        <v>0</v>
      </c>
      <c r="EW153" s="438">
        <v>0</v>
      </c>
      <c r="EX153" s="438">
        <v>0</v>
      </c>
      <c r="EZ153" s="438">
        <v>1617917</v>
      </c>
      <c r="FA153" s="438">
        <v>0</v>
      </c>
      <c r="FB153" s="438">
        <v>1707110</v>
      </c>
      <c r="FC153" s="438">
        <v>0.97334900000000002</v>
      </c>
      <c r="FD153" s="438">
        <v>0</v>
      </c>
      <c r="FE153" s="438">
        <v>232789</v>
      </c>
      <c r="FF153" s="438">
        <v>53058</v>
      </c>
      <c r="FG153" s="437">
        <v>5.7854999999999997E-2</v>
      </c>
      <c r="FH153" s="437">
        <v>5.2366000000000003E-2</v>
      </c>
      <c r="FI153" s="438">
        <v>0</v>
      </c>
      <c r="FJ153" s="438">
        <v>0</v>
      </c>
      <c r="FK153" s="438">
        <v>317.12400000000002</v>
      </c>
      <c r="FL153" s="438">
        <v>1998645</v>
      </c>
      <c r="FM153" s="438">
        <v>0</v>
      </c>
      <c r="FN153" s="438">
        <v>0</v>
      </c>
      <c r="FO153" s="438">
        <v>0</v>
      </c>
      <c r="FP153" s="438">
        <v>0</v>
      </c>
      <c r="FQ153" s="438">
        <v>0</v>
      </c>
      <c r="FR153" s="438">
        <v>0</v>
      </c>
      <c r="FS153" s="438">
        <v>0</v>
      </c>
      <c r="FT153" s="438">
        <v>0</v>
      </c>
      <c r="FU153" s="438">
        <v>0</v>
      </c>
      <c r="FV153" s="438">
        <v>0</v>
      </c>
      <c r="FW153" s="438">
        <v>0</v>
      </c>
      <c r="FX153" s="438">
        <v>0</v>
      </c>
      <c r="FY153" s="438">
        <v>0</v>
      </c>
      <c r="FZ153" s="438">
        <v>0</v>
      </c>
      <c r="GA153" s="438">
        <v>0</v>
      </c>
      <c r="GB153" s="438">
        <v>214641</v>
      </c>
      <c r="GC153" s="438">
        <v>214641</v>
      </c>
      <c r="GD153" s="438">
        <v>24.295999999999999</v>
      </c>
      <c r="GF153" s="438">
        <v>0</v>
      </c>
      <c r="GG153" s="438">
        <v>0</v>
      </c>
      <c r="GH153" s="438">
        <v>0</v>
      </c>
      <c r="GI153" s="438">
        <v>0</v>
      </c>
      <c r="GJ153" s="438">
        <v>0</v>
      </c>
      <c r="GK153" s="438">
        <v>4728.7619999999997</v>
      </c>
      <c r="GL153" s="438">
        <v>4036</v>
      </c>
      <c r="GM153" s="438">
        <v>0</v>
      </c>
      <c r="GN153" s="438">
        <v>0</v>
      </c>
      <c r="GO153" s="438">
        <v>0</v>
      </c>
      <c r="GP153" s="438">
        <v>1992957</v>
      </c>
      <c r="GQ153" s="438">
        <v>1992957</v>
      </c>
      <c r="GR153" s="438">
        <v>0</v>
      </c>
      <c r="GS153" s="438">
        <v>0</v>
      </c>
      <c r="GT153" s="438">
        <v>0</v>
      </c>
      <c r="HB153" s="438">
        <v>0</v>
      </c>
      <c r="HC153" s="437">
        <v>6.0754000000000002E-2</v>
      </c>
      <c r="HD153" s="438">
        <v>0</v>
      </c>
    </row>
    <row r="154" spans="1:212" x14ac:dyDescent="0.2">
      <c r="A154" s="438">
        <v>25836</v>
      </c>
      <c r="B154" s="442">
        <v>152806</v>
      </c>
      <c r="C154" s="438">
        <v>9</v>
      </c>
      <c r="D154" s="438">
        <v>2020</v>
      </c>
      <c r="E154" s="438">
        <v>5392</v>
      </c>
      <c r="F154" s="438">
        <v>0</v>
      </c>
      <c r="G154" s="438">
        <v>0</v>
      </c>
      <c r="H154" s="438">
        <v>0</v>
      </c>
      <c r="I154" s="438">
        <v>0</v>
      </c>
      <c r="J154" s="438">
        <v>0</v>
      </c>
      <c r="K154" s="438">
        <v>0</v>
      </c>
      <c r="L154" s="437">
        <v>6544</v>
      </c>
      <c r="M154" s="438">
        <v>0</v>
      </c>
      <c r="N154" s="438">
        <v>0</v>
      </c>
      <c r="P154" s="438">
        <v>0</v>
      </c>
      <c r="Q154" s="438">
        <v>0</v>
      </c>
      <c r="R154" s="438">
        <v>0</v>
      </c>
      <c r="S154" s="437">
        <v>247.58699999999999</v>
      </c>
      <c r="U154" s="438">
        <v>0</v>
      </c>
      <c r="V154" s="438">
        <v>0</v>
      </c>
      <c r="W154" s="438">
        <v>0</v>
      </c>
      <c r="X154" s="438">
        <v>0</v>
      </c>
      <c r="Z154" s="438">
        <v>0</v>
      </c>
      <c r="AA154" s="438">
        <v>1</v>
      </c>
      <c r="AB154" s="438">
        <v>1</v>
      </c>
      <c r="AC154" s="438">
        <v>0</v>
      </c>
      <c r="AD154" s="438" t="s">
        <v>332</v>
      </c>
      <c r="AE154" s="438">
        <v>0</v>
      </c>
      <c r="AH154" s="438">
        <v>0</v>
      </c>
      <c r="AI154" s="438">
        <v>0</v>
      </c>
      <c r="AJ154" s="437">
        <v>5105</v>
      </c>
      <c r="AK154" s="438" t="s">
        <v>561</v>
      </c>
      <c r="AL154" s="438" t="s">
        <v>658</v>
      </c>
      <c r="AM154" s="438">
        <v>0</v>
      </c>
      <c r="AN154" s="438">
        <v>0</v>
      </c>
      <c r="AO154" s="438">
        <v>0</v>
      </c>
      <c r="AP154" s="438">
        <v>0</v>
      </c>
      <c r="AQ154" s="438">
        <v>0</v>
      </c>
      <c r="AR154" s="438">
        <v>0</v>
      </c>
      <c r="AS154" s="438">
        <v>0</v>
      </c>
      <c r="AT154" s="438">
        <v>0</v>
      </c>
      <c r="AU154" s="438">
        <v>0</v>
      </c>
      <c r="AV154" s="438">
        <v>0</v>
      </c>
      <c r="AW154" s="438">
        <v>0</v>
      </c>
      <c r="AX154" s="438">
        <v>0</v>
      </c>
      <c r="AY154" s="438">
        <v>0</v>
      </c>
      <c r="AZ154" s="438">
        <v>0</v>
      </c>
      <c r="BA154" s="438">
        <v>0</v>
      </c>
      <c r="BB154" s="438">
        <v>0</v>
      </c>
      <c r="BC154" s="438">
        <v>0</v>
      </c>
      <c r="BD154" s="438">
        <v>0</v>
      </c>
      <c r="BE154" s="438">
        <v>0</v>
      </c>
      <c r="BF154" s="438">
        <v>0</v>
      </c>
      <c r="BG154" s="438">
        <v>0</v>
      </c>
      <c r="BH154" s="438">
        <v>0</v>
      </c>
      <c r="BI154" s="438">
        <v>0</v>
      </c>
      <c r="BJ154" s="438">
        <v>12</v>
      </c>
      <c r="BK154" s="438">
        <v>0</v>
      </c>
      <c r="BL154" s="438">
        <v>0</v>
      </c>
      <c r="BM154" s="438">
        <v>0</v>
      </c>
      <c r="BN154" s="438">
        <v>0</v>
      </c>
      <c r="BO154" s="438">
        <v>0</v>
      </c>
      <c r="BP154" s="438">
        <v>0</v>
      </c>
      <c r="BQ154" s="437">
        <v>5392</v>
      </c>
      <c r="BR154" s="438">
        <v>1</v>
      </c>
      <c r="BS154" s="438">
        <v>0</v>
      </c>
      <c r="BT154" s="438">
        <v>0</v>
      </c>
      <c r="BU154" s="438">
        <v>0</v>
      </c>
      <c r="BV154" s="438">
        <v>0</v>
      </c>
      <c r="BW154" s="438">
        <v>0</v>
      </c>
      <c r="BX154" s="438">
        <v>0</v>
      </c>
      <c r="BY154" s="438">
        <v>0</v>
      </c>
      <c r="BZ154" s="438">
        <v>0</v>
      </c>
      <c r="CA154" s="438">
        <v>0</v>
      </c>
      <c r="CB154" s="438">
        <v>0</v>
      </c>
      <c r="CC154" s="438">
        <v>0</v>
      </c>
      <c r="CG154" s="438">
        <v>0</v>
      </c>
      <c r="CH154" s="438">
        <v>0</v>
      </c>
      <c r="CI154" s="438">
        <v>0</v>
      </c>
      <c r="CJ154" s="438">
        <v>4</v>
      </c>
      <c r="CK154" s="438">
        <v>0</v>
      </c>
      <c r="CL154" s="438">
        <v>0</v>
      </c>
      <c r="CN154" s="438">
        <v>0</v>
      </c>
      <c r="CO154" s="438">
        <v>0</v>
      </c>
      <c r="CP154" s="438">
        <v>0</v>
      </c>
      <c r="CQ154" s="438">
        <v>0</v>
      </c>
      <c r="CR154" s="438">
        <v>0</v>
      </c>
      <c r="CS154" s="438">
        <v>0</v>
      </c>
      <c r="CT154" s="438">
        <v>0</v>
      </c>
      <c r="CU154" s="438">
        <v>0</v>
      </c>
      <c r="CV154" s="438">
        <v>0</v>
      </c>
      <c r="CW154" s="438">
        <v>0</v>
      </c>
      <c r="CX154" s="438">
        <v>0</v>
      </c>
      <c r="CY154" s="438">
        <v>0</v>
      </c>
      <c r="CZ154" s="438">
        <v>0</v>
      </c>
      <c r="DA154" s="438">
        <v>1</v>
      </c>
      <c r="DB154" s="438">
        <v>0</v>
      </c>
      <c r="DC154" s="438">
        <v>0</v>
      </c>
      <c r="DD154" s="438">
        <v>0</v>
      </c>
      <c r="DE154" s="438">
        <v>0</v>
      </c>
      <c r="DF154" s="438">
        <v>0</v>
      </c>
      <c r="DG154" s="438">
        <v>0</v>
      </c>
      <c r="DH154" s="438">
        <v>0</v>
      </c>
      <c r="DI154" s="438">
        <v>0</v>
      </c>
      <c r="DK154" s="437">
        <v>5392</v>
      </c>
      <c r="DL154" s="438">
        <v>0</v>
      </c>
      <c r="DM154" s="438">
        <v>0</v>
      </c>
      <c r="DN154" s="438">
        <v>0</v>
      </c>
      <c r="DO154" s="438">
        <v>0</v>
      </c>
      <c r="DP154" s="438">
        <v>0</v>
      </c>
      <c r="DQ154" s="438">
        <v>0</v>
      </c>
      <c r="DR154" s="438">
        <v>0</v>
      </c>
      <c r="DS154" s="438">
        <v>0</v>
      </c>
      <c r="DT154" s="438">
        <v>0</v>
      </c>
      <c r="DU154" s="438">
        <v>0</v>
      </c>
      <c r="DV154" s="438">
        <v>0</v>
      </c>
      <c r="DW154" s="438">
        <v>0</v>
      </c>
      <c r="DX154" s="438">
        <v>0</v>
      </c>
      <c r="DY154" s="438">
        <v>0</v>
      </c>
      <c r="DZ154" s="438">
        <v>0</v>
      </c>
      <c r="EA154" s="438">
        <v>0</v>
      </c>
      <c r="EB154" s="438">
        <v>0</v>
      </c>
      <c r="EC154" s="438">
        <v>0</v>
      </c>
      <c r="ED154" s="438">
        <v>0</v>
      </c>
      <c r="EE154" s="438">
        <v>0</v>
      </c>
      <c r="EF154" s="438">
        <v>0</v>
      </c>
      <c r="EG154" s="438">
        <v>0</v>
      </c>
      <c r="EH154" s="438">
        <v>0</v>
      </c>
      <c r="EI154" s="438">
        <v>0</v>
      </c>
      <c r="EJ154" s="438">
        <v>0</v>
      </c>
      <c r="EK154" s="438">
        <v>0</v>
      </c>
      <c r="EL154" s="438">
        <v>0</v>
      </c>
      <c r="EM154" s="438">
        <v>0</v>
      </c>
      <c r="EN154" s="438">
        <v>0</v>
      </c>
      <c r="EO154" s="438">
        <v>0</v>
      </c>
      <c r="EP154" s="438">
        <v>0</v>
      </c>
      <c r="EQ154" s="438">
        <v>0</v>
      </c>
      <c r="ER154" s="438">
        <v>0</v>
      </c>
      <c r="ES154" s="438">
        <v>0</v>
      </c>
      <c r="ET154" s="438">
        <v>0</v>
      </c>
      <c r="EU154" s="438">
        <v>0</v>
      </c>
      <c r="EV154" s="438">
        <v>0</v>
      </c>
      <c r="EW154" s="438">
        <v>0</v>
      </c>
      <c r="EX154" s="438">
        <v>0</v>
      </c>
      <c r="EZ154" s="438">
        <v>0</v>
      </c>
      <c r="FA154" s="438">
        <v>0</v>
      </c>
      <c r="FB154" s="438">
        <v>0</v>
      </c>
      <c r="FC154" s="438">
        <v>0.97334900000000002</v>
      </c>
      <c r="FD154" s="438">
        <v>0</v>
      </c>
      <c r="FE154" s="438">
        <v>0</v>
      </c>
      <c r="FF154" s="438">
        <v>0</v>
      </c>
      <c r="FG154" s="437">
        <v>5.7854999999999997E-2</v>
      </c>
      <c r="FH154" s="437">
        <v>5.2366000000000003E-2</v>
      </c>
      <c r="FI154" s="438">
        <v>0</v>
      </c>
      <c r="FJ154" s="438">
        <v>0</v>
      </c>
      <c r="FK154" s="438">
        <v>0</v>
      </c>
      <c r="FL154" s="438">
        <v>0</v>
      </c>
      <c r="FM154" s="438">
        <v>0</v>
      </c>
      <c r="FN154" s="438">
        <v>0</v>
      </c>
      <c r="FO154" s="438">
        <v>0</v>
      </c>
      <c r="FP154" s="438">
        <v>0</v>
      </c>
      <c r="FQ154" s="438">
        <v>0</v>
      </c>
      <c r="FR154" s="438">
        <v>0</v>
      </c>
      <c r="FS154" s="438">
        <v>0</v>
      </c>
      <c r="FT154" s="438">
        <v>0</v>
      </c>
      <c r="FU154" s="438">
        <v>0</v>
      </c>
      <c r="FV154" s="438">
        <v>0</v>
      </c>
      <c r="FW154" s="438">
        <v>0</v>
      </c>
      <c r="FX154" s="438">
        <v>0</v>
      </c>
      <c r="FY154" s="438">
        <v>0</v>
      </c>
      <c r="FZ154" s="438">
        <v>0</v>
      </c>
      <c r="GA154" s="438">
        <v>0</v>
      </c>
      <c r="GB154" s="438">
        <v>0</v>
      </c>
      <c r="GC154" s="438">
        <v>0</v>
      </c>
      <c r="GD154" s="438">
        <v>0</v>
      </c>
      <c r="GF154" s="438">
        <v>0</v>
      </c>
      <c r="GG154" s="438">
        <v>0</v>
      </c>
      <c r="GH154" s="438">
        <v>0</v>
      </c>
      <c r="GI154" s="438">
        <v>0</v>
      </c>
      <c r="GJ154" s="438">
        <v>0</v>
      </c>
      <c r="GK154" s="438">
        <v>0</v>
      </c>
      <c r="GL154" s="438">
        <v>0</v>
      </c>
      <c r="GM154" s="438">
        <v>0</v>
      </c>
      <c r="GN154" s="438">
        <v>0</v>
      </c>
      <c r="GO154" s="438">
        <v>0</v>
      </c>
      <c r="GP154" s="438">
        <v>0</v>
      </c>
      <c r="GQ154" s="438">
        <v>0</v>
      </c>
      <c r="GR154" s="438">
        <v>0</v>
      </c>
      <c r="GS154" s="438">
        <v>0</v>
      </c>
      <c r="GT154" s="438">
        <v>0</v>
      </c>
      <c r="HB154" s="438">
        <v>0</v>
      </c>
      <c r="HC154" s="437">
        <v>0</v>
      </c>
      <c r="HD154" s="438">
        <v>0</v>
      </c>
    </row>
    <row r="155" spans="1:212" x14ac:dyDescent="0.2">
      <c r="A155" s="438">
        <v>25836</v>
      </c>
      <c r="B155" s="442">
        <v>161801</v>
      </c>
      <c r="C155" s="438">
        <v>9</v>
      </c>
      <c r="D155" s="438">
        <v>2020</v>
      </c>
      <c r="E155" s="438">
        <v>5392</v>
      </c>
      <c r="F155" s="438">
        <v>0</v>
      </c>
      <c r="G155" s="438">
        <v>192.72499999999999</v>
      </c>
      <c r="H155" s="438">
        <v>188.73699999999999</v>
      </c>
      <c r="I155" s="438">
        <v>188.73699999999999</v>
      </c>
      <c r="J155" s="438">
        <v>192.72499999999999</v>
      </c>
      <c r="K155" s="438">
        <v>0</v>
      </c>
      <c r="L155" s="437">
        <v>6544</v>
      </c>
      <c r="M155" s="438">
        <v>0</v>
      </c>
      <c r="N155" s="438">
        <v>0</v>
      </c>
      <c r="P155" s="438">
        <v>191.62700000000001</v>
      </c>
      <c r="Q155" s="438">
        <v>0</v>
      </c>
      <c r="R155" s="438">
        <v>47444</v>
      </c>
      <c r="S155" s="437">
        <v>247.58699999999999</v>
      </c>
      <c r="U155" s="438">
        <v>0</v>
      </c>
      <c r="V155" s="438">
        <v>46.078000000000003</v>
      </c>
      <c r="W155" s="438">
        <v>30153</v>
      </c>
      <c r="X155" s="438">
        <v>30153</v>
      </c>
      <c r="Z155" s="438">
        <v>0</v>
      </c>
      <c r="AA155" s="438">
        <v>1</v>
      </c>
      <c r="AB155" s="438">
        <v>1</v>
      </c>
      <c r="AC155" s="438">
        <v>0</v>
      </c>
      <c r="AD155" s="438" t="s">
        <v>332</v>
      </c>
      <c r="AE155" s="438">
        <v>0</v>
      </c>
      <c r="AH155" s="438">
        <v>0</v>
      </c>
      <c r="AI155" s="438">
        <v>0</v>
      </c>
      <c r="AJ155" s="437">
        <v>5105</v>
      </c>
      <c r="AK155" s="438" t="s">
        <v>561</v>
      </c>
      <c r="AL155" s="438" t="s">
        <v>5</v>
      </c>
      <c r="AM155" s="438">
        <v>0</v>
      </c>
      <c r="AN155" s="438">
        <v>0</v>
      </c>
      <c r="AO155" s="438">
        <v>0</v>
      </c>
      <c r="AP155" s="438">
        <v>0</v>
      </c>
      <c r="AQ155" s="438">
        <v>0</v>
      </c>
      <c r="AR155" s="438">
        <v>0</v>
      </c>
      <c r="AS155" s="438">
        <v>0</v>
      </c>
      <c r="AT155" s="438">
        <v>0</v>
      </c>
      <c r="AU155" s="438">
        <v>0</v>
      </c>
      <c r="AV155" s="438">
        <v>0</v>
      </c>
      <c r="AW155" s="438">
        <v>1866175</v>
      </c>
      <c r="AX155" s="438">
        <v>1866175</v>
      </c>
      <c r="AY155" s="438">
        <v>0</v>
      </c>
      <c r="AZ155" s="438">
        <v>47444</v>
      </c>
      <c r="BA155" s="438">
        <v>0</v>
      </c>
      <c r="BB155" s="438">
        <v>3141</v>
      </c>
      <c r="BC155" s="438">
        <v>3141</v>
      </c>
      <c r="BD155" s="438">
        <v>4</v>
      </c>
      <c r="BE155" s="438">
        <v>0</v>
      </c>
      <c r="BF155" s="438">
        <v>1589436</v>
      </c>
      <c r="BG155" s="438">
        <v>0</v>
      </c>
      <c r="BH155" s="438">
        <v>0</v>
      </c>
      <c r="BI155" s="438">
        <v>0</v>
      </c>
      <c r="BJ155" s="438">
        <v>12</v>
      </c>
      <c r="BK155" s="438">
        <v>0</v>
      </c>
      <c r="BL155" s="438">
        <v>0</v>
      </c>
      <c r="BM155" s="438">
        <v>0</v>
      </c>
      <c r="BN155" s="438">
        <v>0</v>
      </c>
      <c r="BO155" s="438">
        <v>0</v>
      </c>
      <c r="BP155" s="438">
        <v>0</v>
      </c>
      <c r="BQ155" s="437">
        <v>5392</v>
      </c>
      <c r="BR155" s="438">
        <v>1</v>
      </c>
      <c r="BS155" s="438">
        <v>0</v>
      </c>
      <c r="BT155" s="438">
        <v>0</v>
      </c>
      <c r="BU155" s="438">
        <v>0</v>
      </c>
      <c r="BV155" s="438">
        <v>0</v>
      </c>
      <c r="BW155" s="438">
        <v>0</v>
      </c>
      <c r="BX155" s="438">
        <v>0</v>
      </c>
      <c r="BY155" s="438">
        <v>0</v>
      </c>
      <c r="BZ155" s="438">
        <v>0</v>
      </c>
      <c r="CA155" s="438">
        <v>0</v>
      </c>
      <c r="CB155" s="438">
        <v>0</v>
      </c>
      <c r="CC155" s="438">
        <v>0</v>
      </c>
      <c r="CG155" s="438">
        <v>0</v>
      </c>
      <c r="CH155" s="438">
        <v>0</v>
      </c>
      <c r="CI155" s="438">
        <v>0</v>
      </c>
      <c r="CJ155" s="438">
        <v>4</v>
      </c>
      <c r="CK155" s="438">
        <v>0</v>
      </c>
      <c r="CL155" s="438">
        <v>0</v>
      </c>
      <c r="CN155" s="438">
        <v>0</v>
      </c>
      <c r="CO155" s="438">
        <v>1</v>
      </c>
      <c r="CP155" s="438">
        <v>0</v>
      </c>
      <c r="CQ155" s="438">
        <v>0</v>
      </c>
      <c r="CR155" s="438">
        <v>192.72499999999999</v>
      </c>
      <c r="CS155" s="438">
        <v>0</v>
      </c>
      <c r="CT155" s="438">
        <v>0</v>
      </c>
      <c r="CU155" s="438">
        <v>0</v>
      </c>
      <c r="CV155" s="438">
        <v>0</v>
      </c>
      <c r="CW155" s="438">
        <v>0</v>
      </c>
      <c r="CX155" s="438">
        <v>0</v>
      </c>
      <c r="CY155" s="438">
        <v>0</v>
      </c>
      <c r="CZ155" s="438">
        <v>0</v>
      </c>
      <c r="DA155" s="438">
        <v>1</v>
      </c>
      <c r="DB155" s="438">
        <v>1235095</v>
      </c>
      <c r="DC155" s="438">
        <v>0</v>
      </c>
      <c r="DD155" s="438">
        <v>0</v>
      </c>
      <c r="DE155" s="438">
        <v>281392</v>
      </c>
      <c r="DF155" s="438">
        <v>281392</v>
      </c>
      <c r="DG155" s="438">
        <v>215</v>
      </c>
      <c r="DH155" s="438">
        <v>0</v>
      </c>
      <c r="DI155" s="438">
        <v>0</v>
      </c>
      <c r="DK155" s="437">
        <v>5392</v>
      </c>
      <c r="DL155" s="438">
        <v>0</v>
      </c>
      <c r="DM155" s="438">
        <v>83174</v>
      </c>
      <c r="DN155" s="438">
        <v>0</v>
      </c>
      <c r="DO155" s="438">
        <v>0</v>
      </c>
      <c r="DP155" s="438">
        <v>0</v>
      </c>
      <c r="DQ155" s="438">
        <v>0</v>
      </c>
      <c r="DR155" s="438">
        <v>0</v>
      </c>
      <c r="DS155" s="438">
        <v>0</v>
      </c>
      <c r="DT155" s="438">
        <v>0</v>
      </c>
      <c r="DU155" s="438">
        <v>0</v>
      </c>
      <c r="DV155" s="438">
        <v>0</v>
      </c>
      <c r="DW155" s="438">
        <v>0</v>
      </c>
      <c r="DX155" s="438">
        <v>0</v>
      </c>
      <c r="DY155" s="438">
        <v>0</v>
      </c>
      <c r="DZ155" s="438">
        <v>0</v>
      </c>
      <c r="EA155" s="438">
        <v>0</v>
      </c>
      <c r="EB155" s="438">
        <v>0</v>
      </c>
      <c r="EC155" s="438">
        <v>0</v>
      </c>
      <c r="ED155" s="438">
        <v>0</v>
      </c>
      <c r="EE155" s="438">
        <v>0</v>
      </c>
      <c r="EF155" s="438">
        <v>0</v>
      </c>
      <c r="EG155" s="438">
        <v>0</v>
      </c>
      <c r="EH155" s="438">
        <v>83174</v>
      </c>
      <c r="EI155" s="438">
        <v>0</v>
      </c>
      <c r="EJ155" s="438">
        <v>0</v>
      </c>
      <c r="EK155" s="438">
        <v>3.452</v>
      </c>
      <c r="EL155" s="438">
        <v>0</v>
      </c>
      <c r="EM155" s="438">
        <v>0.16300000000000001</v>
      </c>
      <c r="EN155" s="438">
        <v>0.373</v>
      </c>
      <c r="EO155" s="438">
        <v>0</v>
      </c>
      <c r="EP155" s="438">
        <v>0</v>
      </c>
      <c r="EQ155" s="438">
        <v>3.988</v>
      </c>
      <c r="ER155" s="438">
        <v>0</v>
      </c>
      <c r="ES155" s="438">
        <v>12.71</v>
      </c>
      <c r="ET155" s="438">
        <v>0</v>
      </c>
      <c r="EU155" s="438">
        <v>47444</v>
      </c>
      <c r="EV155" s="438">
        <v>0</v>
      </c>
      <c r="EW155" s="438">
        <v>0</v>
      </c>
      <c r="EX155" s="438">
        <v>0</v>
      </c>
      <c r="EZ155" s="438">
        <v>1585511</v>
      </c>
      <c r="FA155" s="438">
        <v>0</v>
      </c>
      <c r="FB155" s="438">
        <v>1632955</v>
      </c>
      <c r="FC155" s="438">
        <v>0.97334900000000002</v>
      </c>
      <c r="FD155" s="438">
        <v>0</v>
      </c>
      <c r="FE155" s="438">
        <v>228568</v>
      </c>
      <c r="FF155" s="438">
        <v>52096</v>
      </c>
      <c r="FG155" s="437">
        <v>5.7854999999999997E-2</v>
      </c>
      <c r="FH155" s="437">
        <v>5.2366000000000003E-2</v>
      </c>
      <c r="FI155" s="438">
        <v>0</v>
      </c>
      <c r="FJ155" s="438">
        <v>0</v>
      </c>
      <c r="FK155" s="438">
        <v>311.37299999999999</v>
      </c>
      <c r="FL155" s="438">
        <v>1913619</v>
      </c>
      <c r="FM155" s="438">
        <v>0</v>
      </c>
      <c r="FN155" s="438">
        <v>0</v>
      </c>
      <c r="FO155" s="438">
        <v>0</v>
      </c>
      <c r="FP155" s="438">
        <v>0</v>
      </c>
      <c r="FQ155" s="438">
        <v>0</v>
      </c>
      <c r="FR155" s="438">
        <v>0</v>
      </c>
      <c r="FS155" s="438">
        <v>0</v>
      </c>
      <c r="FT155" s="438">
        <v>0</v>
      </c>
      <c r="FU155" s="438">
        <v>0</v>
      </c>
      <c r="FV155" s="438">
        <v>0</v>
      </c>
      <c r="FW155" s="438">
        <v>0</v>
      </c>
      <c r="FX155" s="438">
        <v>0</v>
      </c>
      <c r="FY155" s="438">
        <v>0</v>
      </c>
      <c r="FZ155" s="438">
        <v>0</v>
      </c>
      <c r="GA155" s="438">
        <v>0</v>
      </c>
      <c r="GB155" s="438">
        <v>0</v>
      </c>
      <c r="GC155" s="438">
        <v>0</v>
      </c>
      <c r="GD155" s="438">
        <v>0</v>
      </c>
      <c r="GF155" s="438">
        <v>0</v>
      </c>
      <c r="GG155" s="438">
        <v>0</v>
      </c>
      <c r="GH155" s="438">
        <v>0</v>
      </c>
      <c r="GI155" s="438">
        <v>0</v>
      </c>
      <c r="GJ155" s="438">
        <v>0</v>
      </c>
      <c r="GK155" s="438">
        <v>4604.6369999999997</v>
      </c>
      <c r="GL155" s="438">
        <v>5511</v>
      </c>
      <c r="GM155" s="438">
        <v>0</v>
      </c>
      <c r="GN155" s="438">
        <v>0</v>
      </c>
      <c r="GO155" s="438">
        <v>0</v>
      </c>
      <c r="GP155" s="438">
        <v>1913619</v>
      </c>
      <c r="GQ155" s="438">
        <v>1913619</v>
      </c>
      <c r="GR155" s="438">
        <v>0</v>
      </c>
      <c r="GS155" s="438">
        <v>0</v>
      </c>
      <c r="GT155" s="438">
        <v>0</v>
      </c>
      <c r="HB155" s="438">
        <v>0</v>
      </c>
      <c r="HC155" s="437">
        <v>6.0754000000000002E-2</v>
      </c>
      <c r="HD155" s="438">
        <v>0</v>
      </c>
    </row>
    <row r="156" spans="1:212" x14ac:dyDescent="0.2">
      <c r="A156" s="438">
        <v>25836</v>
      </c>
      <c r="B156" s="442">
        <v>161802</v>
      </c>
      <c r="C156" s="438">
        <v>9</v>
      </c>
      <c r="D156" s="438">
        <v>2020</v>
      </c>
      <c r="E156" s="438">
        <v>5392</v>
      </c>
      <c r="F156" s="438">
        <v>0</v>
      </c>
      <c r="G156" s="438">
        <v>748.90700000000004</v>
      </c>
      <c r="H156" s="438">
        <v>704.37199999999996</v>
      </c>
      <c r="I156" s="438">
        <v>704.37199999999996</v>
      </c>
      <c r="J156" s="438">
        <v>748.90700000000004</v>
      </c>
      <c r="K156" s="438">
        <v>0</v>
      </c>
      <c r="L156" s="437">
        <v>6544</v>
      </c>
      <c r="M156" s="438">
        <v>0</v>
      </c>
      <c r="N156" s="438">
        <v>0</v>
      </c>
      <c r="P156" s="438">
        <v>750.00800000000004</v>
      </c>
      <c r="Q156" s="438">
        <v>0</v>
      </c>
      <c r="R156" s="438">
        <v>185692</v>
      </c>
      <c r="S156" s="437">
        <v>247.58699999999999</v>
      </c>
      <c r="U156" s="438">
        <v>0</v>
      </c>
      <c r="V156" s="438">
        <v>62.435000000000002</v>
      </c>
      <c r="W156" s="438">
        <v>40857</v>
      </c>
      <c r="X156" s="438">
        <v>40857</v>
      </c>
      <c r="Z156" s="438">
        <v>0</v>
      </c>
      <c r="AA156" s="438">
        <v>1</v>
      </c>
      <c r="AB156" s="438">
        <v>1</v>
      </c>
      <c r="AC156" s="438">
        <v>0</v>
      </c>
      <c r="AD156" s="438" t="s">
        <v>332</v>
      </c>
      <c r="AE156" s="438">
        <v>0</v>
      </c>
      <c r="AH156" s="438">
        <v>0</v>
      </c>
      <c r="AI156" s="438">
        <v>0</v>
      </c>
      <c r="AJ156" s="437">
        <v>5105</v>
      </c>
      <c r="AK156" s="438" t="s">
        <v>561</v>
      </c>
      <c r="AL156" s="438" t="s">
        <v>376</v>
      </c>
      <c r="AM156" s="438">
        <v>0</v>
      </c>
      <c r="AN156" s="438">
        <v>0</v>
      </c>
      <c r="AO156" s="438">
        <v>0</v>
      </c>
      <c r="AP156" s="438">
        <v>0</v>
      </c>
      <c r="AQ156" s="438">
        <v>0</v>
      </c>
      <c r="AR156" s="438">
        <v>0</v>
      </c>
      <c r="AS156" s="438">
        <v>0</v>
      </c>
      <c r="AT156" s="438">
        <v>0</v>
      </c>
      <c r="AU156" s="438">
        <v>0</v>
      </c>
      <c r="AV156" s="438">
        <v>0</v>
      </c>
      <c r="AW156" s="438">
        <v>7247846</v>
      </c>
      <c r="AX156" s="438">
        <v>7208051</v>
      </c>
      <c r="AY156" s="438">
        <v>0</v>
      </c>
      <c r="AZ156" s="438">
        <v>225487</v>
      </c>
      <c r="BA156" s="438">
        <v>0</v>
      </c>
      <c r="BB156" s="438">
        <v>0</v>
      </c>
      <c r="BC156" s="438">
        <v>0</v>
      </c>
      <c r="BD156" s="438">
        <v>0</v>
      </c>
      <c r="BE156" s="438">
        <v>0</v>
      </c>
      <c r="BF156" s="438">
        <v>6141181</v>
      </c>
      <c r="BG156" s="438">
        <v>0</v>
      </c>
      <c r="BH156" s="438">
        <v>144.708</v>
      </c>
      <c r="BI156" s="438">
        <v>39795</v>
      </c>
      <c r="BJ156" s="438">
        <v>12</v>
      </c>
      <c r="BK156" s="438">
        <v>0</v>
      </c>
      <c r="BL156" s="438">
        <v>0</v>
      </c>
      <c r="BM156" s="438">
        <v>0</v>
      </c>
      <c r="BN156" s="438">
        <v>0</v>
      </c>
      <c r="BO156" s="438">
        <v>0</v>
      </c>
      <c r="BP156" s="438">
        <v>0</v>
      </c>
      <c r="BQ156" s="437">
        <v>5392</v>
      </c>
      <c r="BR156" s="438">
        <v>1</v>
      </c>
      <c r="BS156" s="438">
        <v>0</v>
      </c>
      <c r="BT156" s="438">
        <v>0</v>
      </c>
      <c r="BU156" s="438">
        <v>0</v>
      </c>
      <c r="BV156" s="438">
        <v>0</v>
      </c>
      <c r="BW156" s="438">
        <v>0</v>
      </c>
      <c r="BX156" s="438">
        <v>0</v>
      </c>
      <c r="BY156" s="438">
        <v>0</v>
      </c>
      <c r="BZ156" s="438">
        <v>0</v>
      </c>
      <c r="CA156" s="438">
        <v>0</v>
      </c>
      <c r="CB156" s="438">
        <v>0</v>
      </c>
      <c r="CC156" s="438">
        <v>0</v>
      </c>
      <c r="CG156" s="438">
        <v>0</v>
      </c>
      <c r="CH156" s="438">
        <v>0</v>
      </c>
      <c r="CI156" s="438">
        <v>0</v>
      </c>
      <c r="CJ156" s="438">
        <v>4</v>
      </c>
      <c r="CK156" s="438">
        <v>0</v>
      </c>
      <c r="CL156" s="438">
        <v>0</v>
      </c>
      <c r="CN156" s="438">
        <v>0</v>
      </c>
      <c r="CO156" s="438">
        <v>1</v>
      </c>
      <c r="CP156" s="438">
        <v>0</v>
      </c>
      <c r="CQ156" s="438">
        <v>0</v>
      </c>
      <c r="CR156" s="438">
        <v>748.90700000000004</v>
      </c>
      <c r="CS156" s="438">
        <v>0</v>
      </c>
      <c r="CT156" s="438">
        <v>0</v>
      </c>
      <c r="CU156" s="438">
        <v>0</v>
      </c>
      <c r="CV156" s="438">
        <v>0</v>
      </c>
      <c r="CW156" s="438">
        <v>0</v>
      </c>
      <c r="CX156" s="438">
        <v>0</v>
      </c>
      <c r="CY156" s="438">
        <v>0</v>
      </c>
      <c r="CZ156" s="438">
        <v>0</v>
      </c>
      <c r="DA156" s="438">
        <v>1</v>
      </c>
      <c r="DB156" s="438">
        <v>4609410</v>
      </c>
      <c r="DC156" s="438">
        <v>0</v>
      </c>
      <c r="DD156" s="438">
        <v>0</v>
      </c>
      <c r="DE156" s="438">
        <v>783539</v>
      </c>
      <c r="DF156" s="438">
        <v>783539</v>
      </c>
      <c r="DG156" s="438">
        <v>598.66999999999996</v>
      </c>
      <c r="DH156" s="438">
        <v>0</v>
      </c>
      <c r="DI156" s="438">
        <v>0</v>
      </c>
      <c r="DK156" s="437">
        <v>5392</v>
      </c>
      <c r="DL156" s="438">
        <v>0</v>
      </c>
      <c r="DM156" s="438">
        <v>619131</v>
      </c>
      <c r="DN156" s="438">
        <v>0</v>
      </c>
      <c r="DO156" s="438">
        <v>0</v>
      </c>
      <c r="DP156" s="438">
        <v>0</v>
      </c>
      <c r="DQ156" s="438">
        <v>0</v>
      </c>
      <c r="DR156" s="438">
        <v>0</v>
      </c>
      <c r="DS156" s="438">
        <v>0</v>
      </c>
      <c r="DT156" s="438">
        <v>0</v>
      </c>
      <c r="DU156" s="438">
        <v>0</v>
      </c>
      <c r="DV156" s="438">
        <v>0</v>
      </c>
      <c r="DW156" s="438">
        <v>0</v>
      </c>
      <c r="DX156" s="438">
        <v>0</v>
      </c>
      <c r="DY156" s="438">
        <v>0</v>
      </c>
      <c r="DZ156" s="438">
        <v>0</v>
      </c>
      <c r="EA156" s="438">
        <v>0</v>
      </c>
      <c r="EB156" s="438">
        <v>0</v>
      </c>
      <c r="EC156" s="438">
        <v>40.805</v>
      </c>
      <c r="ED156" s="438">
        <v>293731</v>
      </c>
      <c r="EE156" s="438">
        <v>0</v>
      </c>
      <c r="EF156" s="438">
        <v>0</v>
      </c>
      <c r="EG156" s="438">
        <v>0</v>
      </c>
      <c r="EH156" s="438">
        <v>325400</v>
      </c>
      <c r="EI156" s="438">
        <v>0</v>
      </c>
      <c r="EJ156" s="438">
        <v>0</v>
      </c>
      <c r="EK156" s="438">
        <v>12.878</v>
      </c>
      <c r="EL156" s="438">
        <v>0</v>
      </c>
      <c r="EM156" s="438">
        <v>1.042</v>
      </c>
      <c r="EN156" s="438">
        <v>1.593</v>
      </c>
      <c r="EO156" s="438">
        <v>0</v>
      </c>
      <c r="EP156" s="438">
        <v>0</v>
      </c>
      <c r="EQ156" s="438">
        <v>15.513</v>
      </c>
      <c r="ER156" s="438">
        <v>0</v>
      </c>
      <c r="ES156" s="438">
        <v>49.725000000000001</v>
      </c>
      <c r="ET156" s="438">
        <v>0</v>
      </c>
      <c r="EU156" s="438">
        <v>225487</v>
      </c>
      <c r="EV156" s="438">
        <v>0</v>
      </c>
      <c r="EW156" s="438">
        <v>0</v>
      </c>
      <c r="EX156" s="438">
        <v>0</v>
      </c>
      <c r="EZ156" s="438">
        <v>6123637</v>
      </c>
      <c r="FA156" s="438">
        <v>0</v>
      </c>
      <c r="FB156" s="438">
        <v>6349124</v>
      </c>
      <c r="FC156" s="438">
        <v>0.97334900000000002</v>
      </c>
      <c r="FD156" s="438">
        <v>0</v>
      </c>
      <c r="FE156" s="438">
        <v>883129</v>
      </c>
      <c r="FF156" s="438">
        <v>201285</v>
      </c>
      <c r="FG156" s="437">
        <v>5.7854999999999997E-2</v>
      </c>
      <c r="FH156" s="437">
        <v>5.2366000000000003E-2</v>
      </c>
      <c r="FI156" s="438">
        <v>0</v>
      </c>
      <c r="FJ156" s="438">
        <v>0</v>
      </c>
      <c r="FK156" s="438">
        <v>1203.068</v>
      </c>
      <c r="FL156" s="438">
        <v>7433538</v>
      </c>
      <c r="FM156" s="438">
        <v>0</v>
      </c>
      <c r="FN156" s="438">
        <v>0</v>
      </c>
      <c r="FO156" s="438">
        <v>0</v>
      </c>
      <c r="FP156" s="438">
        <v>0</v>
      </c>
      <c r="FQ156" s="438">
        <v>0</v>
      </c>
      <c r="FR156" s="438">
        <v>0</v>
      </c>
      <c r="FS156" s="438">
        <v>0</v>
      </c>
      <c r="FT156" s="438">
        <v>0</v>
      </c>
      <c r="FU156" s="438">
        <v>0</v>
      </c>
      <c r="FV156" s="438">
        <v>0</v>
      </c>
      <c r="FW156" s="438">
        <v>0</v>
      </c>
      <c r="FX156" s="438">
        <v>0</v>
      </c>
      <c r="FY156" s="438">
        <v>0</v>
      </c>
      <c r="FZ156" s="438">
        <v>0</v>
      </c>
      <c r="GA156" s="438">
        <v>0</v>
      </c>
      <c r="GB156" s="438">
        <v>256392</v>
      </c>
      <c r="GC156" s="438">
        <v>256392</v>
      </c>
      <c r="GD156" s="438">
        <v>29.021999999999998</v>
      </c>
      <c r="GF156" s="438">
        <v>0</v>
      </c>
      <c r="GG156" s="438">
        <v>0</v>
      </c>
      <c r="GH156" s="438">
        <v>0</v>
      </c>
      <c r="GI156" s="438">
        <v>0</v>
      </c>
      <c r="GJ156" s="438">
        <v>0</v>
      </c>
      <c r="GK156" s="438">
        <v>4799.16</v>
      </c>
      <c r="GL156" s="438">
        <v>10582</v>
      </c>
      <c r="GM156" s="438">
        <v>0</v>
      </c>
      <c r="GN156" s="438">
        <v>0</v>
      </c>
      <c r="GO156" s="438">
        <v>0</v>
      </c>
      <c r="GP156" s="438">
        <v>7433538</v>
      </c>
      <c r="GQ156" s="438">
        <v>7433538</v>
      </c>
      <c r="GR156" s="438">
        <v>0</v>
      </c>
      <c r="GS156" s="438">
        <v>0</v>
      </c>
      <c r="GT156" s="438">
        <v>0</v>
      </c>
      <c r="HB156" s="438">
        <v>0</v>
      </c>
      <c r="HC156" s="437">
        <v>6.0754000000000002E-2</v>
      </c>
      <c r="HD156" s="438">
        <v>0</v>
      </c>
    </row>
    <row r="157" spans="1:212" x14ac:dyDescent="0.2">
      <c r="A157" s="438">
        <v>25836</v>
      </c>
      <c r="B157" s="442">
        <v>161807</v>
      </c>
      <c r="C157" s="438">
        <v>9</v>
      </c>
      <c r="D157" s="438">
        <v>2020</v>
      </c>
      <c r="E157" s="438">
        <v>5392</v>
      </c>
      <c r="F157" s="438">
        <v>0</v>
      </c>
      <c r="G157" s="438">
        <v>9195.375</v>
      </c>
      <c r="H157" s="438">
        <v>8508.0130000000008</v>
      </c>
      <c r="I157" s="438">
        <v>8508.0130000000008</v>
      </c>
      <c r="J157" s="438">
        <v>9195.375</v>
      </c>
      <c r="K157" s="438">
        <v>0</v>
      </c>
      <c r="L157" s="437">
        <v>6544</v>
      </c>
      <c r="M157" s="438">
        <v>0</v>
      </c>
      <c r="N157" s="438">
        <v>0</v>
      </c>
      <c r="P157" s="438">
        <v>9215.3040000000001</v>
      </c>
      <c r="Q157" s="438">
        <v>0</v>
      </c>
      <c r="R157" s="438">
        <v>2281589</v>
      </c>
      <c r="S157" s="437">
        <v>247.58699999999999</v>
      </c>
      <c r="U157" s="438">
        <v>0</v>
      </c>
      <c r="V157" s="438">
        <v>2413.3679999999999</v>
      </c>
      <c r="W157" s="438">
        <v>1579308</v>
      </c>
      <c r="X157" s="438">
        <v>1579308</v>
      </c>
      <c r="Z157" s="438">
        <v>0</v>
      </c>
      <c r="AA157" s="438">
        <v>1</v>
      </c>
      <c r="AB157" s="438">
        <v>1</v>
      </c>
      <c r="AC157" s="438">
        <v>0</v>
      </c>
      <c r="AD157" s="438" t="s">
        <v>332</v>
      </c>
      <c r="AE157" s="438">
        <v>0</v>
      </c>
      <c r="AH157" s="438">
        <v>0</v>
      </c>
      <c r="AI157" s="438">
        <v>0</v>
      </c>
      <c r="AJ157" s="437">
        <v>5105</v>
      </c>
      <c r="AK157" s="438" t="s">
        <v>561</v>
      </c>
      <c r="AL157" s="438" t="s">
        <v>377</v>
      </c>
      <c r="AM157" s="438">
        <v>0</v>
      </c>
      <c r="AN157" s="438">
        <v>0</v>
      </c>
      <c r="AO157" s="438">
        <v>0</v>
      </c>
      <c r="AP157" s="438">
        <v>0</v>
      </c>
      <c r="AQ157" s="438">
        <v>0</v>
      </c>
      <c r="AR157" s="438">
        <v>0</v>
      </c>
      <c r="AS157" s="438">
        <v>0</v>
      </c>
      <c r="AT157" s="438">
        <v>0</v>
      </c>
      <c r="AU157" s="438">
        <v>0</v>
      </c>
      <c r="AV157" s="438">
        <v>0</v>
      </c>
      <c r="AW157" s="438">
        <v>86576872</v>
      </c>
      <c r="AX157" s="438">
        <v>85909771</v>
      </c>
      <c r="AY157" s="438">
        <v>0</v>
      </c>
      <c r="AZ157" s="438">
        <v>2864898</v>
      </c>
      <c r="BA157" s="438">
        <v>167.583</v>
      </c>
      <c r="BB157" s="438">
        <v>361047</v>
      </c>
      <c r="BC157" s="438">
        <v>361047</v>
      </c>
      <c r="BD157" s="438">
        <v>459.76900000000001</v>
      </c>
      <c r="BE157" s="438">
        <v>0</v>
      </c>
      <c r="BF157" s="438">
        <v>73251011</v>
      </c>
      <c r="BG157" s="438">
        <v>0</v>
      </c>
      <c r="BH157" s="438">
        <v>2121.123</v>
      </c>
      <c r="BI157" s="438">
        <v>583309</v>
      </c>
      <c r="BJ157" s="438">
        <v>12</v>
      </c>
      <c r="BK157" s="438">
        <v>0</v>
      </c>
      <c r="BL157" s="438">
        <v>0</v>
      </c>
      <c r="BM157" s="438">
        <v>0</v>
      </c>
      <c r="BN157" s="438">
        <v>0</v>
      </c>
      <c r="BO157" s="438">
        <v>0</v>
      </c>
      <c r="BP157" s="438">
        <v>0</v>
      </c>
      <c r="BQ157" s="437">
        <v>5392</v>
      </c>
      <c r="BR157" s="438">
        <v>1</v>
      </c>
      <c r="BS157" s="438">
        <v>0</v>
      </c>
      <c r="BT157" s="438">
        <v>0</v>
      </c>
      <c r="BU157" s="438">
        <v>0</v>
      </c>
      <c r="BV157" s="438">
        <v>0</v>
      </c>
      <c r="BW157" s="438">
        <v>0</v>
      </c>
      <c r="BX157" s="438">
        <v>0</v>
      </c>
      <c r="BY157" s="438">
        <v>0</v>
      </c>
      <c r="BZ157" s="438">
        <v>0</v>
      </c>
      <c r="CA157" s="438">
        <v>0</v>
      </c>
      <c r="CB157" s="438">
        <v>0</v>
      </c>
      <c r="CC157" s="438">
        <v>0</v>
      </c>
      <c r="CG157" s="438">
        <v>0</v>
      </c>
      <c r="CH157" s="438">
        <v>83792</v>
      </c>
      <c r="CI157" s="438">
        <v>0</v>
      </c>
      <c r="CJ157" s="438">
        <v>4</v>
      </c>
      <c r="CK157" s="438">
        <v>0</v>
      </c>
      <c r="CL157" s="438">
        <v>0</v>
      </c>
      <c r="CN157" s="438">
        <v>0</v>
      </c>
      <c r="CO157" s="438">
        <v>1</v>
      </c>
      <c r="CP157" s="438">
        <v>0</v>
      </c>
      <c r="CQ157" s="438">
        <v>0</v>
      </c>
      <c r="CR157" s="438">
        <v>9195.375</v>
      </c>
      <c r="CS157" s="438">
        <v>0</v>
      </c>
      <c r="CT157" s="438">
        <v>0</v>
      </c>
      <c r="CU157" s="438">
        <v>0</v>
      </c>
      <c r="CV157" s="438">
        <v>0</v>
      </c>
      <c r="CW157" s="438">
        <v>0</v>
      </c>
      <c r="CX157" s="438">
        <v>0</v>
      </c>
      <c r="CY157" s="438">
        <v>0</v>
      </c>
      <c r="CZ157" s="438">
        <v>0</v>
      </c>
      <c r="DA157" s="438">
        <v>1</v>
      </c>
      <c r="DB157" s="438">
        <v>55676437</v>
      </c>
      <c r="DC157" s="438">
        <v>0</v>
      </c>
      <c r="DD157" s="438">
        <v>167.583</v>
      </c>
      <c r="DE157" s="438">
        <v>7651022</v>
      </c>
      <c r="DF157" s="438">
        <v>7651022</v>
      </c>
      <c r="DG157" s="438">
        <v>5845.83</v>
      </c>
      <c r="DH157" s="438">
        <v>0</v>
      </c>
      <c r="DI157" s="438">
        <v>0</v>
      </c>
      <c r="DK157" s="437">
        <v>5392</v>
      </c>
      <c r="DL157" s="438">
        <v>0</v>
      </c>
      <c r="DM157" s="438">
        <v>6352762</v>
      </c>
      <c r="DN157" s="438">
        <v>0</v>
      </c>
      <c r="DO157" s="438">
        <v>0</v>
      </c>
      <c r="DP157" s="438">
        <v>0</v>
      </c>
      <c r="DQ157" s="438">
        <v>0</v>
      </c>
      <c r="DR157" s="438">
        <v>0</v>
      </c>
      <c r="DS157" s="438">
        <v>0</v>
      </c>
      <c r="DT157" s="438">
        <v>0</v>
      </c>
      <c r="DU157" s="438">
        <v>0</v>
      </c>
      <c r="DV157" s="438">
        <v>0</v>
      </c>
      <c r="DW157" s="438">
        <v>0</v>
      </c>
      <c r="DX157" s="438">
        <v>0</v>
      </c>
      <c r="DY157" s="438">
        <v>0</v>
      </c>
      <c r="DZ157" s="438">
        <v>0</v>
      </c>
      <c r="EA157" s="438">
        <v>0</v>
      </c>
      <c r="EB157" s="438">
        <v>0</v>
      </c>
      <c r="EC157" s="438">
        <v>106.325</v>
      </c>
      <c r="ED157" s="438">
        <v>765370</v>
      </c>
      <c r="EE157" s="438">
        <v>0</v>
      </c>
      <c r="EF157" s="438">
        <v>0</v>
      </c>
      <c r="EG157" s="438">
        <v>0</v>
      </c>
      <c r="EH157" s="438">
        <v>5587392</v>
      </c>
      <c r="EI157" s="438">
        <v>0</v>
      </c>
      <c r="EJ157" s="438">
        <v>0</v>
      </c>
      <c r="EK157" s="438">
        <v>236.01400000000001</v>
      </c>
      <c r="EL157" s="438">
        <v>0</v>
      </c>
      <c r="EM157" s="438">
        <v>26.529</v>
      </c>
      <c r="EN157" s="438">
        <v>13.238</v>
      </c>
      <c r="EO157" s="438">
        <v>0</v>
      </c>
      <c r="EP157" s="438">
        <v>0</v>
      </c>
      <c r="EQ157" s="438">
        <v>275.78100000000001</v>
      </c>
      <c r="ER157" s="438">
        <v>0</v>
      </c>
      <c r="ES157" s="438">
        <v>853.81899999999996</v>
      </c>
      <c r="ET157" s="438">
        <v>83792</v>
      </c>
      <c r="EU157" s="438">
        <v>2864898</v>
      </c>
      <c r="EV157" s="438">
        <v>0</v>
      </c>
      <c r="EW157" s="438">
        <v>0</v>
      </c>
      <c r="EX157" s="438">
        <v>0</v>
      </c>
      <c r="EZ157" s="438">
        <v>72975058</v>
      </c>
      <c r="FA157" s="438">
        <v>0</v>
      </c>
      <c r="FB157" s="438">
        <v>75839956</v>
      </c>
      <c r="FC157" s="438">
        <v>0.97334900000000002</v>
      </c>
      <c r="FD157" s="438">
        <v>0</v>
      </c>
      <c r="FE157" s="438">
        <v>10533823</v>
      </c>
      <c r="FF157" s="438">
        <v>2400890</v>
      </c>
      <c r="FG157" s="437">
        <v>5.7854999999999997E-2</v>
      </c>
      <c r="FH157" s="437">
        <v>5.2366000000000003E-2</v>
      </c>
      <c r="FI157" s="438">
        <v>0</v>
      </c>
      <c r="FJ157" s="438">
        <v>0</v>
      </c>
      <c r="FK157" s="438">
        <v>14350.001</v>
      </c>
      <c r="FL157" s="438">
        <v>88858461</v>
      </c>
      <c r="FM157" s="438">
        <v>0</v>
      </c>
      <c r="FN157" s="438">
        <v>0</v>
      </c>
      <c r="FO157" s="438">
        <v>0</v>
      </c>
      <c r="FP157" s="438">
        <v>0</v>
      </c>
      <c r="FQ157" s="438">
        <v>0</v>
      </c>
      <c r="FR157" s="438">
        <v>0</v>
      </c>
      <c r="FS157" s="438">
        <v>0</v>
      </c>
      <c r="FT157" s="438">
        <v>0</v>
      </c>
      <c r="FU157" s="438">
        <v>0</v>
      </c>
      <c r="FV157" s="438">
        <v>0</v>
      </c>
      <c r="FW157" s="438">
        <v>0</v>
      </c>
      <c r="FX157" s="438">
        <v>0</v>
      </c>
      <c r="FY157" s="438">
        <v>0</v>
      </c>
      <c r="FZ157" s="438">
        <v>0</v>
      </c>
      <c r="GA157" s="438">
        <v>0</v>
      </c>
      <c r="GB157" s="438">
        <v>3636071</v>
      </c>
      <c r="GC157" s="438">
        <v>3636071</v>
      </c>
      <c r="GD157" s="438">
        <v>411.58100000000002</v>
      </c>
      <c r="GF157" s="438">
        <v>0</v>
      </c>
      <c r="GG157" s="438">
        <v>0</v>
      </c>
      <c r="GH157" s="438">
        <v>0</v>
      </c>
      <c r="GI157" s="438">
        <v>0</v>
      </c>
      <c r="GJ157" s="438">
        <v>0</v>
      </c>
      <c r="GK157" s="438">
        <v>4737.098</v>
      </c>
      <c r="GL157" s="438">
        <v>10821</v>
      </c>
      <c r="GM157" s="438">
        <v>0</v>
      </c>
      <c r="GN157" s="438">
        <v>0</v>
      </c>
      <c r="GO157" s="438">
        <v>0</v>
      </c>
      <c r="GP157" s="438">
        <v>88774669</v>
      </c>
      <c r="GQ157" s="438">
        <v>88774669</v>
      </c>
      <c r="GR157" s="438">
        <v>0</v>
      </c>
      <c r="GS157" s="438">
        <v>0</v>
      </c>
      <c r="GT157" s="438">
        <v>0</v>
      </c>
      <c r="HB157" s="438">
        <v>0</v>
      </c>
      <c r="HC157" s="437">
        <v>6.0754000000000002E-2</v>
      </c>
      <c r="HD157" s="438">
        <v>0</v>
      </c>
    </row>
    <row r="158" spans="1:212" x14ac:dyDescent="0.2">
      <c r="A158" s="438">
        <v>25836</v>
      </c>
      <c r="B158" s="442">
        <v>165802</v>
      </c>
      <c r="C158" s="438">
        <v>9</v>
      </c>
      <c r="D158" s="438">
        <v>2020</v>
      </c>
      <c r="E158" s="438">
        <v>5392</v>
      </c>
      <c r="F158" s="438">
        <v>0</v>
      </c>
      <c r="G158" s="438">
        <v>390.64299999999997</v>
      </c>
      <c r="H158" s="438">
        <v>387.93599999999998</v>
      </c>
      <c r="I158" s="438">
        <v>387.93599999999998</v>
      </c>
      <c r="J158" s="438">
        <v>390.64299999999997</v>
      </c>
      <c r="K158" s="438">
        <v>0</v>
      </c>
      <c r="L158" s="437">
        <v>6544</v>
      </c>
      <c r="M158" s="438">
        <v>0</v>
      </c>
      <c r="N158" s="438">
        <v>0</v>
      </c>
      <c r="P158" s="438">
        <v>390.34699999999998</v>
      </c>
      <c r="Q158" s="438">
        <v>0</v>
      </c>
      <c r="R158" s="438">
        <v>96645</v>
      </c>
      <c r="S158" s="437">
        <v>247.58699999999999</v>
      </c>
      <c r="U158" s="438">
        <v>0</v>
      </c>
      <c r="V158" s="438">
        <v>13.523</v>
      </c>
      <c r="W158" s="438">
        <v>8849</v>
      </c>
      <c r="X158" s="438">
        <v>8849</v>
      </c>
      <c r="Z158" s="438">
        <v>0</v>
      </c>
      <c r="AA158" s="438">
        <v>1</v>
      </c>
      <c r="AB158" s="438">
        <v>1</v>
      </c>
      <c r="AC158" s="438">
        <v>0</v>
      </c>
      <c r="AD158" s="438" t="s">
        <v>332</v>
      </c>
      <c r="AE158" s="438">
        <v>0</v>
      </c>
      <c r="AH158" s="438">
        <v>0</v>
      </c>
      <c r="AI158" s="438">
        <v>0</v>
      </c>
      <c r="AJ158" s="437">
        <v>5105</v>
      </c>
      <c r="AK158" s="438" t="s">
        <v>561</v>
      </c>
      <c r="AL158" s="438" t="s">
        <v>95</v>
      </c>
      <c r="AM158" s="438">
        <v>0</v>
      </c>
      <c r="AN158" s="438">
        <v>0</v>
      </c>
      <c r="AO158" s="438">
        <v>0</v>
      </c>
      <c r="AP158" s="438">
        <v>0</v>
      </c>
      <c r="AQ158" s="438">
        <v>0</v>
      </c>
      <c r="AR158" s="438">
        <v>0</v>
      </c>
      <c r="AS158" s="438">
        <v>0</v>
      </c>
      <c r="AT158" s="438">
        <v>0</v>
      </c>
      <c r="AU158" s="438">
        <v>0</v>
      </c>
      <c r="AV158" s="438">
        <v>0</v>
      </c>
      <c r="AW158" s="438">
        <v>3367559</v>
      </c>
      <c r="AX158" s="438">
        <v>3362059</v>
      </c>
      <c r="AY158" s="438">
        <v>0</v>
      </c>
      <c r="AZ158" s="438">
        <v>96645</v>
      </c>
      <c r="BA158" s="438">
        <v>11</v>
      </c>
      <c r="BB158" s="438">
        <v>15338</v>
      </c>
      <c r="BC158" s="438">
        <v>15338</v>
      </c>
      <c r="BD158" s="438">
        <v>19.532</v>
      </c>
      <c r="BE158" s="438">
        <v>0</v>
      </c>
      <c r="BF158" s="438">
        <v>2872771</v>
      </c>
      <c r="BG158" s="438">
        <v>0</v>
      </c>
      <c r="BH158" s="438">
        <v>0</v>
      </c>
      <c r="BI158" s="438">
        <v>0</v>
      </c>
      <c r="BJ158" s="438">
        <v>12</v>
      </c>
      <c r="BK158" s="438">
        <v>0</v>
      </c>
      <c r="BL158" s="438">
        <v>0</v>
      </c>
      <c r="BM158" s="438">
        <v>0</v>
      </c>
      <c r="BN158" s="438">
        <v>0</v>
      </c>
      <c r="BO158" s="438">
        <v>0</v>
      </c>
      <c r="BP158" s="438">
        <v>0</v>
      </c>
      <c r="BQ158" s="437">
        <v>5392</v>
      </c>
      <c r="BR158" s="438">
        <v>1</v>
      </c>
      <c r="BS158" s="438">
        <v>0</v>
      </c>
      <c r="BT158" s="438">
        <v>0</v>
      </c>
      <c r="BU158" s="438">
        <v>0</v>
      </c>
      <c r="BV158" s="438">
        <v>0</v>
      </c>
      <c r="BW158" s="438">
        <v>0</v>
      </c>
      <c r="BX158" s="438">
        <v>0</v>
      </c>
      <c r="BY158" s="438">
        <v>0</v>
      </c>
      <c r="BZ158" s="438">
        <v>0</v>
      </c>
      <c r="CA158" s="438">
        <v>0</v>
      </c>
      <c r="CB158" s="438">
        <v>0</v>
      </c>
      <c r="CC158" s="438">
        <v>0</v>
      </c>
      <c r="CG158" s="438">
        <v>0</v>
      </c>
      <c r="CH158" s="438">
        <v>5500</v>
      </c>
      <c r="CI158" s="438">
        <v>0</v>
      </c>
      <c r="CJ158" s="438">
        <v>4</v>
      </c>
      <c r="CK158" s="438">
        <v>0</v>
      </c>
      <c r="CL158" s="438">
        <v>0</v>
      </c>
      <c r="CN158" s="438">
        <v>0</v>
      </c>
      <c r="CO158" s="438">
        <v>1</v>
      </c>
      <c r="CP158" s="438">
        <v>0</v>
      </c>
      <c r="CQ158" s="438">
        <v>0</v>
      </c>
      <c r="CR158" s="438">
        <v>390.64299999999997</v>
      </c>
      <c r="CS158" s="438">
        <v>0</v>
      </c>
      <c r="CT158" s="438">
        <v>0</v>
      </c>
      <c r="CU158" s="438">
        <v>0</v>
      </c>
      <c r="CV158" s="438">
        <v>0</v>
      </c>
      <c r="CW158" s="438">
        <v>0</v>
      </c>
      <c r="CX158" s="438">
        <v>0</v>
      </c>
      <c r="CY158" s="438">
        <v>0</v>
      </c>
      <c r="CZ158" s="438">
        <v>0</v>
      </c>
      <c r="DA158" s="438">
        <v>1</v>
      </c>
      <c r="DB158" s="438">
        <v>2538653</v>
      </c>
      <c r="DC158" s="438">
        <v>0</v>
      </c>
      <c r="DD158" s="438">
        <v>11</v>
      </c>
      <c r="DE158" s="438">
        <v>296011</v>
      </c>
      <c r="DF158" s="438">
        <v>296011</v>
      </c>
      <c r="DG158" s="438">
        <v>226.17</v>
      </c>
      <c r="DH158" s="438">
        <v>0</v>
      </c>
      <c r="DI158" s="438">
        <v>0</v>
      </c>
      <c r="DK158" s="437">
        <v>5392</v>
      </c>
      <c r="DL158" s="438">
        <v>0</v>
      </c>
      <c r="DM158" s="438">
        <v>92577</v>
      </c>
      <c r="DN158" s="438">
        <v>0</v>
      </c>
      <c r="DO158" s="438">
        <v>0</v>
      </c>
      <c r="DP158" s="438">
        <v>0</v>
      </c>
      <c r="DQ158" s="438">
        <v>0</v>
      </c>
      <c r="DR158" s="438">
        <v>0</v>
      </c>
      <c r="DS158" s="438">
        <v>0</v>
      </c>
      <c r="DT158" s="438">
        <v>0</v>
      </c>
      <c r="DU158" s="438">
        <v>0</v>
      </c>
      <c r="DV158" s="438">
        <v>0</v>
      </c>
      <c r="DW158" s="438">
        <v>0</v>
      </c>
      <c r="DX158" s="438">
        <v>0</v>
      </c>
      <c r="DY158" s="438">
        <v>0</v>
      </c>
      <c r="DZ158" s="438">
        <v>0</v>
      </c>
      <c r="EA158" s="438">
        <v>0</v>
      </c>
      <c r="EB158" s="438">
        <v>0</v>
      </c>
      <c r="EC158" s="438">
        <v>4.7779999999999996</v>
      </c>
      <c r="ED158" s="438">
        <v>34394</v>
      </c>
      <c r="EE158" s="438">
        <v>0</v>
      </c>
      <c r="EF158" s="438">
        <v>0</v>
      </c>
      <c r="EG158" s="438">
        <v>0</v>
      </c>
      <c r="EH158" s="438">
        <v>58183</v>
      </c>
      <c r="EI158" s="438">
        <v>0</v>
      </c>
      <c r="EJ158" s="438">
        <v>0</v>
      </c>
      <c r="EK158" s="438">
        <v>2.3220000000000001</v>
      </c>
      <c r="EL158" s="438">
        <v>0</v>
      </c>
      <c r="EM158" s="438">
        <v>0</v>
      </c>
      <c r="EN158" s="438">
        <v>0.38500000000000001</v>
      </c>
      <c r="EO158" s="438">
        <v>0</v>
      </c>
      <c r="EP158" s="438">
        <v>0</v>
      </c>
      <c r="EQ158" s="438">
        <v>2.7069999999999999</v>
      </c>
      <c r="ER158" s="438">
        <v>0</v>
      </c>
      <c r="ES158" s="438">
        <v>8.891</v>
      </c>
      <c r="ET158" s="438">
        <v>5500</v>
      </c>
      <c r="EU158" s="438">
        <v>96645</v>
      </c>
      <c r="EV158" s="438">
        <v>0</v>
      </c>
      <c r="EW158" s="438">
        <v>0</v>
      </c>
      <c r="EX158" s="438">
        <v>0</v>
      </c>
      <c r="EZ158" s="438">
        <v>2854783</v>
      </c>
      <c r="FA158" s="438">
        <v>0</v>
      </c>
      <c r="FB158" s="438">
        <v>2951428</v>
      </c>
      <c r="FC158" s="438">
        <v>0.97334900000000002</v>
      </c>
      <c r="FD158" s="438">
        <v>0</v>
      </c>
      <c r="FE158" s="438">
        <v>413117</v>
      </c>
      <c r="FF158" s="438">
        <v>94159</v>
      </c>
      <c r="FG158" s="437">
        <v>5.7854999999999997E-2</v>
      </c>
      <c r="FH158" s="437">
        <v>5.2366000000000003E-2</v>
      </c>
      <c r="FI158" s="438">
        <v>0</v>
      </c>
      <c r="FJ158" s="438">
        <v>0</v>
      </c>
      <c r="FK158" s="438">
        <v>562.78099999999995</v>
      </c>
      <c r="FL158" s="438">
        <v>3464204</v>
      </c>
      <c r="FM158" s="438">
        <v>0</v>
      </c>
      <c r="FN158" s="438">
        <v>0</v>
      </c>
      <c r="FO158" s="438">
        <v>0</v>
      </c>
      <c r="FP158" s="438">
        <v>0</v>
      </c>
      <c r="FQ158" s="438">
        <v>0</v>
      </c>
      <c r="FR158" s="438">
        <v>0</v>
      </c>
      <c r="FS158" s="438">
        <v>0</v>
      </c>
      <c r="FT158" s="438">
        <v>0</v>
      </c>
      <c r="FU158" s="438">
        <v>0</v>
      </c>
      <c r="FV158" s="438">
        <v>0</v>
      </c>
      <c r="FW158" s="438">
        <v>0</v>
      </c>
      <c r="FX158" s="438">
        <v>0</v>
      </c>
      <c r="FY158" s="438">
        <v>0</v>
      </c>
      <c r="FZ158" s="438">
        <v>0</v>
      </c>
      <c r="GA158" s="438">
        <v>0</v>
      </c>
      <c r="GB158" s="438">
        <v>0</v>
      </c>
      <c r="GC158" s="438">
        <v>0</v>
      </c>
      <c r="GD158" s="438">
        <v>0</v>
      </c>
      <c r="GF158" s="438">
        <v>0</v>
      </c>
      <c r="GG158" s="438">
        <v>0</v>
      </c>
      <c r="GH158" s="438">
        <v>0</v>
      </c>
      <c r="GI158" s="438">
        <v>0</v>
      </c>
      <c r="GJ158" s="438">
        <v>0</v>
      </c>
      <c r="GK158" s="438">
        <v>4730.6139999999996</v>
      </c>
      <c r="GL158" s="438">
        <v>14111</v>
      </c>
      <c r="GM158" s="438">
        <v>0</v>
      </c>
      <c r="GN158" s="438">
        <v>0</v>
      </c>
      <c r="GO158" s="438">
        <v>0</v>
      </c>
      <c r="GP158" s="438">
        <v>3458704</v>
      </c>
      <c r="GQ158" s="438">
        <v>3458704</v>
      </c>
      <c r="GR158" s="438">
        <v>0</v>
      </c>
      <c r="GS158" s="438">
        <v>0</v>
      </c>
      <c r="GT158" s="438">
        <v>0</v>
      </c>
      <c r="HB158" s="438">
        <v>0</v>
      </c>
      <c r="HC158" s="437">
        <v>6.0754000000000002E-2</v>
      </c>
      <c r="HD158" s="438">
        <v>0</v>
      </c>
    </row>
    <row r="159" spans="1:212" x14ac:dyDescent="0.2">
      <c r="A159" s="438">
        <v>25836</v>
      </c>
      <c r="B159" s="442">
        <v>170801</v>
      </c>
      <c r="C159" s="438">
        <v>9</v>
      </c>
      <c r="D159" s="438">
        <v>2020</v>
      </c>
      <c r="E159" s="438">
        <v>5392</v>
      </c>
      <c r="F159" s="438">
        <v>0</v>
      </c>
      <c r="G159" s="438">
        <v>374.4</v>
      </c>
      <c r="H159" s="438">
        <v>367.38099999999997</v>
      </c>
      <c r="I159" s="438">
        <v>367.38099999999997</v>
      </c>
      <c r="J159" s="438">
        <v>374.4</v>
      </c>
      <c r="K159" s="438">
        <v>0</v>
      </c>
      <c r="L159" s="437">
        <v>6544</v>
      </c>
      <c r="M159" s="438">
        <v>0</v>
      </c>
      <c r="N159" s="438">
        <v>0</v>
      </c>
      <c r="P159" s="438">
        <v>374.01299999999998</v>
      </c>
      <c r="Q159" s="438">
        <v>0</v>
      </c>
      <c r="R159" s="438">
        <v>92601</v>
      </c>
      <c r="S159" s="437">
        <v>247.58699999999999</v>
      </c>
      <c r="U159" s="438">
        <v>0</v>
      </c>
      <c r="V159" s="438">
        <v>76.86</v>
      </c>
      <c r="W159" s="438">
        <v>50297</v>
      </c>
      <c r="X159" s="438">
        <v>50297</v>
      </c>
      <c r="Z159" s="438">
        <v>0</v>
      </c>
      <c r="AA159" s="438">
        <v>1</v>
      </c>
      <c r="AB159" s="438">
        <v>1</v>
      </c>
      <c r="AC159" s="438">
        <v>0</v>
      </c>
      <c r="AD159" s="438" t="s">
        <v>332</v>
      </c>
      <c r="AE159" s="438">
        <v>0</v>
      </c>
      <c r="AH159" s="438">
        <v>0</v>
      </c>
      <c r="AI159" s="438">
        <v>0</v>
      </c>
      <c r="AJ159" s="437">
        <v>5105</v>
      </c>
      <c r="AK159" s="438" t="s">
        <v>561</v>
      </c>
      <c r="AL159" s="438" t="s">
        <v>75</v>
      </c>
      <c r="AM159" s="438">
        <v>0</v>
      </c>
      <c r="AN159" s="438">
        <v>0</v>
      </c>
      <c r="AO159" s="438">
        <v>0</v>
      </c>
      <c r="AP159" s="438">
        <v>0</v>
      </c>
      <c r="AQ159" s="438">
        <v>0</v>
      </c>
      <c r="AR159" s="438">
        <v>0</v>
      </c>
      <c r="AS159" s="438">
        <v>0</v>
      </c>
      <c r="AT159" s="438">
        <v>0</v>
      </c>
      <c r="AU159" s="438">
        <v>0</v>
      </c>
      <c r="AV159" s="438">
        <v>0</v>
      </c>
      <c r="AW159" s="438">
        <v>3971787</v>
      </c>
      <c r="AX159" s="438">
        <v>3959328</v>
      </c>
      <c r="AY159" s="438">
        <v>0</v>
      </c>
      <c r="AZ159" s="438">
        <v>92601</v>
      </c>
      <c r="BA159" s="438">
        <v>24.917000000000002</v>
      </c>
      <c r="BB159" s="438">
        <v>0</v>
      </c>
      <c r="BC159" s="438">
        <v>0</v>
      </c>
      <c r="BD159" s="438">
        <v>0</v>
      </c>
      <c r="BE159" s="438">
        <v>0</v>
      </c>
      <c r="BF159" s="438">
        <v>3212039</v>
      </c>
      <c r="BG159" s="438">
        <v>0</v>
      </c>
      <c r="BH159" s="438">
        <v>0</v>
      </c>
      <c r="BI159" s="438">
        <v>0</v>
      </c>
      <c r="BJ159" s="438">
        <v>12</v>
      </c>
      <c r="BK159" s="438">
        <v>0</v>
      </c>
      <c r="BL159" s="438">
        <v>0</v>
      </c>
      <c r="BM159" s="438">
        <v>0</v>
      </c>
      <c r="BN159" s="438">
        <v>0</v>
      </c>
      <c r="BO159" s="438">
        <v>0</v>
      </c>
      <c r="BP159" s="438">
        <v>0</v>
      </c>
      <c r="BQ159" s="437">
        <v>5392</v>
      </c>
      <c r="BR159" s="438">
        <v>1</v>
      </c>
      <c r="BS159" s="438">
        <v>0</v>
      </c>
      <c r="BT159" s="438">
        <v>0</v>
      </c>
      <c r="BU159" s="438">
        <v>0</v>
      </c>
      <c r="BV159" s="438">
        <v>0</v>
      </c>
      <c r="BW159" s="438">
        <v>0</v>
      </c>
      <c r="BX159" s="438">
        <v>0</v>
      </c>
      <c r="BY159" s="438">
        <v>0</v>
      </c>
      <c r="BZ159" s="438">
        <v>0</v>
      </c>
      <c r="CA159" s="438">
        <v>0</v>
      </c>
      <c r="CB159" s="438">
        <v>0</v>
      </c>
      <c r="CC159" s="438">
        <v>0</v>
      </c>
      <c r="CG159" s="438">
        <v>0</v>
      </c>
      <c r="CH159" s="438">
        <v>12459</v>
      </c>
      <c r="CI159" s="438">
        <v>0</v>
      </c>
      <c r="CJ159" s="438">
        <v>4</v>
      </c>
      <c r="CK159" s="438">
        <v>0</v>
      </c>
      <c r="CL159" s="438">
        <v>0</v>
      </c>
      <c r="CN159" s="438">
        <v>0</v>
      </c>
      <c r="CO159" s="438">
        <v>1</v>
      </c>
      <c r="CP159" s="438">
        <v>0</v>
      </c>
      <c r="CQ159" s="438">
        <v>0</v>
      </c>
      <c r="CR159" s="438">
        <v>374.4</v>
      </c>
      <c r="CS159" s="438">
        <v>0</v>
      </c>
      <c r="CT159" s="438">
        <v>0</v>
      </c>
      <c r="CU159" s="438">
        <v>0</v>
      </c>
      <c r="CV159" s="438">
        <v>0</v>
      </c>
      <c r="CW159" s="438">
        <v>0</v>
      </c>
      <c r="CX159" s="438">
        <v>0</v>
      </c>
      <c r="CY159" s="438">
        <v>0</v>
      </c>
      <c r="CZ159" s="438">
        <v>0</v>
      </c>
      <c r="DA159" s="438">
        <v>1</v>
      </c>
      <c r="DB159" s="438">
        <v>2404141</v>
      </c>
      <c r="DC159" s="438">
        <v>0</v>
      </c>
      <c r="DD159" s="438">
        <v>24.917000000000002</v>
      </c>
      <c r="DE159" s="438">
        <v>648510</v>
      </c>
      <c r="DF159" s="438">
        <v>648510</v>
      </c>
      <c r="DG159" s="438">
        <v>495.5</v>
      </c>
      <c r="DH159" s="438">
        <v>0</v>
      </c>
      <c r="DI159" s="438">
        <v>0</v>
      </c>
      <c r="DK159" s="437">
        <v>5392</v>
      </c>
      <c r="DL159" s="438">
        <v>0</v>
      </c>
      <c r="DM159" s="438">
        <v>197038</v>
      </c>
      <c r="DN159" s="438">
        <v>0</v>
      </c>
      <c r="DO159" s="438">
        <v>0</v>
      </c>
      <c r="DP159" s="438">
        <v>0</v>
      </c>
      <c r="DQ159" s="438">
        <v>0</v>
      </c>
      <c r="DR159" s="438">
        <v>0</v>
      </c>
      <c r="DS159" s="438">
        <v>0</v>
      </c>
      <c r="DT159" s="438">
        <v>0</v>
      </c>
      <c r="DU159" s="438">
        <v>0</v>
      </c>
      <c r="DV159" s="438">
        <v>0</v>
      </c>
      <c r="DW159" s="438">
        <v>0</v>
      </c>
      <c r="DX159" s="438">
        <v>0</v>
      </c>
      <c r="DY159" s="438">
        <v>0</v>
      </c>
      <c r="DZ159" s="438">
        <v>0</v>
      </c>
      <c r="EA159" s="438">
        <v>0</v>
      </c>
      <c r="EB159" s="438">
        <v>0</v>
      </c>
      <c r="EC159" s="438">
        <v>7.0570000000000004</v>
      </c>
      <c r="ED159" s="438">
        <v>50799</v>
      </c>
      <c r="EE159" s="438">
        <v>0</v>
      </c>
      <c r="EF159" s="438">
        <v>0</v>
      </c>
      <c r="EG159" s="438">
        <v>0</v>
      </c>
      <c r="EH159" s="438">
        <v>146239</v>
      </c>
      <c r="EI159" s="438">
        <v>0</v>
      </c>
      <c r="EJ159" s="438">
        <v>0</v>
      </c>
      <c r="EK159" s="438">
        <v>6.3739999999999997</v>
      </c>
      <c r="EL159" s="438">
        <v>0</v>
      </c>
      <c r="EM159" s="438">
        <v>0</v>
      </c>
      <c r="EN159" s="438">
        <v>0.64500000000000002</v>
      </c>
      <c r="EO159" s="438">
        <v>0</v>
      </c>
      <c r="EP159" s="438">
        <v>0</v>
      </c>
      <c r="EQ159" s="438">
        <v>7.0190000000000001</v>
      </c>
      <c r="ER159" s="438">
        <v>0</v>
      </c>
      <c r="ES159" s="438">
        <v>22.347000000000001</v>
      </c>
      <c r="ET159" s="438">
        <v>12459</v>
      </c>
      <c r="EU159" s="438">
        <v>92601</v>
      </c>
      <c r="EV159" s="438">
        <v>0</v>
      </c>
      <c r="EW159" s="438">
        <v>0</v>
      </c>
      <c r="EX159" s="438">
        <v>0</v>
      </c>
      <c r="EZ159" s="438">
        <v>3392144</v>
      </c>
      <c r="FA159" s="438">
        <v>0</v>
      </c>
      <c r="FB159" s="438">
        <v>3484745</v>
      </c>
      <c r="FC159" s="438">
        <v>0.97334900000000002</v>
      </c>
      <c r="FD159" s="438">
        <v>0</v>
      </c>
      <c r="FE159" s="438">
        <v>461906</v>
      </c>
      <c r="FF159" s="438">
        <v>105278</v>
      </c>
      <c r="FG159" s="437">
        <v>5.7854999999999997E-2</v>
      </c>
      <c r="FH159" s="437">
        <v>5.2366000000000003E-2</v>
      </c>
      <c r="FI159" s="438">
        <v>0</v>
      </c>
      <c r="FJ159" s="438">
        <v>0</v>
      </c>
      <c r="FK159" s="438">
        <v>629.24400000000003</v>
      </c>
      <c r="FL159" s="438">
        <v>4064388</v>
      </c>
      <c r="FM159" s="438">
        <v>0</v>
      </c>
      <c r="FN159" s="438">
        <v>0</v>
      </c>
      <c r="FO159" s="438">
        <v>184759</v>
      </c>
      <c r="FP159" s="438">
        <v>0</v>
      </c>
      <c r="FQ159" s="438">
        <v>184759</v>
      </c>
      <c r="FR159" s="438">
        <v>184759</v>
      </c>
      <c r="FS159" s="438">
        <v>0</v>
      </c>
      <c r="FT159" s="438">
        <v>0</v>
      </c>
      <c r="FU159" s="438">
        <v>0</v>
      </c>
      <c r="FV159" s="438">
        <v>0</v>
      </c>
      <c r="FW159" s="438">
        <v>0</v>
      </c>
      <c r="FX159" s="438">
        <v>0</v>
      </c>
      <c r="FY159" s="438">
        <v>0</v>
      </c>
      <c r="FZ159" s="438">
        <v>0</v>
      </c>
      <c r="GA159" s="438">
        <v>0</v>
      </c>
      <c r="GB159" s="438">
        <v>0</v>
      </c>
      <c r="GC159" s="438">
        <v>0</v>
      </c>
      <c r="GD159" s="438">
        <v>0</v>
      </c>
      <c r="GF159" s="438">
        <v>0</v>
      </c>
      <c r="GG159" s="438">
        <v>0</v>
      </c>
      <c r="GH159" s="438">
        <v>0</v>
      </c>
      <c r="GI159" s="438">
        <v>0</v>
      </c>
      <c r="GJ159" s="438">
        <v>0</v>
      </c>
      <c r="GK159" s="438">
        <v>4738.951</v>
      </c>
      <c r="GL159" s="438">
        <v>10445</v>
      </c>
      <c r="GM159" s="438">
        <v>0</v>
      </c>
      <c r="GN159" s="438">
        <v>43177</v>
      </c>
      <c r="GO159" s="438">
        <v>0</v>
      </c>
      <c r="GP159" s="438">
        <v>4051929</v>
      </c>
      <c r="GQ159" s="438">
        <v>4051929</v>
      </c>
      <c r="GR159" s="438">
        <v>0</v>
      </c>
      <c r="GS159" s="438">
        <v>0</v>
      </c>
      <c r="GT159" s="438">
        <v>0</v>
      </c>
      <c r="HB159" s="438">
        <v>0</v>
      </c>
      <c r="HC159" s="437">
        <v>6.0754000000000002E-2</v>
      </c>
      <c r="HD159" s="438">
        <v>0</v>
      </c>
    </row>
    <row r="160" spans="1:212" x14ac:dyDescent="0.2">
      <c r="A160" s="438">
        <v>25836</v>
      </c>
      <c r="B160" s="442">
        <v>174801</v>
      </c>
      <c r="C160" s="438">
        <v>9</v>
      </c>
      <c r="D160" s="438">
        <v>2020</v>
      </c>
      <c r="E160" s="438">
        <v>5392</v>
      </c>
      <c r="F160" s="438">
        <v>0</v>
      </c>
      <c r="G160" s="438">
        <v>249.5</v>
      </c>
      <c r="H160" s="438">
        <v>245.77099999999999</v>
      </c>
      <c r="I160" s="438">
        <v>245.77099999999999</v>
      </c>
      <c r="J160" s="438">
        <v>249.5</v>
      </c>
      <c r="K160" s="438">
        <v>0</v>
      </c>
      <c r="L160" s="437">
        <v>6544</v>
      </c>
      <c r="M160" s="438">
        <v>0</v>
      </c>
      <c r="N160" s="438">
        <v>0</v>
      </c>
      <c r="P160" s="438">
        <v>249.80500000000001</v>
      </c>
      <c r="Q160" s="438">
        <v>0</v>
      </c>
      <c r="R160" s="438">
        <v>61848</v>
      </c>
      <c r="S160" s="437">
        <v>247.58699999999999</v>
      </c>
      <c r="U160" s="438">
        <v>0</v>
      </c>
      <c r="V160" s="438">
        <v>8.8699999999999992</v>
      </c>
      <c r="W160" s="438">
        <v>5805</v>
      </c>
      <c r="X160" s="438">
        <v>5805</v>
      </c>
      <c r="Z160" s="438">
        <v>0</v>
      </c>
      <c r="AA160" s="438">
        <v>1</v>
      </c>
      <c r="AB160" s="438">
        <v>1</v>
      </c>
      <c r="AC160" s="438">
        <v>0</v>
      </c>
      <c r="AD160" s="438" t="s">
        <v>332</v>
      </c>
      <c r="AE160" s="438">
        <v>0</v>
      </c>
      <c r="AH160" s="438">
        <v>0</v>
      </c>
      <c r="AI160" s="438">
        <v>0</v>
      </c>
      <c r="AJ160" s="437">
        <v>5105</v>
      </c>
      <c r="AK160" s="438" t="s">
        <v>561</v>
      </c>
      <c r="AL160" s="438" t="s">
        <v>378</v>
      </c>
      <c r="AM160" s="438">
        <v>0</v>
      </c>
      <c r="AN160" s="438">
        <v>0</v>
      </c>
      <c r="AO160" s="438">
        <v>0</v>
      </c>
      <c r="AP160" s="438">
        <v>0</v>
      </c>
      <c r="AQ160" s="438">
        <v>0</v>
      </c>
      <c r="AR160" s="438">
        <v>0</v>
      </c>
      <c r="AS160" s="438">
        <v>0</v>
      </c>
      <c r="AT160" s="438">
        <v>0</v>
      </c>
      <c r="AU160" s="438">
        <v>0</v>
      </c>
      <c r="AV160" s="438">
        <v>0</v>
      </c>
      <c r="AW160" s="438">
        <v>1985672</v>
      </c>
      <c r="AX160" s="438">
        <v>1985672</v>
      </c>
      <c r="AY160" s="438">
        <v>0</v>
      </c>
      <c r="AZ160" s="438">
        <v>61848</v>
      </c>
      <c r="BA160" s="438">
        <v>0</v>
      </c>
      <c r="BB160" s="438">
        <v>0</v>
      </c>
      <c r="BC160" s="438">
        <v>0</v>
      </c>
      <c r="BD160" s="438">
        <v>0</v>
      </c>
      <c r="BE160" s="438">
        <v>0</v>
      </c>
      <c r="BF160" s="438">
        <v>1700653</v>
      </c>
      <c r="BG160" s="438">
        <v>0</v>
      </c>
      <c r="BH160" s="438">
        <v>0</v>
      </c>
      <c r="BI160" s="438">
        <v>0</v>
      </c>
      <c r="BJ160" s="438">
        <v>12</v>
      </c>
      <c r="BK160" s="438">
        <v>0</v>
      </c>
      <c r="BL160" s="438">
        <v>0</v>
      </c>
      <c r="BM160" s="438">
        <v>0</v>
      </c>
      <c r="BN160" s="438">
        <v>0</v>
      </c>
      <c r="BO160" s="438">
        <v>0</v>
      </c>
      <c r="BP160" s="438">
        <v>0</v>
      </c>
      <c r="BQ160" s="437">
        <v>5392</v>
      </c>
      <c r="BR160" s="438">
        <v>1</v>
      </c>
      <c r="BS160" s="438">
        <v>0</v>
      </c>
      <c r="BT160" s="438">
        <v>0</v>
      </c>
      <c r="BU160" s="438">
        <v>0</v>
      </c>
      <c r="BV160" s="438">
        <v>0</v>
      </c>
      <c r="BW160" s="438">
        <v>0</v>
      </c>
      <c r="BX160" s="438">
        <v>0</v>
      </c>
      <c r="BY160" s="438">
        <v>0</v>
      </c>
      <c r="BZ160" s="438">
        <v>0</v>
      </c>
      <c r="CA160" s="438">
        <v>0</v>
      </c>
      <c r="CB160" s="438">
        <v>0</v>
      </c>
      <c r="CC160" s="438">
        <v>0</v>
      </c>
      <c r="CG160" s="438">
        <v>0</v>
      </c>
      <c r="CH160" s="438">
        <v>0</v>
      </c>
      <c r="CI160" s="438">
        <v>0</v>
      </c>
      <c r="CJ160" s="438">
        <v>4</v>
      </c>
      <c r="CK160" s="438">
        <v>0</v>
      </c>
      <c r="CL160" s="438">
        <v>0</v>
      </c>
      <c r="CN160" s="438">
        <v>0</v>
      </c>
      <c r="CO160" s="438">
        <v>1</v>
      </c>
      <c r="CP160" s="438">
        <v>0</v>
      </c>
      <c r="CQ160" s="438">
        <v>0</v>
      </c>
      <c r="CR160" s="438">
        <v>249.5</v>
      </c>
      <c r="CS160" s="438">
        <v>0</v>
      </c>
      <c r="CT160" s="438">
        <v>0</v>
      </c>
      <c r="CU160" s="438">
        <v>0</v>
      </c>
      <c r="CV160" s="438">
        <v>0</v>
      </c>
      <c r="CW160" s="438">
        <v>0</v>
      </c>
      <c r="CX160" s="438">
        <v>0</v>
      </c>
      <c r="CY160" s="438">
        <v>0</v>
      </c>
      <c r="CZ160" s="438">
        <v>0</v>
      </c>
      <c r="DA160" s="438">
        <v>1</v>
      </c>
      <c r="DB160" s="438">
        <v>1608325</v>
      </c>
      <c r="DC160" s="438">
        <v>0</v>
      </c>
      <c r="DD160" s="438">
        <v>0</v>
      </c>
      <c r="DE160" s="438">
        <v>28794</v>
      </c>
      <c r="DF160" s="438">
        <v>28794</v>
      </c>
      <c r="DG160" s="438">
        <v>22</v>
      </c>
      <c r="DH160" s="438">
        <v>0</v>
      </c>
      <c r="DI160" s="438">
        <v>0</v>
      </c>
      <c r="DK160" s="437">
        <v>5392</v>
      </c>
      <c r="DL160" s="438">
        <v>0</v>
      </c>
      <c r="DM160" s="438">
        <v>104293</v>
      </c>
      <c r="DN160" s="438">
        <v>0</v>
      </c>
      <c r="DO160" s="438">
        <v>0</v>
      </c>
      <c r="DP160" s="438">
        <v>0</v>
      </c>
      <c r="DQ160" s="438">
        <v>0</v>
      </c>
      <c r="DR160" s="438">
        <v>0</v>
      </c>
      <c r="DS160" s="438">
        <v>0</v>
      </c>
      <c r="DT160" s="438">
        <v>0</v>
      </c>
      <c r="DU160" s="438">
        <v>0</v>
      </c>
      <c r="DV160" s="438">
        <v>0</v>
      </c>
      <c r="DW160" s="438">
        <v>0</v>
      </c>
      <c r="DX160" s="438">
        <v>0</v>
      </c>
      <c r="DY160" s="438">
        <v>0</v>
      </c>
      <c r="DZ160" s="438">
        <v>0</v>
      </c>
      <c r="EA160" s="438">
        <v>0</v>
      </c>
      <c r="EB160" s="438">
        <v>0</v>
      </c>
      <c r="EC160" s="438">
        <v>3.2330000000000001</v>
      </c>
      <c r="ED160" s="438">
        <v>23272</v>
      </c>
      <c r="EE160" s="438">
        <v>0</v>
      </c>
      <c r="EF160" s="438">
        <v>0</v>
      </c>
      <c r="EG160" s="438">
        <v>0</v>
      </c>
      <c r="EH160" s="438">
        <v>81021</v>
      </c>
      <c r="EI160" s="438">
        <v>0</v>
      </c>
      <c r="EJ160" s="438">
        <v>0</v>
      </c>
      <c r="EK160" s="438">
        <v>3.1320000000000001</v>
      </c>
      <c r="EL160" s="438">
        <v>0</v>
      </c>
      <c r="EM160" s="438">
        <v>0</v>
      </c>
      <c r="EN160" s="438">
        <v>0.59699999999999998</v>
      </c>
      <c r="EO160" s="438">
        <v>0</v>
      </c>
      <c r="EP160" s="438">
        <v>0</v>
      </c>
      <c r="EQ160" s="438">
        <v>3.7290000000000001</v>
      </c>
      <c r="ER160" s="438">
        <v>0</v>
      </c>
      <c r="ES160" s="438">
        <v>12.381</v>
      </c>
      <c r="ET160" s="438">
        <v>0</v>
      </c>
      <c r="EU160" s="438">
        <v>61848</v>
      </c>
      <c r="EV160" s="438">
        <v>0</v>
      </c>
      <c r="EW160" s="438">
        <v>0</v>
      </c>
      <c r="EX160" s="438">
        <v>0</v>
      </c>
      <c r="EZ160" s="438">
        <v>1685369</v>
      </c>
      <c r="FA160" s="438">
        <v>0</v>
      </c>
      <c r="FB160" s="438">
        <v>1747217</v>
      </c>
      <c r="FC160" s="438">
        <v>0.97334900000000002</v>
      </c>
      <c r="FD160" s="438">
        <v>0</v>
      </c>
      <c r="FE160" s="438">
        <v>244562</v>
      </c>
      <c r="FF160" s="438">
        <v>55741</v>
      </c>
      <c r="FG160" s="437">
        <v>5.7854999999999997E-2</v>
      </c>
      <c r="FH160" s="437">
        <v>5.2366000000000003E-2</v>
      </c>
      <c r="FI160" s="438">
        <v>0</v>
      </c>
      <c r="FJ160" s="438">
        <v>0</v>
      </c>
      <c r="FK160" s="438">
        <v>333.161</v>
      </c>
      <c r="FL160" s="438">
        <v>2047520</v>
      </c>
      <c r="FM160" s="438">
        <v>0</v>
      </c>
      <c r="FN160" s="438">
        <v>0</v>
      </c>
      <c r="FO160" s="438">
        <v>0</v>
      </c>
      <c r="FP160" s="438">
        <v>0</v>
      </c>
      <c r="FQ160" s="438">
        <v>0</v>
      </c>
      <c r="FR160" s="438">
        <v>0</v>
      </c>
      <c r="FS160" s="438">
        <v>0</v>
      </c>
      <c r="FT160" s="438">
        <v>0</v>
      </c>
      <c r="FU160" s="438">
        <v>0</v>
      </c>
      <c r="FV160" s="438">
        <v>0</v>
      </c>
      <c r="FW160" s="438">
        <v>0</v>
      </c>
      <c r="FX160" s="438">
        <v>0</v>
      </c>
      <c r="FY160" s="438">
        <v>0</v>
      </c>
      <c r="FZ160" s="438">
        <v>0</v>
      </c>
      <c r="GA160" s="438">
        <v>0</v>
      </c>
      <c r="GB160" s="438">
        <v>0</v>
      </c>
      <c r="GC160" s="438">
        <v>0</v>
      </c>
      <c r="GD160" s="438">
        <v>0</v>
      </c>
      <c r="GF160" s="438">
        <v>0</v>
      </c>
      <c r="GG160" s="438">
        <v>0</v>
      </c>
      <c r="GH160" s="438">
        <v>0</v>
      </c>
      <c r="GI160" s="438">
        <v>0</v>
      </c>
      <c r="GJ160" s="438">
        <v>0</v>
      </c>
      <c r="GK160" s="438">
        <v>4604.6369999999997</v>
      </c>
      <c r="GL160" s="438">
        <v>4263</v>
      </c>
      <c r="GM160" s="438">
        <v>0</v>
      </c>
      <c r="GN160" s="438">
        <v>0</v>
      </c>
      <c r="GO160" s="438">
        <v>0</v>
      </c>
      <c r="GP160" s="438">
        <v>2047520</v>
      </c>
      <c r="GQ160" s="438">
        <v>2047520</v>
      </c>
      <c r="GR160" s="438">
        <v>0</v>
      </c>
      <c r="GS160" s="438">
        <v>0</v>
      </c>
      <c r="GT160" s="438">
        <v>0</v>
      </c>
      <c r="HB160" s="438">
        <v>0</v>
      </c>
      <c r="HC160" s="437">
        <v>6.0754000000000002E-2</v>
      </c>
      <c r="HD160" s="438">
        <v>0</v>
      </c>
    </row>
    <row r="161" spans="1:212" x14ac:dyDescent="0.2">
      <c r="A161" s="438">
        <v>25836</v>
      </c>
      <c r="B161" s="442">
        <v>178801</v>
      </c>
      <c r="C161" s="438">
        <v>9</v>
      </c>
      <c r="D161" s="438">
        <v>2020</v>
      </c>
      <c r="E161" s="438">
        <v>5392</v>
      </c>
      <c r="F161" s="438">
        <v>0</v>
      </c>
      <c r="G161" s="438">
        <v>178.447</v>
      </c>
      <c r="H161" s="438">
        <v>175.18899999999999</v>
      </c>
      <c r="I161" s="438">
        <v>175.18899999999999</v>
      </c>
      <c r="J161" s="438">
        <v>178.447</v>
      </c>
      <c r="K161" s="438">
        <v>0</v>
      </c>
      <c r="L161" s="437">
        <v>6544</v>
      </c>
      <c r="M161" s="438">
        <v>0</v>
      </c>
      <c r="N161" s="438">
        <v>0</v>
      </c>
      <c r="P161" s="438">
        <v>178.245</v>
      </c>
      <c r="Q161" s="438">
        <v>0</v>
      </c>
      <c r="R161" s="438">
        <v>44131</v>
      </c>
      <c r="S161" s="437">
        <v>247.58699999999999</v>
      </c>
      <c r="U161" s="438">
        <v>0</v>
      </c>
      <c r="V161" s="438">
        <v>31.757999999999999</v>
      </c>
      <c r="W161" s="438">
        <v>20782</v>
      </c>
      <c r="X161" s="438">
        <v>20782</v>
      </c>
      <c r="Z161" s="438">
        <v>0</v>
      </c>
      <c r="AA161" s="438">
        <v>1</v>
      </c>
      <c r="AB161" s="438">
        <v>1</v>
      </c>
      <c r="AC161" s="438">
        <v>0</v>
      </c>
      <c r="AD161" s="438" t="s">
        <v>332</v>
      </c>
      <c r="AE161" s="438">
        <v>0</v>
      </c>
      <c r="AH161" s="438">
        <v>0</v>
      </c>
      <c r="AI161" s="438">
        <v>0</v>
      </c>
      <c r="AJ161" s="437">
        <v>5105</v>
      </c>
      <c r="AK161" s="438" t="s">
        <v>561</v>
      </c>
      <c r="AL161" s="438" t="s">
        <v>100</v>
      </c>
      <c r="AM161" s="438">
        <v>0</v>
      </c>
      <c r="AN161" s="438">
        <v>0</v>
      </c>
      <c r="AO161" s="438">
        <v>0</v>
      </c>
      <c r="AP161" s="438">
        <v>0</v>
      </c>
      <c r="AQ161" s="438">
        <v>0</v>
      </c>
      <c r="AR161" s="438">
        <v>0</v>
      </c>
      <c r="AS161" s="438">
        <v>0</v>
      </c>
      <c r="AT161" s="438">
        <v>0</v>
      </c>
      <c r="AU161" s="438">
        <v>0</v>
      </c>
      <c r="AV161" s="438">
        <v>0</v>
      </c>
      <c r="AW161" s="438">
        <v>1720243</v>
      </c>
      <c r="AX161" s="438">
        <v>1707830</v>
      </c>
      <c r="AY161" s="438">
        <v>0</v>
      </c>
      <c r="AZ161" s="438">
        <v>50919</v>
      </c>
      <c r="BA161" s="438">
        <v>10.75</v>
      </c>
      <c r="BB161" s="438">
        <v>0</v>
      </c>
      <c r="BC161" s="438">
        <v>0</v>
      </c>
      <c r="BD161" s="438">
        <v>0</v>
      </c>
      <c r="BE161" s="438">
        <v>0</v>
      </c>
      <c r="BF161" s="438">
        <v>1455164</v>
      </c>
      <c r="BG161" s="438">
        <v>0</v>
      </c>
      <c r="BH161" s="438">
        <v>24.684000000000001</v>
      </c>
      <c r="BI161" s="438">
        <v>6788</v>
      </c>
      <c r="BJ161" s="438">
        <v>12</v>
      </c>
      <c r="BK161" s="438">
        <v>0</v>
      </c>
      <c r="BL161" s="438">
        <v>0</v>
      </c>
      <c r="BM161" s="438">
        <v>0</v>
      </c>
      <c r="BN161" s="438">
        <v>0</v>
      </c>
      <c r="BO161" s="438">
        <v>0</v>
      </c>
      <c r="BP161" s="438">
        <v>0</v>
      </c>
      <c r="BQ161" s="437">
        <v>5392</v>
      </c>
      <c r="BR161" s="438">
        <v>1</v>
      </c>
      <c r="BS161" s="438">
        <v>0</v>
      </c>
      <c r="BT161" s="438">
        <v>0</v>
      </c>
      <c r="BU161" s="438">
        <v>0</v>
      </c>
      <c r="BV161" s="438">
        <v>0</v>
      </c>
      <c r="BW161" s="438">
        <v>0</v>
      </c>
      <c r="BX161" s="438">
        <v>0</v>
      </c>
      <c r="BY161" s="438">
        <v>0</v>
      </c>
      <c r="BZ161" s="438">
        <v>0</v>
      </c>
      <c r="CA161" s="438">
        <v>0</v>
      </c>
      <c r="CB161" s="438">
        <v>0</v>
      </c>
      <c r="CC161" s="438">
        <v>0</v>
      </c>
      <c r="CG161" s="438">
        <v>0</v>
      </c>
      <c r="CH161" s="438">
        <v>5625</v>
      </c>
      <c r="CI161" s="438">
        <v>0</v>
      </c>
      <c r="CJ161" s="438">
        <v>4</v>
      </c>
      <c r="CK161" s="438">
        <v>0</v>
      </c>
      <c r="CL161" s="438">
        <v>0</v>
      </c>
      <c r="CN161" s="438">
        <v>0</v>
      </c>
      <c r="CO161" s="438">
        <v>1</v>
      </c>
      <c r="CP161" s="438">
        <v>0</v>
      </c>
      <c r="CQ161" s="438">
        <v>1</v>
      </c>
      <c r="CR161" s="438">
        <v>178.447</v>
      </c>
      <c r="CS161" s="438">
        <v>0</v>
      </c>
      <c r="CT161" s="438">
        <v>0</v>
      </c>
      <c r="CU161" s="438">
        <v>0</v>
      </c>
      <c r="CV161" s="438">
        <v>0</v>
      </c>
      <c r="CW161" s="438">
        <v>0</v>
      </c>
      <c r="CX161" s="438">
        <v>0</v>
      </c>
      <c r="CY161" s="438">
        <v>0</v>
      </c>
      <c r="CZ161" s="438">
        <v>0</v>
      </c>
      <c r="DA161" s="438">
        <v>1</v>
      </c>
      <c r="DB161" s="438">
        <v>1146437</v>
      </c>
      <c r="DC161" s="438">
        <v>0</v>
      </c>
      <c r="DD161" s="438">
        <v>11.75</v>
      </c>
      <c r="DE161" s="438">
        <v>245832</v>
      </c>
      <c r="DF161" s="438">
        <v>245832</v>
      </c>
      <c r="DG161" s="438">
        <v>187.83</v>
      </c>
      <c r="DH161" s="438">
        <v>0</v>
      </c>
      <c r="DI161" s="438">
        <v>0</v>
      </c>
      <c r="DK161" s="437">
        <v>5392</v>
      </c>
      <c r="DL161" s="438">
        <v>0</v>
      </c>
      <c r="DM161" s="438">
        <v>54251</v>
      </c>
      <c r="DN161" s="438">
        <v>0</v>
      </c>
      <c r="DO161" s="438">
        <v>0</v>
      </c>
      <c r="DP161" s="438">
        <v>0</v>
      </c>
      <c r="DQ161" s="438">
        <v>0</v>
      </c>
      <c r="DR161" s="438">
        <v>0</v>
      </c>
      <c r="DS161" s="438">
        <v>0</v>
      </c>
      <c r="DT161" s="438">
        <v>0</v>
      </c>
      <c r="DU161" s="438">
        <v>0</v>
      </c>
      <c r="DV161" s="438">
        <v>0</v>
      </c>
      <c r="DW161" s="438">
        <v>0</v>
      </c>
      <c r="DX161" s="438">
        <v>0</v>
      </c>
      <c r="DY161" s="438">
        <v>0</v>
      </c>
      <c r="DZ161" s="438">
        <v>0</v>
      </c>
      <c r="EA161" s="438">
        <v>0</v>
      </c>
      <c r="EB161" s="438">
        <v>0</v>
      </c>
      <c r="EC161" s="438">
        <v>6.9820000000000002</v>
      </c>
      <c r="ED161" s="438">
        <v>50259</v>
      </c>
      <c r="EE161" s="438">
        <v>0</v>
      </c>
      <c r="EF161" s="438">
        <v>0</v>
      </c>
      <c r="EG161" s="438">
        <v>0</v>
      </c>
      <c r="EH161" s="438">
        <v>3992</v>
      </c>
      <c r="EI161" s="438">
        <v>0</v>
      </c>
      <c r="EJ161" s="438">
        <v>0</v>
      </c>
      <c r="EK161" s="438">
        <v>0</v>
      </c>
      <c r="EL161" s="438">
        <v>0</v>
      </c>
      <c r="EM161" s="438">
        <v>0</v>
      </c>
      <c r="EN161" s="438">
        <v>0.122</v>
      </c>
      <c r="EO161" s="438">
        <v>0</v>
      </c>
      <c r="EP161" s="438">
        <v>0</v>
      </c>
      <c r="EQ161" s="438">
        <v>0.122</v>
      </c>
      <c r="ER161" s="438">
        <v>0</v>
      </c>
      <c r="ES161" s="438">
        <v>0.61</v>
      </c>
      <c r="ET161" s="438">
        <v>5625</v>
      </c>
      <c r="EU161" s="438">
        <v>50919</v>
      </c>
      <c r="EV161" s="438">
        <v>0</v>
      </c>
      <c r="EW161" s="438">
        <v>0</v>
      </c>
      <c r="EX161" s="438">
        <v>0</v>
      </c>
      <c r="EZ161" s="438">
        <v>1450876</v>
      </c>
      <c r="FA161" s="438">
        <v>0</v>
      </c>
      <c r="FB161" s="438">
        <v>1501795</v>
      </c>
      <c r="FC161" s="438">
        <v>0.97334900000000002</v>
      </c>
      <c r="FD161" s="438">
        <v>0</v>
      </c>
      <c r="FE161" s="438">
        <v>209259</v>
      </c>
      <c r="FF161" s="438">
        <v>47695</v>
      </c>
      <c r="FG161" s="437">
        <v>5.7854999999999997E-2</v>
      </c>
      <c r="FH161" s="437">
        <v>5.2366000000000003E-2</v>
      </c>
      <c r="FI161" s="438">
        <v>0</v>
      </c>
      <c r="FJ161" s="438">
        <v>0</v>
      </c>
      <c r="FK161" s="438">
        <v>285.06900000000002</v>
      </c>
      <c r="FL161" s="438">
        <v>1764374</v>
      </c>
      <c r="FM161" s="438">
        <v>0</v>
      </c>
      <c r="FN161" s="438">
        <v>0</v>
      </c>
      <c r="FO161" s="438">
        <v>0</v>
      </c>
      <c r="FP161" s="438">
        <v>0</v>
      </c>
      <c r="FQ161" s="438">
        <v>0</v>
      </c>
      <c r="FR161" s="438">
        <v>0</v>
      </c>
      <c r="FS161" s="438">
        <v>0</v>
      </c>
      <c r="FT161" s="438">
        <v>0</v>
      </c>
      <c r="FU161" s="438">
        <v>0</v>
      </c>
      <c r="FV161" s="438">
        <v>0</v>
      </c>
      <c r="FW161" s="438">
        <v>0</v>
      </c>
      <c r="FX161" s="438">
        <v>0</v>
      </c>
      <c r="FY161" s="438">
        <v>0</v>
      </c>
      <c r="FZ161" s="438">
        <v>0</v>
      </c>
      <c r="GA161" s="438">
        <v>0</v>
      </c>
      <c r="GB161" s="438">
        <v>27705</v>
      </c>
      <c r="GC161" s="438">
        <v>27705</v>
      </c>
      <c r="GD161" s="438">
        <v>3.1360000000000001</v>
      </c>
      <c r="GF161" s="438">
        <v>0</v>
      </c>
      <c r="GG161" s="438">
        <v>0</v>
      </c>
      <c r="GH161" s="438">
        <v>0</v>
      </c>
      <c r="GI161" s="438">
        <v>0</v>
      </c>
      <c r="GJ161" s="438">
        <v>0</v>
      </c>
      <c r="GK161" s="438">
        <v>4688.9309999999996</v>
      </c>
      <c r="GL161" s="438">
        <v>7016</v>
      </c>
      <c r="GM161" s="438">
        <v>0</v>
      </c>
      <c r="GN161" s="438">
        <v>0</v>
      </c>
      <c r="GO161" s="438">
        <v>0</v>
      </c>
      <c r="GP161" s="438">
        <v>1758749</v>
      </c>
      <c r="GQ161" s="438">
        <v>1758749</v>
      </c>
      <c r="GR161" s="438">
        <v>0</v>
      </c>
      <c r="GS161" s="438">
        <v>0</v>
      </c>
      <c r="GT161" s="438">
        <v>0</v>
      </c>
      <c r="HB161" s="438">
        <v>0</v>
      </c>
      <c r="HC161" s="437">
        <v>6.0754000000000002E-2</v>
      </c>
      <c r="HD161" s="438">
        <v>0</v>
      </c>
    </row>
    <row r="162" spans="1:212" x14ac:dyDescent="0.2">
      <c r="A162" s="438">
        <v>25836</v>
      </c>
      <c r="B162" s="442">
        <v>178807</v>
      </c>
      <c r="C162" s="438">
        <v>9</v>
      </c>
      <c r="D162" s="438">
        <v>2020</v>
      </c>
      <c r="E162" s="438">
        <v>5392</v>
      </c>
      <c r="F162" s="438">
        <v>0</v>
      </c>
      <c r="G162" s="438">
        <v>126.348</v>
      </c>
      <c r="H162" s="438">
        <v>123.931</v>
      </c>
      <c r="I162" s="438">
        <v>123.931</v>
      </c>
      <c r="J162" s="438">
        <v>126.348</v>
      </c>
      <c r="K162" s="438">
        <v>0</v>
      </c>
      <c r="L162" s="437">
        <v>6544</v>
      </c>
      <c r="M162" s="438">
        <v>0</v>
      </c>
      <c r="N162" s="438">
        <v>0</v>
      </c>
      <c r="P162" s="438">
        <v>126.80800000000001</v>
      </c>
      <c r="Q162" s="438">
        <v>0</v>
      </c>
      <c r="R162" s="438">
        <v>31396</v>
      </c>
      <c r="S162" s="437">
        <v>247.58699999999999</v>
      </c>
      <c r="U162" s="438">
        <v>0</v>
      </c>
      <c r="V162" s="438">
        <v>4.3120000000000003</v>
      </c>
      <c r="W162" s="438">
        <v>2822</v>
      </c>
      <c r="X162" s="438">
        <v>2822</v>
      </c>
      <c r="Z162" s="438">
        <v>0</v>
      </c>
      <c r="AA162" s="438">
        <v>1</v>
      </c>
      <c r="AB162" s="438">
        <v>1</v>
      </c>
      <c r="AC162" s="438">
        <v>0</v>
      </c>
      <c r="AD162" s="438" t="s">
        <v>332</v>
      </c>
      <c r="AE162" s="438">
        <v>0</v>
      </c>
      <c r="AH162" s="438">
        <v>0</v>
      </c>
      <c r="AI162" s="438">
        <v>0</v>
      </c>
      <c r="AJ162" s="437">
        <v>5105</v>
      </c>
      <c r="AK162" s="438" t="s">
        <v>561</v>
      </c>
      <c r="AL162" s="438" t="s">
        <v>73</v>
      </c>
      <c r="AM162" s="438">
        <v>0</v>
      </c>
      <c r="AN162" s="438">
        <v>0</v>
      </c>
      <c r="AO162" s="438">
        <v>0</v>
      </c>
      <c r="AP162" s="438">
        <v>0</v>
      </c>
      <c r="AQ162" s="438">
        <v>0</v>
      </c>
      <c r="AR162" s="438">
        <v>0</v>
      </c>
      <c r="AS162" s="438">
        <v>0</v>
      </c>
      <c r="AT162" s="438">
        <v>0</v>
      </c>
      <c r="AU162" s="438">
        <v>0</v>
      </c>
      <c r="AV162" s="438">
        <v>0</v>
      </c>
      <c r="AW162" s="438">
        <v>1037081</v>
      </c>
      <c r="AX162" s="438">
        <v>1037081</v>
      </c>
      <c r="AY162" s="438">
        <v>0</v>
      </c>
      <c r="AZ162" s="438">
        <v>31396</v>
      </c>
      <c r="BA162" s="438">
        <v>0</v>
      </c>
      <c r="BB162" s="438">
        <v>0</v>
      </c>
      <c r="BC162" s="438">
        <v>0</v>
      </c>
      <c r="BD162" s="438">
        <v>0</v>
      </c>
      <c r="BE162" s="438">
        <v>0</v>
      </c>
      <c r="BF162" s="438">
        <v>887468</v>
      </c>
      <c r="BG162" s="438">
        <v>0</v>
      </c>
      <c r="BH162" s="438">
        <v>0</v>
      </c>
      <c r="BI162" s="438">
        <v>0</v>
      </c>
      <c r="BJ162" s="438">
        <v>12</v>
      </c>
      <c r="BK162" s="438">
        <v>0</v>
      </c>
      <c r="BL162" s="438">
        <v>0</v>
      </c>
      <c r="BM162" s="438">
        <v>0</v>
      </c>
      <c r="BN162" s="438">
        <v>0</v>
      </c>
      <c r="BO162" s="438">
        <v>0</v>
      </c>
      <c r="BP162" s="438">
        <v>0</v>
      </c>
      <c r="BQ162" s="437">
        <v>5392</v>
      </c>
      <c r="BR162" s="438">
        <v>1</v>
      </c>
      <c r="BS162" s="438">
        <v>0</v>
      </c>
      <c r="BT162" s="438">
        <v>0</v>
      </c>
      <c r="BU162" s="438">
        <v>0</v>
      </c>
      <c r="BV162" s="438">
        <v>0</v>
      </c>
      <c r="BW162" s="438">
        <v>0</v>
      </c>
      <c r="BX162" s="438">
        <v>0</v>
      </c>
      <c r="BY162" s="438">
        <v>0</v>
      </c>
      <c r="BZ162" s="438">
        <v>0</v>
      </c>
      <c r="CA162" s="438">
        <v>0</v>
      </c>
      <c r="CB162" s="438">
        <v>0</v>
      </c>
      <c r="CC162" s="438">
        <v>0</v>
      </c>
      <c r="CG162" s="438">
        <v>0</v>
      </c>
      <c r="CH162" s="438">
        <v>0</v>
      </c>
      <c r="CI162" s="438">
        <v>0</v>
      </c>
      <c r="CJ162" s="438">
        <v>4</v>
      </c>
      <c r="CK162" s="438">
        <v>0</v>
      </c>
      <c r="CL162" s="438">
        <v>0</v>
      </c>
      <c r="CN162" s="438">
        <v>0</v>
      </c>
      <c r="CO162" s="438">
        <v>1</v>
      </c>
      <c r="CP162" s="438">
        <v>0</v>
      </c>
      <c r="CQ162" s="438">
        <v>0</v>
      </c>
      <c r="CR162" s="438">
        <v>126.348</v>
      </c>
      <c r="CS162" s="438">
        <v>0</v>
      </c>
      <c r="CT162" s="438">
        <v>0</v>
      </c>
      <c r="CU162" s="438">
        <v>0</v>
      </c>
      <c r="CV162" s="438">
        <v>0</v>
      </c>
      <c r="CW162" s="438">
        <v>0</v>
      </c>
      <c r="CX162" s="438">
        <v>0</v>
      </c>
      <c r="CY162" s="438">
        <v>0</v>
      </c>
      <c r="CZ162" s="438">
        <v>0</v>
      </c>
      <c r="DA162" s="438">
        <v>1</v>
      </c>
      <c r="DB162" s="438">
        <v>811004</v>
      </c>
      <c r="DC162" s="438">
        <v>0</v>
      </c>
      <c r="DD162" s="438">
        <v>0</v>
      </c>
      <c r="DE162" s="438">
        <v>32720</v>
      </c>
      <c r="DF162" s="438">
        <v>32720</v>
      </c>
      <c r="DG162" s="438">
        <v>25</v>
      </c>
      <c r="DH162" s="438">
        <v>0</v>
      </c>
      <c r="DI162" s="438">
        <v>0</v>
      </c>
      <c r="DK162" s="437">
        <v>5392</v>
      </c>
      <c r="DL162" s="438">
        <v>0</v>
      </c>
      <c r="DM162" s="438">
        <v>65221</v>
      </c>
      <c r="DN162" s="438">
        <v>0</v>
      </c>
      <c r="DO162" s="438">
        <v>0</v>
      </c>
      <c r="DP162" s="438">
        <v>0</v>
      </c>
      <c r="DQ162" s="438">
        <v>0</v>
      </c>
      <c r="DR162" s="438">
        <v>0</v>
      </c>
      <c r="DS162" s="438">
        <v>0</v>
      </c>
      <c r="DT162" s="438">
        <v>0</v>
      </c>
      <c r="DU162" s="438">
        <v>0</v>
      </c>
      <c r="DV162" s="438">
        <v>0</v>
      </c>
      <c r="DW162" s="438">
        <v>0</v>
      </c>
      <c r="DX162" s="438">
        <v>0</v>
      </c>
      <c r="DY162" s="438">
        <v>0</v>
      </c>
      <c r="DZ162" s="438">
        <v>0</v>
      </c>
      <c r="EA162" s="438">
        <v>0</v>
      </c>
      <c r="EB162" s="438">
        <v>0</v>
      </c>
      <c r="EC162" s="438">
        <v>1.9450000000000001</v>
      </c>
      <c r="ED162" s="438">
        <v>14001</v>
      </c>
      <c r="EE162" s="438">
        <v>0</v>
      </c>
      <c r="EF162" s="438">
        <v>0</v>
      </c>
      <c r="EG162" s="438">
        <v>0</v>
      </c>
      <c r="EH162" s="438">
        <v>51220</v>
      </c>
      <c r="EI162" s="438">
        <v>0</v>
      </c>
      <c r="EJ162" s="438">
        <v>0</v>
      </c>
      <c r="EK162" s="438">
        <v>2.129</v>
      </c>
      <c r="EL162" s="438">
        <v>0</v>
      </c>
      <c r="EM162" s="438">
        <v>0</v>
      </c>
      <c r="EN162" s="438">
        <v>0.28799999999999998</v>
      </c>
      <c r="EO162" s="438">
        <v>0</v>
      </c>
      <c r="EP162" s="438">
        <v>0</v>
      </c>
      <c r="EQ162" s="438">
        <v>2.4169999999999998</v>
      </c>
      <c r="ER162" s="438">
        <v>0</v>
      </c>
      <c r="ES162" s="438">
        <v>7.827</v>
      </c>
      <c r="ET162" s="438">
        <v>0</v>
      </c>
      <c r="EU162" s="438">
        <v>31396</v>
      </c>
      <c r="EV162" s="438">
        <v>0</v>
      </c>
      <c r="EW162" s="438">
        <v>0</v>
      </c>
      <c r="EX162" s="438">
        <v>0</v>
      </c>
      <c r="EZ162" s="438">
        <v>880371</v>
      </c>
      <c r="FA162" s="438">
        <v>0</v>
      </c>
      <c r="FB162" s="438">
        <v>911767</v>
      </c>
      <c r="FC162" s="438">
        <v>0.97334900000000002</v>
      </c>
      <c r="FD162" s="438">
        <v>0</v>
      </c>
      <c r="FE162" s="438">
        <v>127622</v>
      </c>
      <c r="FF162" s="438">
        <v>29088</v>
      </c>
      <c r="FG162" s="437">
        <v>5.7854999999999997E-2</v>
      </c>
      <c r="FH162" s="437">
        <v>5.2366000000000003E-2</v>
      </c>
      <c r="FI162" s="438">
        <v>0</v>
      </c>
      <c r="FJ162" s="438">
        <v>0</v>
      </c>
      <c r="FK162" s="438">
        <v>173.857</v>
      </c>
      <c r="FL162" s="438">
        <v>1068477</v>
      </c>
      <c r="FM162" s="438">
        <v>0</v>
      </c>
      <c r="FN162" s="438">
        <v>0</v>
      </c>
      <c r="FO162" s="438">
        <v>0</v>
      </c>
      <c r="FP162" s="438">
        <v>0</v>
      </c>
      <c r="FQ162" s="438">
        <v>0</v>
      </c>
      <c r="FR162" s="438">
        <v>0</v>
      </c>
      <c r="FS162" s="438">
        <v>0</v>
      </c>
      <c r="FT162" s="438">
        <v>0</v>
      </c>
      <c r="FU162" s="438">
        <v>0</v>
      </c>
      <c r="FV162" s="438">
        <v>0</v>
      </c>
      <c r="FW162" s="438">
        <v>0</v>
      </c>
      <c r="FX162" s="438">
        <v>0</v>
      </c>
      <c r="FY162" s="438">
        <v>0</v>
      </c>
      <c r="FZ162" s="438">
        <v>0</v>
      </c>
      <c r="GA162" s="438">
        <v>0</v>
      </c>
      <c r="GB162" s="438">
        <v>0</v>
      </c>
      <c r="GC162" s="438">
        <v>0</v>
      </c>
      <c r="GD162" s="438">
        <v>0</v>
      </c>
      <c r="GF162" s="438">
        <v>0</v>
      </c>
      <c r="GG162" s="438">
        <v>0</v>
      </c>
      <c r="GH162" s="438">
        <v>0</v>
      </c>
      <c r="GI162" s="438">
        <v>0</v>
      </c>
      <c r="GJ162" s="438">
        <v>0</v>
      </c>
      <c r="GK162" s="438">
        <v>4678.741</v>
      </c>
      <c r="GL162" s="438">
        <v>4450</v>
      </c>
      <c r="GM162" s="438">
        <v>0</v>
      </c>
      <c r="GN162" s="438">
        <v>0</v>
      </c>
      <c r="GO162" s="438">
        <v>0</v>
      </c>
      <c r="GP162" s="438">
        <v>1068477</v>
      </c>
      <c r="GQ162" s="438">
        <v>1068477</v>
      </c>
      <c r="GR162" s="438">
        <v>0</v>
      </c>
      <c r="GS162" s="438">
        <v>0</v>
      </c>
      <c r="GT162" s="438">
        <v>0</v>
      </c>
      <c r="HB162" s="438">
        <v>0</v>
      </c>
      <c r="HC162" s="437">
        <v>6.0754000000000002E-2</v>
      </c>
      <c r="HD162" s="438">
        <v>0</v>
      </c>
    </row>
    <row r="163" spans="1:212" x14ac:dyDescent="0.2">
      <c r="A163" s="438">
        <v>25836</v>
      </c>
      <c r="B163" s="442">
        <v>178808</v>
      </c>
      <c r="C163" s="438">
        <v>9</v>
      </c>
      <c r="D163" s="438">
        <v>2020</v>
      </c>
      <c r="E163" s="438">
        <v>5392</v>
      </c>
      <c r="F163" s="438">
        <v>0</v>
      </c>
      <c r="G163" s="438">
        <v>465.15199999999999</v>
      </c>
      <c r="H163" s="438">
        <v>456.49299999999999</v>
      </c>
      <c r="I163" s="438">
        <v>456.49299999999999</v>
      </c>
      <c r="J163" s="438">
        <v>465.15199999999999</v>
      </c>
      <c r="K163" s="438">
        <v>0</v>
      </c>
      <c r="L163" s="437">
        <v>6544</v>
      </c>
      <c r="M163" s="438">
        <v>0</v>
      </c>
      <c r="N163" s="438">
        <v>0</v>
      </c>
      <c r="P163" s="438">
        <v>460.88799999999998</v>
      </c>
      <c r="Q163" s="438">
        <v>0</v>
      </c>
      <c r="R163" s="438">
        <v>114110</v>
      </c>
      <c r="S163" s="437">
        <v>247.58699999999999</v>
      </c>
      <c r="U163" s="438">
        <v>0</v>
      </c>
      <c r="V163" s="438">
        <v>8.4329999999999998</v>
      </c>
      <c r="W163" s="438">
        <v>5519</v>
      </c>
      <c r="X163" s="438">
        <v>5519</v>
      </c>
      <c r="Z163" s="438">
        <v>0</v>
      </c>
      <c r="AA163" s="438">
        <v>1</v>
      </c>
      <c r="AB163" s="438">
        <v>1</v>
      </c>
      <c r="AC163" s="438">
        <v>0</v>
      </c>
      <c r="AD163" s="438" t="s">
        <v>332</v>
      </c>
      <c r="AE163" s="438">
        <v>0</v>
      </c>
      <c r="AH163" s="438">
        <v>0</v>
      </c>
      <c r="AI163" s="438">
        <v>0</v>
      </c>
      <c r="AJ163" s="437">
        <v>5105</v>
      </c>
      <c r="AK163" s="438" t="s">
        <v>561</v>
      </c>
      <c r="AL163" s="438" t="s">
        <v>107</v>
      </c>
      <c r="AM163" s="438">
        <v>0</v>
      </c>
      <c r="AN163" s="438">
        <v>0</v>
      </c>
      <c r="AO163" s="438">
        <v>0</v>
      </c>
      <c r="AP163" s="438">
        <v>0</v>
      </c>
      <c r="AQ163" s="438">
        <v>0</v>
      </c>
      <c r="AR163" s="438">
        <v>0</v>
      </c>
      <c r="AS163" s="438">
        <v>0</v>
      </c>
      <c r="AT163" s="438">
        <v>0</v>
      </c>
      <c r="AU163" s="438">
        <v>0</v>
      </c>
      <c r="AV163" s="438">
        <v>0</v>
      </c>
      <c r="AW163" s="438">
        <v>3732520</v>
      </c>
      <c r="AX163" s="438">
        <v>3732520</v>
      </c>
      <c r="AY163" s="438">
        <v>0</v>
      </c>
      <c r="AZ163" s="438">
        <v>114110</v>
      </c>
      <c r="BA163" s="438">
        <v>0</v>
      </c>
      <c r="BB163" s="438">
        <v>18061</v>
      </c>
      <c r="BC163" s="438">
        <v>18061</v>
      </c>
      <c r="BD163" s="438">
        <v>23</v>
      </c>
      <c r="BE163" s="438">
        <v>0</v>
      </c>
      <c r="BF163" s="438">
        <v>3194979</v>
      </c>
      <c r="BG163" s="438">
        <v>0</v>
      </c>
      <c r="BH163" s="438">
        <v>0</v>
      </c>
      <c r="BI163" s="438">
        <v>0</v>
      </c>
      <c r="BJ163" s="438">
        <v>12</v>
      </c>
      <c r="BK163" s="438">
        <v>0</v>
      </c>
      <c r="BL163" s="438">
        <v>0</v>
      </c>
      <c r="BM163" s="438">
        <v>0</v>
      </c>
      <c r="BN163" s="438">
        <v>0</v>
      </c>
      <c r="BO163" s="438">
        <v>0</v>
      </c>
      <c r="BP163" s="438">
        <v>0</v>
      </c>
      <c r="BQ163" s="437">
        <v>5392</v>
      </c>
      <c r="BR163" s="438">
        <v>1</v>
      </c>
      <c r="BS163" s="438">
        <v>0</v>
      </c>
      <c r="BT163" s="438">
        <v>0</v>
      </c>
      <c r="BU163" s="438">
        <v>0</v>
      </c>
      <c r="BV163" s="438">
        <v>0</v>
      </c>
      <c r="BW163" s="438">
        <v>0</v>
      </c>
      <c r="BX163" s="438">
        <v>0</v>
      </c>
      <c r="BY163" s="438">
        <v>0</v>
      </c>
      <c r="BZ163" s="438">
        <v>0</v>
      </c>
      <c r="CA163" s="438">
        <v>0</v>
      </c>
      <c r="CB163" s="438">
        <v>0</v>
      </c>
      <c r="CC163" s="438">
        <v>0</v>
      </c>
      <c r="CG163" s="438">
        <v>0</v>
      </c>
      <c r="CH163" s="438">
        <v>0</v>
      </c>
      <c r="CI163" s="438">
        <v>0</v>
      </c>
      <c r="CJ163" s="438">
        <v>4</v>
      </c>
      <c r="CK163" s="438">
        <v>0</v>
      </c>
      <c r="CL163" s="438">
        <v>0</v>
      </c>
      <c r="CN163" s="438">
        <v>0</v>
      </c>
      <c r="CO163" s="438">
        <v>1</v>
      </c>
      <c r="CP163" s="438">
        <v>0</v>
      </c>
      <c r="CQ163" s="438">
        <v>0</v>
      </c>
      <c r="CR163" s="438">
        <v>465.15199999999999</v>
      </c>
      <c r="CS163" s="438">
        <v>0</v>
      </c>
      <c r="CT163" s="438">
        <v>0</v>
      </c>
      <c r="CU163" s="438">
        <v>0</v>
      </c>
      <c r="CV163" s="438">
        <v>0</v>
      </c>
      <c r="CW163" s="438">
        <v>0</v>
      </c>
      <c r="CX163" s="438">
        <v>0</v>
      </c>
      <c r="CY163" s="438">
        <v>0</v>
      </c>
      <c r="CZ163" s="438">
        <v>0</v>
      </c>
      <c r="DA163" s="438">
        <v>1</v>
      </c>
      <c r="DB163" s="438">
        <v>2987290</v>
      </c>
      <c r="DC163" s="438">
        <v>0</v>
      </c>
      <c r="DD163" s="438">
        <v>0</v>
      </c>
      <c r="DE163" s="438">
        <v>0</v>
      </c>
      <c r="DF163" s="438">
        <v>0</v>
      </c>
      <c r="DG163" s="438">
        <v>0</v>
      </c>
      <c r="DH163" s="438">
        <v>0</v>
      </c>
      <c r="DI163" s="438">
        <v>0</v>
      </c>
      <c r="DK163" s="437">
        <v>5392</v>
      </c>
      <c r="DL163" s="438">
        <v>0</v>
      </c>
      <c r="DM163" s="438">
        <v>271589</v>
      </c>
      <c r="DN163" s="438">
        <v>0</v>
      </c>
      <c r="DO163" s="438">
        <v>0</v>
      </c>
      <c r="DP163" s="438">
        <v>0</v>
      </c>
      <c r="DQ163" s="438">
        <v>0</v>
      </c>
      <c r="DR163" s="438">
        <v>0</v>
      </c>
      <c r="DS163" s="438">
        <v>0</v>
      </c>
      <c r="DT163" s="438">
        <v>0</v>
      </c>
      <c r="DU163" s="438">
        <v>0</v>
      </c>
      <c r="DV163" s="438">
        <v>0</v>
      </c>
      <c r="DW163" s="438">
        <v>0</v>
      </c>
      <c r="DX163" s="438">
        <v>0</v>
      </c>
      <c r="DY163" s="438">
        <v>0</v>
      </c>
      <c r="DZ163" s="438">
        <v>0</v>
      </c>
      <c r="EA163" s="438">
        <v>0</v>
      </c>
      <c r="EB163" s="438">
        <v>0</v>
      </c>
      <c r="EC163" s="438">
        <v>12.09</v>
      </c>
      <c r="ED163" s="438">
        <v>87029</v>
      </c>
      <c r="EE163" s="438">
        <v>0</v>
      </c>
      <c r="EF163" s="438">
        <v>0</v>
      </c>
      <c r="EG163" s="438">
        <v>0</v>
      </c>
      <c r="EH163" s="438">
        <v>184560</v>
      </c>
      <c r="EI163" s="438">
        <v>0</v>
      </c>
      <c r="EJ163" s="438">
        <v>0</v>
      </c>
      <c r="EK163" s="438">
        <v>7.4939999999999998</v>
      </c>
      <c r="EL163" s="438">
        <v>0</v>
      </c>
      <c r="EM163" s="438">
        <v>5.1999999999999998E-2</v>
      </c>
      <c r="EN163" s="438">
        <v>1.113</v>
      </c>
      <c r="EO163" s="438">
        <v>0</v>
      </c>
      <c r="EP163" s="438">
        <v>0</v>
      </c>
      <c r="EQ163" s="438">
        <v>8.6590000000000007</v>
      </c>
      <c r="ER163" s="438">
        <v>0</v>
      </c>
      <c r="ES163" s="438">
        <v>28.202999999999999</v>
      </c>
      <c r="ET163" s="438">
        <v>0</v>
      </c>
      <c r="EU163" s="438">
        <v>114110</v>
      </c>
      <c r="EV163" s="438">
        <v>0</v>
      </c>
      <c r="EW163" s="438">
        <v>0</v>
      </c>
      <c r="EX163" s="438">
        <v>0</v>
      </c>
      <c r="EZ163" s="438">
        <v>3168349</v>
      </c>
      <c r="FA163" s="438">
        <v>0</v>
      </c>
      <c r="FB163" s="438">
        <v>3282459</v>
      </c>
      <c r="FC163" s="438">
        <v>0.97334900000000002</v>
      </c>
      <c r="FD163" s="438">
        <v>0</v>
      </c>
      <c r="FE163" s="438">
        <v>459452</v>
      </c>
      <c r="FF163" s="438">
        <v>104719</v>
      </c>
      <c r="FG163" s="437">
        <v>5.7854999999999997E-2</v>
      </c>
      <c r="FH163" s="437">
        <v>5.2366000000000003E-2</v>
      </c>
      <c r="FI163" s="438">
        <v>0</v>
      </c>
      <c r="FJ163" s="438">
        <v>0</v>
      </c>
      <c r="FK163" s="438">
        <v>625.90200000000004</v>
      </c>
      <c r="FL163" s="438">
        <v>3846630</v>
      </c>
      <c r="FM163" s="438">
        <v>0</v>
      </c>
      <c r="FN163" s="438">
        <v>0</v>
      </c>
      <c r="FO163" s="438">
        <v>0</v>
      </c>
      <c r="FP163" s="438">
        <v>0</v>
      </c>
      <c r="FQ163" s="438">
        <v>0</v>
      </c>
      <c r="FR163" s="438">
        <v>0</v>
      </c>
      <c r="FS163" s="438">
        <v>0</v>
      </c>
      <c r="FT163" s="438">
        <v>0</v>
      </c>
      <c r="FU163" s="438">
        <v>0</v>
      </c>
      <c r="FV163" s="438">
        <v>0</v>
      </c>
      <c r="FW163" s="438">
        <v>0</v>
      </c>
      <c r="FX163" s="438">
        <v>0</v>
      </c>
      <c r="FY163" s="438">
        <v>0</v>
      </c>
      <c r="FZ163" s="438">
        <v>0</v>
      </c>
      <c r="GA163" s="438">
        <v>0</v>
      </c>
      <c r="GB163" s="438">
        <v>0</v>
      </c>
      <c r="GC163" s="438">
        <v>0</v>
      </c>
      <c r="GD163" s="438">
        <v>0</v>
      </c>
      <c r="GF163" s="438">
        <v>0</v>
      </c>
      <c r="GG163" s="438">
        <v>0</v>
      </c>
      <c r="GH163" s="438">
        <v>0</v>
      </c>
      <c r="GI163" s="438">
        <v>0</v>
      </c>
      <c r="GJ163" s="438">
        <v>0</v>
      </c>
      <c r="GK163" s="438">
        <v>4699.8249999999998</v>
      </c>
      <c r="GL163" s="438">
        <v>3408</v>
      </c>
      <c r="GM163" s="438">
        <v>0</v>
      </c>
      <c r="GN163" s="438">
        <v>0</v>
      </c>
      <c r="GO163" s="438">
        <v>0</v>
      </c>
      <c r="GP163" s="438">
        <v>3846630</v>
      </c>
      <c r="GQ163" s="438">
        <v>3846630</v>
      </c>
      <c r="GR163" s="438">
        <v>0</v>
      </c>
      <c r="GS163" s="438">
        <v>0</v>
      </c>
      <c r="GT163" s="438">
        <v>0</v>
      </c>
      <c r="HB163" s="438">
        <v>0</v>
      </c>
      <c r="HC163" s="437">
        <v>6.0754000000000002E-2</v>
      </c>
      <c r="HD163" s="438">
        <v>0</v>
      </c>
    </row>
    <row r="164" spans="1:212" x14ac:dyDescent="0.2">
      <c r="A164" s="438">
        <v>25836</v>
      </c>
      <c r="B164" s="442">
        <v>183801</v>
      </c>
      <c r="C164" s="438">
        <v>9</v>
      </c>
      <c r="D164" s="438">
        <v>2020</v>
      </c>
      <c r="E164" s="438">
        <v>5392</v>
      </c>
      <c r="F164" s="438">
        <v>0</v>
      </c>
      <c r="G164" s="438">
        <v>139.93799999999999</v>
      </c>
      <c r="H164" s="438">
        <v>114.47</v>
      </c>
      <c r="I164" s="438">
        <v>114.47</v>
      </c>
      <c r="J164" s="438">
        <v>139.93799999999999</v>
      </c>
      <c r="K164" s="438">
        <v>0</v>
      </c>
      <c r="L164" s="437">
        <v>6544</v>
      </c>
      <c r="M164" s="438">
        <v>0</v>
      </c>
      <c r="N164" s="438">
        <v>0</v>
      </c>
      <c r="P164" s="438">
        <v>141.63999999999999</v>
      </c>
      <c r="Q164" s="438">
        <v>0</v>
      </c>
      <c r="R164" s="438">
        <v>35068</v>
      </c>
      <c r="S164" s="437">
        <v>247.58699999999999</v>
      </c>
      <c r="U164" s="438">
        <v>0</v>
      </c>
      <c r="V164" s="438">
        <v>0</v>
      </c>
      <c r="W164" s="438">
        <v>0</v>
      </c>
      <c r="X164" s="438">
        <v>0</v>
      </c>
      <c r="Z164" s="438">
        <v>0</v>
      </c>
      <c r="AA164" s="438">
        <v>1</v>
      </c>
      <c r="AB164" s="438">
        <v>1</v>
      </c>
      <c r="AC164" s="438">
        <v>0</v>
      </c>
      <c r="AD164" s="438" t="s">
        <v>332</v>
      </c>
      <c r="AE164" s="438">
        <v>0</v>
      </c>
      <c r="AH164" s="438">
        <v>0</v>
      </c>
      <c r="AI164" s="438">
        <v>0</v>
      </c>
      <c r="AJ164" s="437">
        <v>5105</v>
      </c>
      <c r="AK164" s="438" t="s">
        <v>561</v>
      </c>
      <c r="AL164" s="438" t="s">
        <v>76</v>
      </c>
      <c r="AM164" s="438">
        <v>0</v>
      </c>
      <c r="AN164" s="438">
        <v>0</v>
      </c>
      <c r="AO164" s="438">
        <v>0</v>
      </c>
      <c r="AP164" s="438">
        <v>0</v>
      </c>
      <c r="AQ164" s="438">
        <v>0</v>
      </c>
      <c r="AR164" s="438">
        <v>0</v>
      </c>
      <c r="AS164" s="438">
        <v>0</v>
      </c>
      <c r="AT164" s="438">
        <v>0</v>
      </c>
      <c r="AU164" s="438">
        <v>0</v>
      </c>
      <c r="AV164" s="438">
        <v>0</v>
      </c>
      <c r="AW164" s="438">
        <v>1343314</v>
      </c>
      <c r="AX164" s="438">
        <v>1300671</v>
      </c>
      <c r="AY164" s="438">
        <v>0</v>
      </c>
      <c r="AZ164" s="438">
        <v>69919</v>
      </c>
      <c r="BA164" s="438">
        <v>13.417</v>
      </c>
      <c r="BB164" s="438">
        <v>5495</v>
      </c>
      <c r="BC164" s="438">
        <v>5495</v>
      </c>
      <c r="BD164" s="438">
        <v>6.9969999999999999</v>
      </c>
      <c r="BE164" s="438">
        <v>0</v>
      </c>
      <c r="BF164" s="438">
        <v>1109454</v>
      </c>
      <c r="BG164" s="438">
        <v>0</v>
      </c>
      <c r="BH164" s="438">
        <v>126.73099999999999</v>
      </c>
      <c r="BI164" s="438">
        <v>34851</v>
      </c>
      <c r="BJ164" s="438">
        <v>12</v>
      </c>
      <c r="BK164" s="438">
        <v>0</v>
      </c>
      <c r="BL164" s="438">
        <v>0</v>
      </c>
      <c r="BM164" s="438">
        <v>0</v>
      </c>
      <c r="BN164" s="438">
        <v>0</v>
      </c>
      <c r="BO164" s="438">
        <v>0</v>
      </c>
      <c r="BP164" s="438">
        <v>0</v>
      </c>
      <c r="BQ164" s="437">
        <v>5392</v>
      </c>
      <c r="BR164" s="438">
        <v>1</v>
      </c>
      <c r="BS164" s="438">
        <v>0</v>
      </c>
      <c r="BT164" s="438">
        <v>0</v>
      </c>
      <c r="BU164" s="438">
        <v>0</v>
      </c>
      <c r="BV164" s="438">
        <v>0</v>
      </c>
      <c r="BW164" s="438">
        <v>0</v>
      </c>
      <c r="BX164" s="438">
        <v>0</v>
      </c>
      <c r="BY164" s="438">
        <v>0</v>
      </c>
      <c r="BZ164" s="438">
        <v>0</v>
      </c>
      <c r="CA164" s="438">
        <v>0</v>
      </c>
      <c r="CB164" s="438">
        <v>0</v>
      </c>
      <c r="CC164" s="438">
        <v>0</v>
      </c>
      <c r="CG164" s="438">
        <v>0</v>
      </c>
      <c r="CH164" s="438">
        <v>7792</v>
      </c>
      <c r="CI164" s="438">
        <v>0</v>
      </c>
      <c r="CJ164" s="438">
        <v>4</v>
      </c>
      <c r="CK164" s="438">
        <v>0</v>
      </c>
      <c r="CL164" s="438">
        <v>0</v>
      </c>
      <c r="CN164" s="438">
        <v>0</v>
      </c>
      <c r="CO164" s="438">
        <v>1</v>
      </c>
      <c r="CP164" s="438">
        <v>6.5000000000000002E-2</v>
      </c>
      <c r="CQ164" s="438">
        <v>4.3330000000000002</v>
      </c>
      <c r="CR164" s="438">
        <v>139.93799999999999</v>
      </c>
      <c r="CS164" s="438">
        <v>0</v>
      </c>
      <c r="CT164" s="438">
        <v>0</v>
      </c>
      <c r="CU164" s="438">
        <v>0</v>
      </c>
      <c r="CV164" s="438">
        <v>0</v>
      </c>
      <c r="CW164" s="438">
        <v>0</v>
      </c>
      <c r="CX164" s="438">
        <v>0</v>
      </c>
      <c r="CY164" s="438">
        <v>0</v>
      </c>
      <c r="CZ164" s="438">
        <v>0</v>
      </c>
      <c r="DA164" s="438">
        <v>1</v>
      </c>
      <c r="DB164" s="438">
        <v>749092</v>
      </c>
      <c r="DC164" s="438">
        <v>0</v>
      </c>
      <c r="DD164" s="438">
        <v>17.75</v>
      </c>
      <c r="DE164" s="438">
        <v>83541</v>
      </c>
      <c r="DF164" s="438">
        <v>84566</v>
      </c>
      <c r="DG164" s="438">
        <v>63.83</v>
      </c>
      <c r="DH164" s="438">
        <v>0</v>
      </c>
      <c r="DI164" s="438">
        <v>1025</v>
      </c>
      <c r="DK164" s="437">
        <v>5392</v>
      </c>
      <c r="DL164" s="438">
        <v>0</v>
      </c>
      <c r="DM164" s="438">
        <v>93918</v>
      </c>
      <c r="DN164" s="438">
        <v>0</v>
      </c>
      <c r="DO164" s="438">
        <v>0</v>
      </c>
      <c r="DP164" s="438">
        <v>0</v>
      </c>
      <c r="DQ164" s="438">
        <v>0</v>
      </c>
      <c r="DR164" s="438">
        <v>0</v>
      </c>
      <c r="DS164" s="438">
        <v>0</v>
      </c>
      <c r="DT164" s="438">
        <v>0</v>
      </c>
      <c r="DU164" s="438">
        <v>0</v>
      </c>
      <c r="DV164" s="438">
        <v>0</v>
      </c>
      <c r="DW164" s="438">
        <v>0</v>
      </c>
      <c r="DX164" s="438">
        <v>0</v>
      </c>
      <c r="DY164" s="438">
        <v>0</v>
      </c>
      <c r="DZ164" s="438">
        <v>0</v>
      </c>
      <c r="EA164" s="438">
        <v>0</v>
      </c>
      <c r="EB164" s="438">
        <v>0</v>
      </c>
      <c r="EC164" s="438">
        <v>7.4180000000000001</v>
      </c>
      <c r="ED164" s="438">
        <v>53398</v>
      </c>
      <c r="EE164" s="438">
        <v>0</v>
      </c>
      <c r="EF164" s="438">
        <v>0</v>
      </c>
      <c r="EG164" s="438">
        <v>0</v>
      </c>
      <c r="EH164" s="438">
        <v>40520</v>
      </c>
      <c r="EI164" s="438">
        <v>0</v>
      </c>
      <c r="EJ164" s="438">
        <v>0</v>
      </c>
      <c r="EK164" s="438">
        <v>1.712</v>
      </c>
      <c r="EL164" s="438">
        <v>0</v>
      </c>
      <c r="EM164" s="438">
        <v>0.35199999999999998</v>
      </c>
      <c r="EN164" s="438">
        <v>0</v>
      </c>
      <c r="EO164" s="438">
        <v>0</v>
      </c>
      <c r="EP164" s="438">
        <v>0</v>
      </c>
      <c r="EQ164" s="438">
        <v>2.0640000000000001</v>
      </c>
      <c r="ER164" s="438">
        <v>0</v>
      </c>
      <c r="ES164" s="438">
        <v>6.1920000000000002</v>
      </c>
      <c r="ET164" s="438">
        <v>7792</v>
      </c>
      <c r="EU164" s="438">
        <v>69919</v>
      </c>
      <c r="EV164" s="438">
        <v>0</v>
      </c>
      <c r="EW164" s="438">
        <v>0</v>
      </c>
      <c r="EX164" s="438">
        <v>0</v>
      </c>
      <c r="EZ164" s="438">
        <v>1104763</v>
      </c>
      <c r="FA164" s="438">
        <v>0</v>
      </c>
      <c r="FB164" s="438">
        <v>1174682</v>
      </c>
      <c r="FC164" s="438">
        <v>0.97334900000000002</v>
      </c>
      <c r="FD164" s="438">
        <v>0</v>
      </c>
      <c r="FE164" s="438">
        <v>159544</v>
      </c>
      <c r="FF164" s="438">
        <v>36364</v>
      </c>
      <c r="FG164" s="437">
        <v>5.7854999999999997E-2</v>
      </c>
      <c r="FH164" s="437">
        <v>5.2366000000000003E-2</v>
      </c>
      <c r="FI164" s="438">
        <v>0</v>
      </c>
      <c r="FJ164" s="438">
        <v>0</v>
      </c>
      <c r="FK164" s="438">
        <v>217.34399999999999</v>
      </c>
      <c r="FL164" s="438">
        <v>1378382</v>
      </c>
      <c r="FM164" s="438">
        <v>0</v>
      </c>
      <c r="FN164" s="438">
        <v>0</v>
      </c>
      <c r="FO164" s="438">
        <v>0</v>
      </c>
      <c r="FP164" s="438">
        <v>0</v>
      </c>
      <c r="FQ164" s="438">
        <v>0</v>
      </c>
      <c r="FR164" s="438">
        <v>0</v>
      </c>
      <c r="FS164" s="438">
        <v>0</v>
      </c>
      <c r="FT164" s="438">
        <v>0</v>
      </c>
      <c r="FU164" s="438">
        <v>0</v>
      </c>
      <c r="FV164" s="438">
        <v>0</v>
      </c>
      <c r="FW164" s="438">
        <v>0</v>
      </c>
      <c r="FX164" s="438">
        <v>0</v>
      </c>
      <c r="FY164" s="438">
        <v>0</v>
      </c>
      <c r="FZ164" s="438">
        <v>0</v>
      </c>
      <c r="GA164" s="438">
        <v>0</v>
      </c>
      <c r="GB164" s="438">
        <v>206760</v>
      </c>
      <c r="GC164" s="438">
        <v>206760</v>
      </c>
      <c r="GD164" s="438">
        <v>23.404</v>
      </c>
      <c r="GF164" s="438">
        <v>0</v>
      </c>
      <c r="GG164" s="438">
        <v>0</v>
      </c>
      <c r="GH164" s="438">
        <v>0</v>
      </c>
      <c r="GI164" s="438">
        <v>0</v>
      </c>
      <c r="GJ164" s="438">
        <v>0</v>
      </c>
      <c r="GK164" s="438">
        <v>5003.8729999999996</v>
      </c>
      <c r="GL164" s="438">
        <v>4196</v>
      </c>
      <c r="GM164" s="438">
        <v>0</v>
      </c>
      <c r="GN164" s="438">
        <v>0</v>
      </c>
      <c r="GO164" s="438">
        <v>0</v>
      </c>
      <c r="GP164" s="438">
        <v>1370590</v>
      </c>
      <c r="GQ164" s="438">
        <v>1370590</v>
      </c>
      <c r="GR164" s="438">
        <v>0</v>
      </c>
      <c r="GS164" s="438">
        <v>0</v>
      </c>
      <c r="GT164" s="438">
        <v>0</v>
      </c>
      <c r="HB164" s="438">
        <v>0</v>
      </c>
      <c r="HC164" s="437">
        <v>6.0754000000000002E-2</v>
      </c>
      <c r="HD164" s="438">
        <v>0</v>
      </c>
    </row>
    <row r="165" spans="1:212" x14ac:dyDescent="0.2">
      <c r="A165" s="438">
        <v>25836</v>
      </c>
      <c r="B165" s="442">
        <v>184801</v>
      </c>
      <c r="C165" s="438">
        <v>9</v>
      </c>
      <c r="D165" s="438">
        <v>2020</v>
      </c>
      <c r="E165" s="438">
        <v>5392</v>
      </c>
      <c r="F165" s="438">
        <v>0</v>
      </c>
      <c r="G165" s="438">
        <v>130.16</v>
      </c>
      <c r="H165" s="438">
        <v>97.554000000000002</v>
      </c>
      <c r="I165" s="438">
        <v>97.554000000000002</v>
      </c>
      <c r="J165" s="438">
        <v>130.16</v>
      </c>
      <c r="K165" s="438">
        <v>0</v>
      </c>
      <c r="L165" s="437">
        <v>6544</v>
      </c>
      <c r="M165" s="438">
        <v>0</v>
      </c>
      <c r="N165" s="438">
        <v>0</v>
      </c>
      <c r="P165" s="438">
        <v>130.44</v>
      </c>
      <c r="Q165" s="438">
        <v>0</v>
      </c>
      <c r="R165" s="438">
        <v>32295</v>
      </c>
      <c r="S165" s="437">
        <v>247.58699999999999</v>
      </c>
      <c r="U165" s="438">
        <v>0</v>
      </c>
      <c r="V165" s="438">
        <v>0.77500000000000002</v>
      </c>
      <c r="W165" s="438">
        <v>507</v>
      </c>
      <c r="X165" s="438">
        <v>507</v>
      </c>
      <c r="Z165" s="438">
        <v>0</v>
      </c>
      <c r="AA165" s="438">
        <v>1</v>
      </c>
      <c r="AB165" s="438">
        <v>1</v>
      </c>
      <c r="AC165" s="438">
        <v>0</v>
      </c>
      <c r="AD165" s="438" t="s">
        <v>332</v>
      </c>
      <c r="AE165" s="438">
        <v>0</v>
      </c>
      <c r="AH165" s="438">
        <v>0</v>
      </c>
      <c r="AI165" s="438">
        <v>0</v>
      </c>
      <c r="AJ165" s="437">
        <v>5105</v>
      </c>
      <c r="AK165" s="438" t="s">
        <v>561</v>
      </c>
      <c r="AL165" s="438" t="s">
        <v>6</v>
      </c>
      <c r="AM165" s="438">
        <v>0</v>
      </c>
      <c r="AN165" s="438">
        <v>0</v>
      </c>
      <c r="AO165" s="438">
        <v>0</v>
      </c>
      <c r="AP165" s="438">
        <v>0</v>
      </c>
      <c r="AQ165" s="438">
        <v>0</v>
      </c>
      <c r="AR165" s="438">
        <v>0</v>
      </c>
      <c r="AS165" s="438">
        <v>0</v>
      </c>
      <c r="AT165" s="438">
        <v>0</v>
      </c>
      <c r="AU165" s="438">
        <v>0</v>
      </c>
      <c r="AV165" s="438">
        <v>0</v>
      </c>
      <c r="AW165" s="438">
        <v>1285395</v>
      </c>
      <c r="AX165" s="438">
        <v>1256481</v>
      </c>
      <c r="AY165" s="438">
        <v>0</v>
      </c>
      <c r="AZ165" s="438">
        <v>59459</v>
      </c>
      <c r="BA165" s="438">
        <v>2</v>
      </c>
      <c r="BB165" s="438">
        <v>0</v>
      </c>
      <c r="BC165" s="438">
        <v>0</v>
      </c>
      <c r="BD165" s="438">
        <v>0</v>
      </c>
      <c r="BE165" s="438">
        <v>0</v>
      </c>
      <c r="BF165" s="438">
        <v>1070447</v>
      </c>
      <c r="BG165" s="438">
        <v>0</v>
      </c>
      <c r="BH165" s="438">
        <v>98.778000000000006</v>
      </c>
      <c r="BI165" s="438">
        <v>27164</v>
      </c>
      <c r="BJ165" s="438">
        <v>12</v>
      </c>
      <c r="BK165" s="438">
        <v>0</v>
      </c>
      <c r="BL165" s="438">
        <v>0</v>
      </c>
      <c r="BM165" s="438">
        <v>0</v>
      </c>
      <c r="BN165" s="438">
        <v>0</v>
      </c>
      <c r="BO165" s="438">
        <v>0</v>
      </c>
      <c r="BP165" s="438">
        <v>0</v>
      </c>
      <c r="BQ165" s="437">
        <v>5392</v>
      </c>
      <c r="BR165" s="438">
        <v>1</v>
      </c>
      <c r="BS165" s="438">
        <v>0</v>
      </c>
      <c r="BT165" s="438">
        <v>0</v>
      </c>
      <c r="BU165" s="438">
        <v>0</v>
      </c>
      <c r="BV165" s="438">
        <v>0</v>
      </c>
      <c r="BW165" s="438">
        <v>0</v>
      </c>
      <c r="BX165" s="438">
        <v>0</v>
      </c>
      <c r="BY165" s="438">
        <v>0</v>
      </c>
      <c r="BZ165" s="438">
        <v>0</v>
      </c>
      <c r="CA165" s="438">
        <v>0</v>
      </c>
      <c r="CB165" s="438">
        <v>0</v>
      </c>
      <c r="CC165" s="438">
        <v>0</v>
      </c>
      <c r="CG165" s="438">
        <v>0</v>
      </c>
      <c r="CH165" s="438">
        <v>1750</v>
      </c>
      <c r="CI165" s="438">
        <v>0</v>
      </c>
      <c r="CJ165" s="438">
        <v>4</v>
      </c>
      <c r="CK165" s="438">
        <v>0</v>
      </c>
      <c r="CL165" s="438">
        <v>0</v>
      </c>
      <c r="CN165" s="438">
        <v>0</v>
      </c>
      <c r="CO165" s="438">
        <v>1</v>
      </c>
      <c r="CP165" s="438">
        <v>9.7000000000000003E-2</v>
      </c>
      <c r="CQ165" s="438">
        <v>3</v>
      </c>
      <c r="CR165" s="438">
        <v>130.16</v>
      </c>
      <c r="CS165" s="438">
        <v>0</v>
      </c>
      <c r="CT165" s="438">
        <v>0</v>
      </c>
      <c r="CU165" s="438">
        <v>0</v>
      </c>
      <c r="CV165" s="438">
        <v>0</v>
      </c>
      <c r="CW165" s="438">
        <v>0</v>
      </c>
      <c r="CX165" s="438">
        <v>0</v>
      </c>
      <c r="CY165" s="438">
        <v>0</v>
      </c>
      <c r="CZ165" s="438">
        <v>0</v>
      </c>
      <c r="DA165" s="438">
        <v>1</v>
      </c>
      <c r="DB165" s="438">
        <v>638393</v>
      </c>
      <c r="DC165" s="438">
        <v>0</v>
      </c>
      <c r="DD165" s="438">
        <v>5</v>
      </c>
      <c r="DE165" s="438">
        <v>95974</v>
      </c>
      <c r="DF165" s="438">
        <v>97504</v>
      </c>
      <c r="DG165" s="438">
        <v>73.33</v>
      </c>
      <c r="DH165" s="438">
        <v>0</v>
      </c>
      <c r="DI165" s="438">
        <v>1530</v>
      </c>
      <c r="DK165" s="437">
        <v>5392</v>
      </c>
      <c r="DL165" s="438">
        <v>0</v>
      </c>
      <c r="DM165" s="438">
        <v>75359</v>
      </c>
      <c r="DN165" s="438">
        <v>0</v>
      </c>
      <c r="DO165" s="438">
        <v>0</v>
      </c>
      <c r="DP165" s="438">
        <v>0</v>
      </c>
      <c r="DQ165" s="438">
        <v>0</v>
      </c>
      <c r="DR165" s="438">
        <v>0</v>
      </c>
      <c r="DS165" s="438">
        <v>0</v>
      </c>
      <c r="DT165" s="438">
        <v>0</v>
      </c>
      <c r="DU165" s="438">
        <v>0</v>
      </c>
      <c r="DV165" s="438">
        <v>0</v>
      </c>
      <c r="DW165" s="438">
        <v>0</v>
      </c>
      <c r="DX165" s="438">
        <v>0</v>
      </c>
      <c r="DY165" s="438">
        <v>0</v>
      </c>
      <c r="DZ165" s="438">
        <v>0</v>
      </c>
      <c r="EA165" s="438">
        <v>0</v>
      </c>
      <c r="EB165" s="438">
        <v>0</v>
      </c>
      <c r="EC165" s="438">
        <v>10.436999999999999</v>
      </c>
      <c r="ED165" s="438">
        <v>75130</v>
      </c>
      <c r="EE165" s="438">
        <v>0</v>
      </c>
      <c r="EF165" s="438">
        <v>0</v>
      </c>
      <c r="EG165" s="438">
        <v>0</v>
      </c>
      <c r="EH165" s="438">
        <v>229</v>
      </c>
      <c r="EI165" s="438">
        <v>0</v>
      </c>
      <c r="EJ165" s="438">
        <v>0</v>
      </c>
      <c r="EK165" s="438">
        <v>0</v>
      </c>
      <c r="EL165" s="438">
        <v>0</v>
      </c>
      <c r="EM165" s="438">
        <v>0</v>
      </c>
      <c r="EN165" s="438">
        <v>7.0000000000000001E-3</v>
      </c>
      <c r="EO165" s="438">
        <v>0</v>
      </c>
      <c r="EP165" s="438">
        <v>0</v>
      </c>
      <c r="EQ165" s="438">
        <v>7.0000000000000001E-3</v>
      </c>
      <c r="ER165" s="438">
        <v>0</v>
      </c>
      <c r="ES165" s="438">
        <v>3.5000000000000003E-2</v>
      </c>
      <c r="ET165" s="438">
        <v>1750</v>
      </c>
      <c r="EU165" s="438">
        <v>59459</v>
      </c>
      <c r="EV165" s="438">
        <v>0</v>
      </c>
      <c r="EW165" s="438">
        <v>0</v>
      </c>
      <c r="EX165" s="438">
        <v>0</v>
      </c>
      <c r="EZ165" s="438">
        <v>1067461</v>
      </c>
      <c r="FA165" s="438">
        <v>0</v>
      </c>
      <c r="FB165" s="438">
        <v>1126920</v>
      </c>
      <c r="FC165" s="438">
        <v>0.97334900000000002</v>
      </c>
      <c r="FD165" s="438">
        <v>0</v>
      </c>
      <c r="FE165" s="438">
        <v>153935</v>
      </c>
      <c r="FF165" s="438">
        <v>35085</v>
      </c>
      <c r="FG165" s="437">
        <v>5.7854999999999997E-2</v>
      </c>
      <c r="FH165" s="437">
        <v>5.2366000000000003E-2</v>
      </c>
      <c r="FI165" s="438">
        <v>0</v>
      </c>
      <c r="FJ165" s="438">
        <v>0</v>
      </c>
      <c r="FK165" s="438">
        <v>209.702</v>
      </c>
      <c r="FL165" s="438">
        <v>1317690</v>
      </c>
      <c r="FM165" s="438">
        <v>0</v>
      </c>
      <c r="FN165" s="438">
        <v>0</v>
      </c>
      <c r="FO165" s="438">
        <v>0</v>
      </c>
      <c r="FP165" s="438">
        <v>0</v>
      </c>
      <c r="FQ165" s="438">
        <v>0</v>
      </c>
      <c r="FR165" s="438">
        <v>0</v>
      </c>
      <c r="FS165" s="438">
        <v>0</v>
      </c>
      <c r="FT165" s="438">
        <v>0</v>
      </c>
      <c r="FU165" s="438">
        <v>0</v>
      </c>
      <c r="FV165" s="438">
        <v>0</v>
      </c>
      <c r="FW165" s="438">
        <v>0</v>
      </c>
      <c r="FX165" s="438">
        <v>0</v>
      </c>
      <c r="FY165" s="438">
        <v>0</v>
      </c>
      <c r="FZ165" s="438">
        <v>0</v>
      </c>
      <c r="GA165" s="438">
        <v>0</v>
      </c>
      <c r="GB165" s="438">
        <v>287993</v>
      </c>
      <c r="GC165" s="438">
        <v>287993</v>
      </c>
      <c r="GD165" s="438">
        <v>32.598999999999997</v>
      </c>
      <c r="GF165" s="438">
        <v>0</v>
      </c>
      <c r="GG165" s="438">
        <v>0</v>
      </c>
      <c r="GH165" s="438">
        <v>0</v>
      </c>
      <c r="GI165" s="438">
        <v>0</v>
      </c>
      <c r="GJ165" s="438">
        <v>0</v>
      </c>
      <c r="GK165" s="438">
        <v>4895.4960000000001</v>
      </c>
      <c r="GL165" s="438">
        <v>4273</v>
      </c>
      <c r="GM165" s="438">
        <v>0</v>
      </c>
      <c r="GN165" s="438">
        <v>0</v>
      </c>
      <c r="GO165" s="438">
        <v>0</v>
      </c>
      <c r="GP165" s="438">
        <v>1315940</v>
      </c>
      <c r="GQ165" s="438">
        <v>1315940</v>
      </c>
      <c r="GR165" s="438">
        <v>0</v>
      </c>
      <c r="GS165" s="438">
        <v>0</v>
      </c>
      <c r="GT165" s="438">
        <v>0</v>
      </c>
      <c r="HB165" s="438">
        <v>0</v>
      </c>
      <c r="HC165" s="437">
        <v>6.0754000000000002E-2</v>
      </c>
      <c r="HD165" s="438">
        <v>0</v>
      </c>
    </row>
    <row r="166" spans="1:212" x14ac:dyDescent="0.2">
      <c r="A166" s="438">
        <v>25836</v>
      </c>
      <c r="B166" s="442">
        <v>193801</v>
      </c>
      <c r="C166" s="438">
        <v>9</v>
      </c>
      <c r="D166" s="438">
        <v>2020</v>
      </c>
      <c r="E166" s="438">
        <v>5392</v>
      </c>
      <c r="F166" s="438">
        <v>0</v>
      </c>
      <c r="G166" s="438">
        <v>202.76499999999999</v>
      </c>
      <c r="H166" s="438">
        <v>118.32299999999999</v>
      </c>
      <c r="I166" s="438">
        <v>118.32299999999999</v>
      </c>
      <c r="J166" s="438">
        <v>202.76499999999999</v>
      </c>
      <c r="K166" s="438">
        <v>0</v>
      </c>
      <c r="L166" s="437">
        <v>6544</v>
      </c>
      <c r="M166" s="438">
        <v>0</v>
      </c>
      <c r="N166" s="438">
        <v>0</v>
      </c>
      <c r="P166" s="438">
        <v>205.44800000000001</v>
      </c>
      <c r="Q166" s="438">
        <v>0</v>
      </c>
      <c r="R166" s="438">
        <v>50866</v>
      </c>
      <c r="S166" s="437">
        <v>247.58699999999999</v>
      </c>
      <c r="U166" s="438">
        <v>0</v>
      </c>
      <c r="V166" s="438">
        <v>8.0749999999999993</v>
      </c>
      <c r="W166" s="438">
        <v>5284</v>
      </c>
      <c r="X166" s="438">
        <v>5284</v>
      </c>
      <c r="Z166" s="438">
        <v>0</v>
      </c>
      <c r="AA166" s="438">
        <v>1</v>
      </c>
      <c r="AB166" s="438">
        <v>1</v>
      </c>
      <c r="AC166" s="438">
        <v>0</v>
      </c>
      <c r="AD166" s="438" t="s">
        <v>332</v>
      </c>
      <c r="AE166" s="438">
        <v>0</v>
      </c>
      <c r="AH166" s="438">
        <v>0</v>
      </c>
      <c r="AI166" s="438">
        <v>0</v>
      </c>
      <c r="AJ166" s="437">
        <v>5105</v>
      </c>
      <c r="AK166" s="438" t="s">
        <v>561</v>
      </c>
      <c r="AL166" s="438" t="s">
        <v>77</v>
      </c>
      <c r="AM166" s="438">
        <v>0</v>
      </c>
      <c r="AN166" s="438">
        <v>0</v>
      </c>
      <c r="AO166" s="438">
        <v>0</v>
      </c>
      <c r="AP166" s="438">
        <v>0</v>
      </c>
      <c r="AQ166" s="438">
        <v>0</v>
      </c>
      <c r="AR166" s="438">
        <v>0</v>
      </c>
      <c r="AS166" s="438">
        <v>0</v>
      </c>
      <c r="AT166" s="438">
        <v>0</v>
      </c>
      <c r="AU166" s="438">
        <v>0</v>
      </c>
      <c r="AV166" s="438">
        <v>0</v>
      </c>
      <c r="AW166" s="438">
        <v>3557443</v>
      </c>
      <c r="AX166" s="438">
        <v>3530497</v>
      </c>
      <c r="AY166" s="438">
        <v>0</v>
      </c>
      <c r="AZ166" s="438">
        <v>64687</v>
      </c>
      <c r="BA166" s="438">
        <v>25.75</v>
      </c>
      <c r="BB166" s="438">
        <v>785</v>
      </c>
      <c r="BC166" s="438">
        <v>785</v>
      </c>
      <c r="BD166" s="438">
        <v>1</v>
      </c>
      <c r="BE166" s="438">
        <v>0</v>
      </c>
      <c r="BF166" s="438">
        <v>2904075</v>
      </c>
      <c r="BG166" s="438">
        <v>0</v>
      </c>
      <c r="BH166" s="438">
        <v>50.259</v>
      </c>
      <c r="BI166" s="438">
        <v>13821</v>
      </c>
      <c r="BJ166" s="438">
        <v>12</v>
      </c>
      <c r="BK166" s="438">
        <v>0</v>
      </c>
      <c r="BL166" s="438">
        <v>0</v>
      </c>
      <c r="BM166" s="438">
        <v>0</v>
      </c>
      <c r="BN166" s="438">
        <v>0</v>
      </c>
      <c r="BO166" s="438">
        <v>0</v>
      </c>
      <c r="BP166" s="438">
        <v>0</v>
      </c>
      <c r="BQ166" s="437">
        <v>5392</v>
      </c>
      <c r="BR166" s="438">
        <v>1</v>
      </c>
      <c r="BS166" s="438">
        <v>0</v>
      </c>
      <c r="BT166" s="438">
        <v>0</v>
      </c>
      <c r="BU166" s="438">
        <v>0</v>
      </c>
      <c r="BV166" s="438">
        <v>0</v>
      </c>
      <c r="BW166" s="438">
        <v>0</v>
      </c>
      <c r="BX166" s="438">
        <v>0</v>
      </c>
      <c r="BY166" s="438">
        <v>0</v>
      </c>
      <c r="BZ166" s="438">
        <v>0</v>
      </c>
      <c r="CA166" s="438">
        <v>0</v>
      </c>
      <c r="CB166" s="438">
        <v>0</v>
      </c>
      <c r="CC166" s="438">
        <v>0</v>
      </c>
      <c r="CG166" s="438">
        <v>0</v>
      </c>
      <c r="CH166" s="438">
        <v>13125</v>
      </c>
      <c r="CI166" s="438">
        <v>0</v>
      </c>
      <c r="CJ166" s="438">
        <v>4</v>
      </c>
      <c r="CK166" s="438">
        <v>0</v>
      </c>
      <c r="CL166" s="438">
        <v>0</v>
      </c>
      <c r="CN166" s="438">
        <v>0</v>
      </c>
      <c r="CO166" s="438">
        <v>1</v>
      </c>
      <c r="CP166" s="438">
        <v>0</v>
      </c>
      <c r="CQ166" s="438">
        <v>1</v>
      </c>
      <c r="CR166" s="438">
        <v>202.76499999999999</v>
      </c>
      <c r="CS166" s="438">
        <v>0</v>
      </c>
      <c r="CT166" s="438">
        <v>0</v>
      </c>
      <c r="CU166" s="438">
        <v>0</v>
      </c>
      <c r="CV166" s="438">
        <v>0</v>
      </c>
      <c r="CW166" s="438">
        <v>0</v>
      </c>
      <c r="CX166" s="438">
        <v>0</v>
      </c>
      <c r="CY166" s="438">
        <v>0</v>
      </c>
      <c r="CZ166" s="438">
        <v>0</v>
      </c>
      <c r="DA166" s="438">
        <v>1</v>
      </c>
      <c r="DB166" s="438">
        <v>774306</v>
      </c>
      <c r="DC166" s="438">
        <v>0</v>
      </c>
      <c r="DD166" s="438">
        <v>26.75</v>
      </c>
      <c r="DE166" s="438">
        <v>294048</v>
      </c>
      <c r="DF166" s="438">
        <v>294048</v>
      </c>
      <c r="DG166" s="438">
        <v>224.67</v>
      </c>
      <c r="DH166" s="438">
        <v>0</v>
      </c>
      <c r="DI166" s="438">
        <v>0</v>
      </c>
      <c r="DK166" s="437">
        <v>5392</v>
      </c>
      <c r="DL166" s="438">
        <v>0</v>
      </c>
      <c r="DM166" s="438">
        <v>1786157</v>
      </c>
      <c r="DN166" s="438">
        <v>0</v>
      </c>
      <c r="DO166" s="438">
        <v>0</v>
      </c>
      <c r="DP166" s="438">
        <v>0</v>
      </c>
      <c r="DQ166" s="438">
        <v>0</v>
      </c>
      <c r="DR166" s="438">
        <v>0</v>
      </c>
      <c r="DS166" s="438">
        <v>0</v>
      </c>
      <c r="DT166" s="438">
        <v>0</v>
      </c>
      <c r="DU166" s="438">
        <v>0</v>
      </c>
      <c r="DV166" s="438">
        <v>0</v>
      </c>
      <c r="DW166" s="438">
        <v>0</v>
      </c>
      <c r="DX166" s="438">
        <v>0</v>
      </c>
      <c r="DY166" s="438">
        <v>0</v>
      </c>
      <c r="DZ166" s="438">
        <v>0</v>
      </c>
      <c r="EA166" s="438">
        <v>1E-3</v>
      </c>
      <c r="EB166" s="438">
        <v>0</v>
      </c>
      <c r="EC166" s="438">
        <v>2.7170000000000001</v>
      </c>
      <c r="ED166" s="438">
        <v>19558</v>
      </c>
      <c r="EE166" s="438">
        <v>0</v>
      </c>
      <c r="EF166" s="438">
        <v>0</v>
      </c>
      <c r="EG166" s="438">
        <v>0</v>
      </c>
      <c r="EH166" s="438">
        <v>260772</v>
      </c>
      <c r="EI166" s="438">
        <v>1505827</v>
      </c>
      <c r="EJ166" s="438">
        <v>57.527000000000001</v>
      </c>
      <c r="EK166" s="438">
        <v>12.553000000000001</v>
      </c>
      <c r="EL166" s="438">
        <v>0</v>
      </c>
      <c r="EM166" s="438">
        <v>0</v>
      </c>
      <c r="EN166" s="438">
        <v>0.437</v>
      </c>
      <c r="EO166" s="438">
        <v>0</v>
      </c>
      <c r="EP166" s="438">
        <v>0</v>
      </c>
      <c r="EQ166" s="438">
        <v>70.518000000000001</v>
      </c>
      <c r="ER166" s="438">
        <v>0</v>
      </c>
      <c r="ES166" s="438">
        <v>39.848999999999997</v>
      </c>
      <c r="ET166" s="438">
        <v>13125</v>
      </c>
      <c r="EU166" s="438">
        <v>64687</v>
      </c>
      <c r="EV166" s="438">
        <v>0</v>
      </c>
      <c r="EW166" s="438">
        <v>0</v>
      </c>
      <c r="EX166" s="438">
        <v>0</v>
      </c>
      <c r="EZ166" s="438">
        <v>3017694</v>
      </c>
      <c r="FA166" s="438">
        <v>0</v>
      </c>
      <c r="FB166" s="438">
        <v>3082381</v>
      </c>
      <c r="FC166" s="438">
        <v>0.97334900000000002</v>
      </c>
      <c r="FD166" s="438">
        <v>0</v>
      </c>
      <c r="FE166" s="438">
        <v>417619</v>
      </c>
      <c r="FF166" s="438">
        <v>95184</v>
      </c>
      <c r="FG166" s="437">
        <v>5.7854999999999997E-2</v>
      </c>
      <c r="FH166" s="437">
        <v>5.2366000000000003E-2</v>
      </c>
      <c r="FI166" s="438">
        <v>0</v>
      </c>
      <c r="FJ166" s="438">
        <v>0</v>
      </c>
      <c r="FK166" s="438">
        <v>568.91300000000001</v>
      </c>
      <c r="FL166" s="438">
        <v>3608309</v>
      </c>
      <c r="FM166" s="438">
        <v>0</v>
      </c>
      <c r="FN166" s="438">
        <v>0</v>
      </c>
      <c r="FO166" s="438">
        <v>84970</v>
      </c>
      <c r="FP166" s="438">
        <v>0</v>
      </c>
      <c r="FQ166" s="438">
        <v>84970</v>
      </c>
      <c r="FR166" s="438">
        <v>84970</v>
      </c>
      <c r="FS166" s="438">
        <v>0</v>
      </c>
      <c r="FT166" s="438">
        <v>0</v>
      </c>
      <c r="FU166" s="438">
        <v>0</v>
      </c>
      <c r="FV166" s="438">
        <v>0</v>
      </c>
      <c r="FW166" s="438">
        <v>0</v>
      </c>
      <c r="FX166" s="438">
        <v>0</v>
      </c>
      <c r="FY166" s="438">
        <v>0</v>
      </c>
      <c r="FZ166" s="438">
        <v>0</v>
      </c>
      <c r="GA166" s="438">
        <v>0</v>
      </c>
      <c r="GB166" s="438">
        <v>123010</v>
      </c>
      <c r="GC166" s="438">
        <v>123010</v>
      </c>
      <c r="GD166" s="438">
        <v>13.923999999999999</v>
      </c>
      <c r="GF166" s="438">
        <v>0</v>
      </c>
      <c r="GG166" s="438">
        <v>0</v>
      </c>
      <c r="GH166" s="438">
        <v>0</v>
      </c>
      <c r="GI166" s="438">
        <v>0</v>
      </c>
      <c r="GJ166" s="438">
        <v>0</v>
      </c>
      <c r="GK166" s="438">
        <v>4713.9409999999998</v>
      </c>
      <c r="GL166" s="438">
        <v>11600</v>
      </c>
      <c r="GM166" s="438">
        <v>0</v>
      </c>
      <c r="GN166" s="438">
        <v>4162</v>
      </c>
      <c r="GO166" s="438">
        <v>0</v>
      </c>
      <c r="GP166" s="438">
        <v>3595184</v>
      </c>
      <c r="GQ166" s="438">
        <v>3595184</v>
      </c>
      <c r="GR166" s="438">
        <v>0</v>
      </c>
      <c r="GS166" s="438">
        <v>0</v>
      </c>
      <c r="GT166" s="438">
        <v>0</v>
      </c>
      <c r="HB166" s="438">
        <v>0</v>
      </c>
      <c r="HC166" s="437">
        <v>6.0754000000000002E-2</v>
      </c>
      <c r="HD166" s="438">
        <v>0</v>
      </c>
    </row>
    <row r="167" spans="1:212" x14ac:dyDescent="0.2">
      <c r="A167" s="438">
        <v>25836</v>
      </c>
      <c r="B167" s="442">
        <v>212801</v>
      </c>
      <c r="C167" s="438">
        <v>9</v>
      </c>
      <c r="D167" s="438">
        <v>2020</v>
      </c>
      <c r="E167" s="438">
        <v>5392</v>
      </c>
      <c r="F167" s="438">
        <v>0</v>
      </c>
      <c r="G167" s="438">
        <v>1824.7170000000001</v>
      </c>
      <c r="H167" s="438">
        <v>1647.211</v>
      </c>
      <c r="I167" s="438">
        <v>1647.211</v>
      </c>
      <c r="J167" s="438">
        <v>1824.7170000000001</v>
      </c>
      <c r="K167" s="438">
        <v>0</v>
      </c>
      <c r="L167" s="437">
        <v>6544</v>
      </c>
      <c r="M167" s="438">
        <v>0</v>
      </c>
      <c r="N167" s="438">
        <v>0</v>
      </c>
      <c r="P167" s="438">
        <v>1823.74</v>
      </c>
      <c r="Q167" s="438">
        <v>0</v>
      </c>
      <c r="R167" s="438">
        <v>451534</v>
      </c>
      <c r="S167" s="437">
        <v>247.58699999999999</v>
      </c>
      <c r="U167" s="438">
        <v>0</v>
      </c>
      <c r="V167" s="438">
        <v>107.67700000000001</v>
      </c>
      <c r="W167" s="438">
        <v>70464</v>
      </c>
      <c r="X167" s="438">
        <v>70464</v>
      </c>
      <c r="Z167" s="438">
        <v>0</v>
      </c>
      <c r="AA167" s="438">
        <v>1</v>
      </c>
      <c r="AB167" s="438">
        <v>1</v>
      </c>
      <c r="AC167" s="438">
        <v>0</v>
      </c>
      <c r="AD167" s="438" t="s">
        <v>332</v>
      </c>
      <c r="AE167" s="438">
        <v>0</v>
      </c>
      <c r="AH167" s="438">
        <v>0</v>
      </c>
      <c r="AI167" s="438">
        <v>0</v>
      </c>
      <c r="AJ167" s="437">
        <v>5105</v>
      </c>
      <c r="AK167" s="438" t="s">
        <v>561</v>
      </c>
      <c r="AL167" s="438" t="s">
        <v>78</v>
      </c>
      <c r="AM167" s="438">
        <v>0</v>
      </c>
      <c r="AN167" s="438">
        <v>0</v>
      </c>
      <c r="AO167" s="438">
        <v>0</v>
      </c>
      <c r="AP167" s="438">
        <v>0</v>
      </c>
      <c r="AQ167" s="438">
        <v>0</v>
      </c>
      <c r="AR167" s="438">
        <v>0</v>
      </c>
      <c r="AS167" s="438">
        <v>0</v>
      </c>
      <c r="AT167" s="438">
        <v>0</v>
      </c>
      <c r="AU167" s="438">
        <v>0</v>
      </c>
      <c r="AV167" s="438">
        <v>0</v>
      </c>
      <c r="AW167" s="438">
        <v>16555038</v>
      </c>
      <c r="AX167" s="438">
        <v>16338385</v>
      </c>
      <c r="AY167" s="438">
        <v>0</v>
      </c>
      <c r="AZ167" s="438">
        <v>648895</v>
      </c>
      <c r="BA167" s="438">
        <v>38.582999999999998</v>
      </c>
      <c r="BB167" s="438">
        <v>0</v>
      </c>
      <c r="BC167" s="438">
        <v>0</v>
      </c>
      <c r="BD167" s="438">
        <v>0</v>
      </c>
      <c r="BE167" s="438">
        <v>0</v>
      </c>
      <c r="BF167" s="438">
        <v>13945567</v>
      </c>
      <c r="BG167" s="438">
        <v>0</v>
      </c>
      <c r="BH167" s="438">
        <v>717.67499999999995</v>
      </c>
      <c r="BI167" s="438">
        <v>197361</v>
      </c>
      <c r="BJ167" s="438">
        <v>12</v>
      </c>
      <c r="BK167" s="438">
        <v>0</v>
      </c>
      <c r="BL167" s="438">
        <v>0</v>
      </c>
      <c r="BM167" s="438">
        <v>0</v>
      </c>
      <c r="BN167" s="438">
        <v>0</v>
      </c>
      <c r="BO167" s="438">
        <v>0</v>
      </c>
      <c r="BP167" s="438">
        <v>0</v>
      </c>
      <c r="BQ167" s="437">
        <v>5392</v>
      </c>
      <c r="BR167" s="438">
        <v>1</v>
      </c>
      <c r="BS167" s="438">
        <v>0</v>
      </c>
      <c r="BT167" s="438">
        <v>0</v>
      </c>
      <c r="BU167" s="438">
        <v>0</v>
      </c>
      <c r="BV167" s="438">
        <v>0</v>
      </c>
      <c r="BW167" s="438">
        <v>0</v>
      </c>
      <c r="BX167" s="438">
        <v>0</v>
      </c>
      <c r="BY167" s="438">
        <v>0</v>
      </c>
      <c r="BZ167" s="438">
        <v>0</v>
      </c>
      <c r="CA167" s="438">
        <v>0</v>
      </c>
      <c r="CB167" s="438">
        <v>0</v>
      </c>
      <c r="CC167" s="438">
        <v>0</v>
      </c>
      <c r="CG167" s="438">
        <v>0</v>
      </c>
      <c r="CH167" s="438">
        <v>19292</v>
      </c>
      <c r="CI167" s="438">
        <v>0</v>
      </c>
      <c r="CJ167" s="438">
        <v>4</v>
      </c>
      <c r="CK167" s="438">
        <v>0</v>
      </c>
      <c r="CL167" s="438">
        <v>0</v>
      </c>
      <c r="CN167" s="438">
        <v>0</v>
      </c>
      <c r="CO167" s="438">
        <v>1</v>
      </c>
      <c r="CP167" s="438">
        <v>0</v>
      </c>
      <c r="CQ167" s="438">
        <v>0</v>
      </c>
      <c r="CR167" s="438">
        <v>1824.7170000000001</v>
      </c>
      <c r="CS167" s="438">
        <v>0</v>
      </c>
      <c r="CT167" s="438">
        <v>0</v>
      </c>
      <c r="CU167" s="438">
        <v>0</v>
      </c>
      <c r="CV167" s="438">
        <v>0</v>
      </c>
      <c r="CW167" s="438">
        <v>0</v>
      </c>
      <c r="CX167" s="438">
        <v>0</v>
      </c>
      <c r="CY167" s="438">
        <v>0</v>
      </c>
      <c r="CZ167" s="438">
        <v>0</v>
      </c>
      <c r="DA167" s="438">
        <v>1</v>
      </c>
      <c r="DB167" s="438">
        <v>10779349</v>
      </c>
      <c r="DC167" s="438">
        <v>0</v>
      </c>
      <c r="DD167" s="438">
        <v>38.582999999999998</v>
      </c>
      <c r="DE167" s="438">
        <v>1151090</v>
      </c>
      <c r="DF167" s="438">
        <v>1151090</v>
      </c>
      <c r="DG167" s="438">
        <v>879.5</v>
      </c>
      <c r="DH167" s="438">
        <v>0</v>
      </c>
      <c r="DI167" s="438">
        <v>0</v>
      </c>
      <c r="DK167" s="437">
        <v>5392</v>
      </c>
      <c r="DL167" s="438">
        <v>0</v>
      </c>
      <c r="DM167" s="438">
        <v>1194511</v>
      </c>
      <c r="DN167" s="438">
        <v>0</v>
      </c>
      <c r="DO167" s="438">
        <v>0</v>
      </c>
      <c r="DP167" s="438">
        <v>0</v>
      </c>
      <c r="DQ167" s="438">
        <v>0</v>
      </c>
      <c r="DR167" s="438">
        <v>0</v>
      </c>
      <c r="DS167" s="438">
        <v>0</v>
      </c>
      <c r="DT167" s="438">
        <v>0</v>
      </c>
      <c r="DU167" s="438">
        <v>0</v>
      </c>
      <c r="DV167" s="438">
        <v>0</v>
      </c>
      <c r="DW167" s="438">
        <v>0</v>
      </c>
      <c r="DX167" s="438">
        <v>0</v>
      </c>
      <c r="DY167" s="438">
        <v>0</v>
      </c>
      <c r="DZ167" s="438">
        <v>0</v>
      </c>
      <c r="EA167" s="438">
        <v>0</v>
      </c>
      <c r="EB167" s="438">
        <v>0</v>
      </c>
      <c r="EC167" s="438">
        <v>26.963000000000001</v>
      </c>
      <c r="ED167" s="438">
        <v>194090</v>
      </c>
      <c r="EE167" s="438">
        <v>0</v>
      </c>
      <c r="EF167" s="438">
        <v>0</v>
      </c>
      <c r="EG167" s="438">
        <v>0</v>
      </c>
      <c r="EH167" s="438">
        <v>1000421</v>
      </c>
      <c r="EI167" s="438">
        <v>0</v>
      </c>
      <c r="EJ167" s="438">
        <v>0</v>
      </c>
      <c r="EK167" s="438">
        <v>38.210999999999999</v>
      </c>
      <c r="EL167" s="438">
        <v>0</v>
      </c>
      <c r="EM167" s="438">
        <v>8.7810000000000006</v>
      </c>
      <c r="EN167" s="438">
        <v>2.38</v>
      </c>
      <c r="EO167" s="438">
        <v>0</v>
      </c>
      <c r="EP167" s="438">
        <v>0</v>
      </c>
      <c r="EQ167" s="438">
        <v>49.372</v>
      </c>
      <c r="ER167" s="438">
        <v>0</v>
      </c>
      <c r="ES167" s="438">
        <v>152.876</v>
      </c>
      <c r="ET167" s="438">
        <v>19292</v>
      </c>
      <c r="EU167" s="438">
        <v>648895</v>
      </c>
      <c r="EV167" s="438">
        <v>0</v>
      </c>
      <c r="EW167" s="438">
        <v>0</v>
      </c>
      <c r="EX167" s="438">
        <v>0</v>
      </c>
      <c r="EZ167" s="438">
        <v>13875867</v>
      </c>
      <c r="FA167" s="438">
        <v>0</v>
      </c>
      <c r="FB167" s="438">
        <v>14524762</v>
      </c>
      <c r="FC167" s="438">
        <v>0.97334900000000002</v>
      </c>
      <c r="FD167" s="438">
        <v>0</v>
      </c>
      <c r="FE167" s="438">
        <v>2005435</v>
      </c>
      <c r="FF167" s="438">
        <v>457083</v>
      </c>
      <c r="FG167" s="437">
        <v>5.7854999999999997E-2</v>
      </c>
      <c r="FH167" s="437">
        <v>5.2366000000000003E-2</v>
      </c>
      <c r="FI167" s="438">
        <v>0</v>
      </c>
      <c r="FJ167" s="438">
        <v>0</v>
      </c>
      <c r="FK167" s="438">
        <v>2731.9609999999998</v>
      </c>
      <c r="FL167" s="438">
        <v>17006572</v>
      </c>
      <c r="FM167" s="438">
        <v>0</v>
      </c>
      <c r="FN167" s="438">
        <v>0</v>
      </c>
      <c r="FO167" s="438">
        <v>0</v>
      </c>
      <c r="FP167" s="438">
        <v>0</v>
      </c>
      <c r="FQ167" s="438">
        <v>0</v>
      </c>
      <c r="FR167" s="438">
        <v>0</v>
      </c>
      <c r="FS167" s="438">
        <v>0</v>
      </c>
      <c r="FT167" s="438">
        <v>0</v>
      </c>
      <c r="FU167" s="438">
        <v>0</v>
      </c>
      <c r="FV167" s="438">
        <v>0</v>
      </c>
      <c r="FW167" s="438">
        <v>0</v>
      </c>
      <c r="FX167" s="438">
        <v>0</v>
      </c>
      <c r="FY167" s="438">
        <v>0</v>
      </c>
      <c r="FZ167" s="438">
        <v>0</v>
      </c>
      <c r="GA167" s="438">
        <v>0</v>
      </c>
      <c r="GB167" s="438">
        <v>1131987</v>
      </c>
      <c r="GC167" s="438">
        <v>1131987</v>
      </c>
      <c r="GD167" s="438">
        <v>128.13399999999999</v>
      </c>
      <c r="GF167" s="438">
        <v>0</v>
      </c>
      <c r="GG167" s="438">
        <v>0</v>
      </c>
      <c r="GH167" s="438">
        <v>0</v>
      </c>
      <c r="GI167" s="438">
        <v>0</v>
      </c>
      <c r="GJ167" s="438">
        <v>0</v>
      </c>
      <c r="GK167" s="438">
        <v>4668.5519999999997</v>
      </c>
      <c r="GL167" s="438">
        <v>6616</v>
      </c>
      <c r="GM167" s="438">
        <v>0</v>
      </c>
      <c r="GN167" s="438">
        <v>0</v>
      </c>
      <c r="GO167" s="438">
        <v>0</v>
      </c>
      <c r="GP167" s="438">
        <v>16987280</v>
      </c>
      <c r="GQ167" s="438">
        <v>16987280</v>
      </c>
      <c r="GR167" s="438">
        <v>0</v>
      </c>
      <c r="GS167" s="438">
        <v>0</v>
      </c>
      <c r="GT167" s="438">
        <v>0</v>
      </c>
      <c r="HB167" s="438">
        <v>0</v>
      </c>
      <c r="HC167" s="437">
        <v>6.0754000000000002E-2</v>
      </c>
      <c r="HD167" s="438">
        <v>0</v>
      </c>
    </row>
    <row r="168" spans="1:212" x14ac:dyDescent="0.2">
      <c r="A168" s="438">
        <v>25836</v>
      </c>
      <c r="B168" s="442">
        <v>212804</v>
      </c>
      <c r="C168" s="438">
        <v>9</v>
      </c>
      <c r="D168" s="438">
        <v>2020</v>
      </c>
      <c r="E168" s="438">
        <v>5392</v>
      </c>
      <c r="F168" s="438">
        <v>0</v>
      </c>
      <c r="G168" s="438">
        <v>714.76700000000005</v>
      </c>
      <c r="H168" s="438">
        <v>635.05100000000004</v>
      </c>
      <c r="I168" s="438">
        <v>635.05100000000004</v>
      </c>
      <c r="J168" s="438">
        <v>714.76700000000005</v>
      </c>
      <c r="K168" s="438">
        <v>0</v>
      </c>
      <c r="L168" s="437">
        <v>6544</v>
      </c>
      <c r="M168" s="438">
        <v>0</v>
      </c>
      <c r="N168" s="438">
        <v>0</v>
      </c>
      <c r="P168" s="438">
        <v>716.4</v>
      </c>
      <c r="Q168" s="438">
        <v>0</v>
      </c>
      <c r="R168" s="438">
        <v>177371</v>
      </c>
      <c r="S168" s="437">
        <v>247.58699999999999</v>
      </c>
      <c r="U168" s="438">
        <v>0</v>
      </c>
      <c r="V168" s="438">
        <v>10.5</v>
      </c>
      <c r="W168" s="438">
        <v>6871</v>
      </c>
      <c r="X168" s="438">
        <v>6871</v>
      </c>
      <c r="Z168" s="438">
        <v>0</v>
      </c>
      <c r="AA168" s="438">
        <v>1</v>
      </c>
      <c r="AB168" s="438">
        <v>1</v>
      </c>
      <c r="AC168" s="438">
        <v>0</v>
      </c>
      <c r="AD168" s="438" t="s">
        <v>332</v>
      </c>
      <c r="AE168" s="438">
        <v>0</v>
      </c>
      <c r="AH168" s="438">
        <v>0</v>
      </c>
      <c r="AI168" s="438">
        <v>0</v>
      </c>
      <c r="AJ168" s="437">
        <v>5105</v>
      </c>
      <c r="AK168" s="438" t="s">
        <v>561</v>
      </c>
      <c r="AL168" s="438" t="s">
        <v>659</v>
      </c>
      <c r="AM168" s="438">
        <v>0</v>
      </c>
      <c r="AN168" s="438">
        <v>0</v>
      </c>
      <c r="AO168" s="438">
        <v>0</v>
      </c>
      <c r="AP168" s="438">
        <v>0</v>
      </c>
      <c r="AQ168" s="438">
        <v>0</v>
      </c>
      <c r="AR168" s="438">
        <v>0</v>
      </c>
      <c r="AS168" s="438">
        <v>0</v>
      </c>
      <c r="AT168" s="438">
        <v>0</v>
      </c>
      <c r="AU168" s="438">
        <v>0</v>
      </c>
      <c r="AV168" s="438">
        <v>0</v>
      </c>
      <c r="AW168" s="438">
        <v>6097353</v>
      </c>
      <c r="AX168" s="438">
        <v>6044553</v>
      </c>
      <c r="AY168" s="438">
        <v>0</v>
      </c>
      <c r="AZ168" s="438">
        <v>230171</v>
      </c>
      <c r="BA168" s="438">
        <v>0</v>
      </c>
      <c r="BB168" s="438">
        <v>28064</v>
      </c>
      <c r="BC168" s="438">
        <v>28064</v>
      </c>
      <c r="BD168" s="438">
        <v>35.738</v>
      </c>
      <c r="BE168" s="438">
        <v>0</v>
      </c>
      <c r="BF168" s="438">
        <v>5167879</v>
      </c>
      <c r="BG168" s="438">
        <v>0</v>
      </c>
      <c r="BH168" s="438">
        <v>192</v>
      </c>
      <c r="BI168" s="438">
        <v>52800</v>
      </c>
      <c r="BJ168" s="438">
        <v>12</v>
      </c>
      <c r="BK168" s="438">
        <v>0</v>
      </c>
      <c r="BL168" s="438">
        <v>0</v>
      </c>
      <c r="BM168" s="438">
        <v>0</v>
      </c>
      <c r="BN168" s="438">
        <v>0</v>
      </c>
      <c r="BO168" s="438">
        <v>0</v>
      </c>
      <c r="BP168" s="438">
        <v>0</v>
      </c>
      <c r="BQ168" s="437">
        <v>5392</v>
      </c>
      <c r="BR168" s="438">
        <v>1</v>
      </c>
      <c r="BS168" s="438">
        <v>0</v>
      </c>
      <c r="BT168" s="438">
        <v>0</v>
      </c>
      <c r="BU168" s="438">
        <v>0</v>
      </c>
      <c r="BV168" s="438">
        <v>0</v>
      </c>
      <c r="BW168" s="438">
        <v>0</v>
      </c>
      <c r="BX168" s="438">
        <v>0</v>
      </c>
      <c r="BY168" s="438">
        <v>0</v>
      </c>
      <c r="BZ168" s="438">
        <v>0</v>
      </c>
      <c r="CA168" s="438">
        <v>0</v>
      </c>
      <c r="CB168" s="438">
        <v>0</v>
      </c>
      <c r="CC168" s="438">
        <v>0</v>
      </c>
      <c r="CG168" s="438">
        <v>0</v>
      </c>
      <c r="CH168" s="438">
        <v>0</v>
      </c>
      <c r="CI168" s="438">
        <v>0</v>
      </c>
      <c r="CJ168" s="438">
        <v>4</v>
      </c>
      <c r="CK168" s="438">
        <v>0</v>
      </c>
      <c r="CL168" s="438">
        <v>0</v>
      </c>
      <c r="CN168" s="438">
        <v>0</v>
      </c>
      <c r="CO168" s="438">
        <v>1</v>
      </c>
      <c r="CP168" s="438">
        <v>0</v>
      </c>
      <c r="CQ168" s="438">
        <v>0</v>
      </c>
      <c r="CR168" s="438">
        <v>714.76700000000005</v>
      </c>
      <c r="CS168" s="438">
        <v>0</v>
      </c>
      <c r="CT168" s="438">
        <v>0</v>
      </c>
      <c r="CU168" s="438">
        <v>0</v>
      </c>
      <c r="CV168" s="438">
        <v>0</v>
      </c>
      <c r="CW168" s="438">
        <v>0</v>
      </c>
      <c r="CX168" s="438">
        <v>0</v>
      </c>
      <c r="CY168" s="438">
        <v>0</v>
      </c>
      <c r="CZ168" s="438">
        <v>0</v>
      </c>
      <c r="DA168" s="438">
        <v>1</v>
      </c>
      <c r="DB168" s="438">
        <v>4155774</v>
      </c>
      <c r="DC168" s="438">
        <v>0</v>
      </c>
      <c r="DD168" s="438">
        <v>0</v>
      </c>
      <c r="DE168" s="438">
        <v>217261</v>
      </c>
      <c r="DF168" s="438">
        <v>217261</v>
      </c>
      <c r="DG168" s="438">
        <v>166</v>
      </c>
      <c r="DH168" s="438">
        <v>0</v>
      </c>
      <c r="DI168" s="438">
        <v>0</v>
      </c>
      <c r="DK168" s="437">
        <v>5392</v>
      </c>
      <c r="DL168" s="438">
        <v>0</v>
      </c>
      <c r="DM168" s="438">
        <v>274023</v>
      </c>
      <c r="DN168" s="438">
        <v>0</v>
      </c>
      <c r="DO168" s="438">
        <v>0</v>
      </c>
      <c r="DP168" s="438">
        <v>0</v>
      </c>
      <c r="DQ168" s="438">
        <v>0</v>
      </c>
      <c r="DR168" s="438">
        <v>0</v>
      </c>
      <c r="DS168" s="438">
        <v>0</v>
      </c>
      <c r="DT168" s="438">
        <v>0</v>
      </c>
      <c r="DU168" s="438">
        <v>0</v>
      </c>
      <c r="DV168" s="438">
        <v>0</v>
      </c>
      <c r="DW168" s="438">
        <v>0</v>
      </c>
      <c r="DX168" s="438">
        <v>0</v>
      </c>
      <c r="DY168" s="438">
        <v>0</v>
      </c>
      <c r="DZ168" s="438">
        <v>0</v>
      </c>
      <c r="EA168" s="438">
        <v>0</v>
      </c>
      <c r="EB168" s="438">
        <v>0</v>
      </c>
      <c r="EC168" s="438">
        <v>12.3</v>
      </c>
      <c r="ED168" s="438">
        <v>88540</v>
      </c>
      <c r="EE168" s="438">
        <v>0</v>
      </c>
      <c r="EF168" s="438">
        <v>0</v>
      </c>
      <c r="EG168" s="438">
        <v>0</v>
      </c>
      <c r="EH168" s="438">
        <v>185483</v>
      </c>
      <c r="EI168" s="438">
        <v>0</v>
      </c>
      <c r="EJ168" s="438">
        <v>0</v>
      </c>
      <c r="EK168" s="438">
        <v>7.5780000000000003</v>
      </c>
      <c r="EL168" s="438">
        <v>0</v>
      </c>
      <c r="EM168" s="438">
        <v>0</v>
      </c>
      <c r="EN168" s="438">
        <v>1.1220000000000001</v>
      </c>
      <c r="EO168" s="438">
        <v>0</v>
      </c>
      <c r="EP168" s="438">
        <v>0</v>
      </c>
      <c r="EQ168" s="438">
        <v>8.6999999999999993</v>
      </c>
      <c r="ER168" s="438">
        <v>0</v>
      </c>
      <c r="ES168" s="438">
        <v>28.344000000000001</v>
      </c>
      <c r="ET168" s="438">
        <v>0</v>
      </c>
      <c r="EU168" s="438">
        <v>230171</v>
      </c>
      <c r="EV168" s="438">
        <v>0</v>
      </c>
      <c r="EW168" s="438">
        <v>0</v>
      </c>
      <c r="EX168" s="438">
        <v>0</v>
      </c>
      <c r="EZ168" s="438">
        <v>5132006</v>
      </c>
      <c r="FA168" s="438">
        <v>0</v>
      </c>
      <c r="FB168" s="438">
        <v>5362177</v>
      </c>
      <c r="FC168" s="438">
        <v>0.97334900000000002</v>
      </c>
      <c r="FD168" s="438">
        <v>0</v>
      </c>
      <c r="FE168" s="438">
        <v>743164</v>
      </c>
      <c r="FF168" s="438">
        <v>169383</v>
      </c>
      <c r="FG168" s="437">
        <v>5.7854999999999997E-2</v>
      </c>
      <c r="FH168" s="437">
        <v>5.2366000000000003E-2</v>
      </c>
      <c r="FI168" s="438">
        <v>0</v>
      </c>
      <c r="FJ168" s="438">
        <v>0</v>
      </c>
      <c r="FK168" s="438">
        <v>1012.396</v>
      </c>
      <c r="FL168" s="438">
        <v>6274724</v>
      </c>
      <c r="FM168" s="438">
        <v>0</v>
      </c>
      <c r="FN168" s="438">
        <v>0</v>
      </c>
      <c r="FO168" s="438">
        <v>0</v>
      </c>
      <c r="FP168" s="438">
        <v>0</v>
      </c>
      <c r="FQ168" s="438">
        <v>0</v>
      </c>
      <c r="FR168" s="438">
        <v>0</v>
      </c>
      <c r="FS168" s="438">
        <v>0</v>
      </c>
      <c r="FT168" s="438">
        <v>0</v>
      </c>
      <c r="FU168" s="438">
        <v>0</v>
      </c>
      <c r="FV168" s="438">
        <v>0</v>
      </c>
      <c r="FW168" s="438">
        <v>0</v>
      </c>
      <c r="FX168" s="438">
        <v>0</v>
      </c>
      <c r="FY168" s="438">
        <v>0</v>
      </c>
      <c r="FZ168" s="438">
        <v>0</v>
      </c>
      <c r="GA168" s="438">
        <v>0</v>
      </c>
      <c r="GB168" s="438">
        <v>627384</v>
      </c>
      <c r="GC168" s="438">
        <v>627384</v>
      </c>
      <c r="GD168" s="438">
        <v>71.016000000000005</v>
      </c>
      <c r="GF168" s="438">
        <v>0</v>
      </c>
      <c r="GG168" s="438">
        <v>0</v>
      </c>
      <c r="GH168" s="438">
        <v>0</v>
      </c>
      <c r="GI168" s="438">
        <v>0</v>
      </c>
      <c r="GJ168" s="438">
        <v>0</v>
      </c>
      <c r="GK168" s="438">
        <v>4604.6369999999997</v>
      </c>
      <c r="GL168" s="438">
        <v>0</v>
      </c>
      <c r="GM168" s="438">
        <v>0</v>
      </c>
      <c r="GN168" s="438">
        <v>0</v>
      </c>
      <c r="GO168" s="438">
        <v>0</v>
      </c>
      <c r="GP168" s="438">
        <v>6274724</v>
      </c>
      <c r="GQ168" s="438">
        <v>6274724</v>
      </c>
      <c r="GR168" s="438">
        <v>0</v>
      </c>
      <c r="GS168" s="438">
        <v>0</v>
      </c>
      <c r="GT168" s="438">
        <v>0</v>
      </c>
      <c r="HB168" s="438">
        <v>0</v>
      </c>
      <c r="HC168" s="437">
        <v>6.0754000000000002E-2</v>
      </c>
      <c r="HD168" s="438">
        <v>0</v>
      </c>
    </row>
    <row r="169" spans="1:212" x14ac:dyDescent="0.2">
      <c r="A169" s="438">
        <v>25836</v>
      </c>
      <c r="B169" s="442">
        <v>213801</v>
      </c>
      <c r="C169" s="438">
        <v>9</v>
      </c>
      <c r="D169" s="438">
        <v>2020</v>
      </c>
      <c r="E169" s="438">
        <v>5392</v>
      </c>
      <c r="F169" s="438">
        <v>0</v>
      </c>
      <c r="G169" s="438">
        <v>209.947</v>
      </c>
      <c r="H169" s="438">
        <v>176.642</v>
      </c>
      <c r="I169" s="438">
        <v>176.642</v>
      </c>
      <c r="J169" s="438">
        <v>209.947</v>
      </c>
      <c r="K169" s="438">
        <v>0</v>
      </c>
      <c r="L169" s="437">
        <v>6544</v>
      </c>
      <c r="M169" s="438">
        <v>0</v>
      </c>
      <c r="N169" s="438">
        <v>0</v>
      </c>
      <c r="P169" s="438">
        <v>205.715</v>
      </c>
      <c r="Q169" s="438">
        <v>0</v>
      </c>
      <c r="R169" s="438">
        <v>50932</v>
      </c>
      <c r="S169" s="437">
        <v>247.58699999999999</v>
      </c>
      <c r="U169" s="438">
        <v>0</v>
      </c>
      <c r="V169" s="438">
        <v>0</v>
      </c>
      <c r="W169" s="438">
        <v>0</v>
      </c>
      <c r="X169" s="438">
        <v>0</v>
      </c>
      <c r="Z169" s="438">
        <v>0</v>
      </c>
      <c r="AA169" s="438">
        <v>1</v>
      </c>
      <c r="AB169" s="438">
        <v>1</v>
      </c>
      <c r="AC169" s="438">
        <v>0</v>
      </c>
      <c r="AD169" s="438" t="s">
        <v>332</v>
      </c>
      <c r="AE169" s="438">
        <v>0</v>
      </c>
      <c r="AH169" s="438">
        <v>0</v>
      </c>
      <c r="AI169" s="438">
        <v>0</v>
      </c>
      <c r="AJ169" s="437">
        <v>5105</v>
      </c>
      <c r="AK169" s="438" t="s">
        <v>561</v>
      </c>
      <c r="AL169" s="438" t="s">
        <v>79</v>
      </c>
      <c r="AM169" s="438">
        <v>0</v>
      </c>
      <c r="AN169" s="438">
        <v>0</v>
      </c>
      <c r="AO169" s="438">
        <v>0</v>
      </c>
      <c r="AP169" s="438">
        <v>0</v>
      </c>
      <c r="AQ169" s="438">
        <v>0</v>
      </c>
      <c r="AR169" s="438">
        <v>0</v>
      </c>
      <c r="AS169" s="438">
        <v>0</v>
      </c>
      <c r="AT169" s="438">
        <v>0</v>
      </c>
      <c r="AU169" s="438">
        <v>0</v>
      </c>
      <c r="AV169" s="438">
        <v>0</v>
      </c>
      <c r="AW169" s="438">
        <v>2199764</v>
      </c>
      <c r="AX169" s="438">
        <v>2155168</v>
      </c>
      <c r="AY169" s="438">
        <v>0</v>
      </c>
      <c r="AZ169" s="438">
        <v>89694</v>
      </c>
      <c r="BA169" s="438">
        <v>9.6669999999999998</v>
      </c>
      <c r="BB169" s="438">
        <v>0</v>
      </c>
      <c r="BC169" s="438">
        <v>0</v>
      </c>
      <c r="BD169" s="438">
        <v>0</v>
      </c>
      <c r="BE169" s="438">
        <v>0</v>
      </c>
      <c r="BF169" s="438">
        <v>1832368</v>
      </c>
      <c r="BG169" s="438">
        <v>0</v>
      </c>
      <c r="BH169" s="438">
        <v>140.95099999999999</v>
      </c>
      <c r="BI169" s="438">
        <v>38762</v>
      </c>
      <c r="BJ169" s="438">
        <v>12</v>
      </c>
      <c r="BK169" s="438">
        <v>0</v>
      </c>
      <c r="BL169" s="438">
        <v>0</v>
      </c>
      <c r="BM169" s="438">
        <v>0</v>
      </c>
      <c r="BN169" s="438">
        <v>0</v>
      </c>
      <c r="BO169" s="438">
        <v>0</v>
      </c>
      <c r="BP169" s="438">
        <v>0</v>
      </c>
      <c r="BQ169" s="437">
        <v>5392</v>
      </c>
      <c r="BR169" s="438">
        <v>1</v>
      </c>
      <c r="BS169" s="438">
        <v>0</v>
      </c>
      <c r="BT169" s="438">
        <v>0</v>
      </c>
      <c r="BU169" s="438">
        <v>0</v>
      </c>
      <c r="BV169" s="438">
        <v>0</v>
      </c>
      <c r="BW169" s="438">
        <v>0</v>
      </c>
      <c r="BX169" s="438">
        <v>0</v>
      </c>
      <c r="BY169" s="438">
        <v>0</v>
      </c>
      <c r="BZ169" s="438">
        <v>0</v>
      </c>
      <c r="CA169" s="438">
        <v>0</v>
      </c>
      <c r="CB169" s="438">
        <v>0</v>
      </c>
      <c r="CC169" s="438">
        <v>0</v>
      </c>
      <c r="CG169" s="438">
        <v>0</v>
      </c>
      <c r="CH169" s="438">
        <v>5834</v>
      </c>
      <c r="CI169" s="438">
        <v>0</v>
      </c>
      <c r="CJ169" s="438">
        <v>4</v>
      </c>
      <c r="CK169" s="438">
        <v>0</v>
      </c>
      <c r="CL169" s="438">
        <v>0</v>
      </c>
      <c r="CN169" s="438">
        <v>0</v>
      </c>
      <c r="CO169" s="438">
        <v>1</v>
      </c>
      <c r="CP169" s="438">
        <v>0</v>
      </c>
      <c r="CQ169" s="438">
        <v>4</v>
      </c>
      <c r="CR169" s="438">
        <v>209.947</v>
      </c>
      <c r="CS169" s="438">
        <v>0</v>
      </c>
      <c r="CT169" s="438">
        <v>0</v>
      </c>
      <c r="CU169" s="438">
        <v>0</v>
      </c>
      <c r="CV169" s="438">
        <v>0</v>
      </c>
      <c r="CW169" s="438">
        <v>0</v>
      </c>
      <c r="CX169" s="438">
        <v>0</v>
      </c>
      <c r="CY169" s="438">
        <v>0</v>
      </c>
      <c r="CZ169" s="438">
        <v>0</v>
      </c>
      <c r="DA169" s="438">
        <v>1</v>
      </c>
      <c r="DB169" s="438">
        <v>1155945</v>
      </c>
      <c r="DC169" s="438">
        <v>0</v>
      </c>
      <c r="DD169" s="438">
        <v>13.667</v>
      </c>
      <c r="DE169" s="438">
        <v>170144</v>
      </c>
      <c r="DF169" s="438">
        <v>170144</v>
      </c>
      <c r="DG169" s="438">
        <v>130</v>
      </c>
      <c r="DH169" s="438">
        <v>0</v>
      </c>
      <c r="DI169" s="438">
        <v>0</v>
      </c>
      <c r="DK169" s="437">
        <v>5392</v>
      </c>
      <c r="DL169" s="438">
        <v>0</v>
      </c>
      <c r="DM169" s="438">
        <v>327895</v>
      </c>
      <c r="DN169" s="438">
        <v>0</v>
      </c>
      <c r="DO169" s="438">
        <v>0</v>
      </c>
      <c r="DP169" s="438">
        <v>0</v>
      </c>
      <c r="DQ169" s="438">
        <v>0</v>
      </c>
      <c r="DR169" s="438">
        <v>0</v>
      </c>
      <c r="DS169" s="438">
        <v>0</v>
      </c>
      <c r="DT169" s="438">
        <v>0</v>
      </c>
      <c r="DU169" s="438">
        <v>0</v>
      </c>
      <c r="DV169" s="438">
        <v>0</v>
      </c>
      <c r="DW169" s="438">
        <v>0</v>
      </c>
      <c r="DX169" s="438">
        <v>0</v>
      </c>
      <c r="DY169" s="438">
        <v>0</v>
      </c>
      <c r="DZ169" s="438">
        <v>0</v>
      </c>
      <c r="EA169" s="438">
        <v>0</v>
      </c>
      <c r="EB169" s="438">
        <v>7.36</v>
      </c>
      <c r="EC169" s="438">
        <v>25.141999999999999</v>
      </c>
      <c r="ED169" s="438">
        <v>180982</v>
      </c>
      <c r="EE169" s="438">
        <v>0</v>
      </c>
      <c r="EF169" s="438">
        <v>0</v>
      </c>
      <c r="EG169" s="438">
        <v>0</v>
      </c>
      <c r="EH169" s="438">
        <v>146913</v>
      </c>
      <c r="EI169" s="438">
        <v>0</v>
      </c>
      <c r="EJ169" s="438">
        <v>0</v>
      </c>
      <c r="EK169" s="438">
        <v>0</v>
      </c>
      <c r="EL169" s="438">
        <v>0</v>
      </c>
      <c r="EM169" s="438">
        <v>0</v>
      </c>
      <c r="EN169" s="438">
        <v>7.3999999999999996E-2</v>
      </c>
      <c r="EO169" s="438">
        <v>0</v>
      </c>
      <c r="EP169" s="438">
        <v>0</v>
      </c>
      <c r="EQ169" s="438">
        <v>7.4340000000000002</v>
      </c>
      <c r="ER169" s="438">
        <v>0</v>
      </c>
      <c r="ES169" s="438">
        <v>22.45</v>
      </c>
      <c r="ET169" s="438">
        <v>5834</v>
      </c>
      <c r="EU169" s="438">
        <v>89694</v>
      </c>
      <c r="EV169" s="438">
        <v>0</v>
      </c>
      <c r="EW169" s="438">
        <v>0</v>
      </c>
      <c r="EX169" s="438">
        <v>0</v>
      </c>
      <c r="EZ169" s="438">
        <v>1831607</v>
      </c>
      <c r="FA169" s="438">
        <v>0</v>
      </c>
      <c r="FB169" s="438">
        <v>1921301</v>
      </c>
      <c r="FC169" s="438">
        <v>0.97334900000000002</v>
      </c>
      <c r="FD169" s="438">
        <v>0</v>
      </c>
      <c r="FE169" s="438">
        <v>263503</v>
      </c>
      <c r="FF169" s="438">
        <v>60058</v>
      </c>
      <c r="FG169" s="437">
        <v>5.7854999999999997E-2</v>
      </c>
      <c r="FH169" s="437">
        <v>5.2366000000000003E-2</v>
      </c>
      <c r="FI169" s="438">
        <v>0</v>
      </c>
      <c r="FJ169" s="438">
        <v>0</v>
      </c>
      <c r="FK169" s="438">
        <v>358.964</v>
      </c>
      <c r="FL169" s="438">
        <v>2250696</v>
      </c>
      <c r="FM169" s="438">
        <v>0</v>
      </c>
      <c r="FN169" s="438">
        <v>0</v>
      </c>
      <c r="FO169" s="438">
        <v>0</v>
      </c>
      <c r="FP169" s="438">
        <v>0</v>
      </c>
      <c r="FQ169" s="438">
        <v>0</v>
      </c>
      <c r="FR169" s="438">
        <v>0</v>
      </c>
      <c r="FS169" s="438">
        <v>0</v>
      </c>
      <c r="FT169" s="438">
        <v>0</v>
      </c>
      <c r="FU169" s="438">
        <v>0</v>
      </c>
      <c r="FV169" s="438">
        <v>0</v>
      </c>
      <c r="FW169" s="438">
        <v>0</v>
      </c>
      <c r="FX169" s="438">
        <v>0</v>
      </c>
      <c r="FY169" s="438">
        <v>0</v>
      </c>
      <c r="FZ169" s="438">
        <v>0</v>
      </c>
      <c r="GA169" s="438">
        <v>0</v>
      </c>
      <c r="GB169" s="438">
        <v>228555</v>
      </c>
      <c r="GC169" s="438">
        <v>228555</v>
      </c>
      <c r="GD169" s="438">
        <v>25.870999999999999</v>
      </c>
      <c r="GF169" s="438">
        <v>0</v>
      </c>
      <c r="GG169" s="438">
        <v>0</v>
      </c>
      <c r="GH169" s="438">
        <v>0</v>
      </c>
      <c r="GI169" s="438">
        <v>0</v>
      </c>
      <c r="GJ169" s="438">
        <v>0</v>
      </c>
      <c r="GK169" s="438">
        <v>4864.0010000000002</v>
      </c>
      <c r="GL169" s="438">
        <v>4364</v>
      </c>
      <c r="GM169" s="438">
        <v>0</v>
      </c>
      <c r="GN169" s="438">
        <v>0</v>
      </c>
      <c r="GO169" s="438">
        <v>0</v>
      </c>
      <c r="GP169" s="438">
        <v>2244862</v>
      </c>
      <c r="GQ169" s="438">
        <v>2244862</v>
      </c>
      <c r="GR169" s="438">
        <v>0</v>
      </c>
      <c r="GS169" s="438">
        <v>0</v>
      </c>
      <c r="GT169" s="438">
        <v>0</v>
      </c>
      <c r="HB169" s="438">
        <v>0</v>
      </c>
      <c r="HC169" s="437">
        <v>6.0754000000000002E-2</v>
      </c>
      <c r="HD169" s="438">
        <v>0</v>
      </c>
    </row>
    <row r="170" spans="1:212" x14ac:dyDescent="0.2">
      <c r="A170" s="438">
        <v>25836</v>
      </c>
      <c r="B170" s="442">
        <v>220801</v>
      </c>
      <c r="C170" s="438">
        <v>9</v>
      </c>
      <c r="D170" s="438">
        <v>2020</v>
      </c>
      <c r="E170" s="438">
        <v>5392</v>
      </c>
      <c r="F170" s="438">
        <v>0</v>
      </c>
      <c r="G170" s="438">
        <v>365.29300000000001</v>
      </c>
      <c r="H170" s="438">
        <v>353.44099999999997</v>
      </c>
      <c r="I170" s="438">
        <v>353.44099999999997</v>
      </c>
      <c r="J170" s="438">
        <v>365.29300000000001</v>
      </c>
      <c r="K170" s="438">
        <v>0</v>
      </c>
      <c r="L170" s="437">
        <v>6544</v>
      </c>
      <c r="M170" s="438">
        <v>0</v>
      </c>
      <c r="N170" s="438">
        <v>0</v>
      </c>
      <c r="P170" s="438">
        <v>362.80799999999999</v>
      </c>
      <c r="Q170" s="438">
        <v>0</v>
      </c>
      <c r="R170" s="438">
        <v>89827</v>
      </c>
      <c r="S170" s="437">
        <v>247.58699999999999</v>
      </c>
      <c r="U170" s="438">
        <v>0</v>
      </c>
      <c r="V170" s="438">
        <v>2.4929999999999999</v>
      </c>
      <c r="W170" s="438">
        <v>1631</v>
      </c>
      <c r="X170" s="438">
        <v>1631</v>
      </c>
      <c r="Z170" s="438">
        <v>0</v>
      </c>
      <c r="AA170" s="438">
        <v>1</v>
      </c>
      <c r="AB170" s="438">
        <v>1</v>
      </c>
      <c r="AC170" s="438">
        <v>0</v>
      </c>
      <c r="AD170" s="438" t="s">
        <v>332</v>
      </c>
      <c r="AE170" s="438">
        <v>0</v>
      </c>
      <c r="AH170" s="438">
        <v>0</v>
      </c>
      <c r="AI170" s="438">
        <v>0</v>
      </c>
      <c r="AJ170" s="437">
        <v>5105</v>
      </c>
      <c r="AK170" s="438" t="s">
        <v>561</v>
      </c>
      <c r="AL170" s="438" t="s">
        <v>80</v>
      </c>
      <c r="AM170" s="438">
        <v>0</v>
      </c>
      <c r="AN170" s="438">
        <v>0</v>
      </c>
      <c r="AO170" s="438">
        <v>0</v>
      </c>
      <c r="AP170" s="438">
        <v>0</v>
      </c>
      <c r="AQ170" s="438">
        <v>0</v>
      </c>
      <c r="AR170" s="438">
        <v>0</v>
      </c>
      <c r="AS170" s="438">
        <v>0</v>
      </c>
      <c r="AT170" s="438">
        <v>0</v>
      </c>
      <c r="AU170" s="438">
        <v>0</v>
      </c>
      <c r="AV170" s="438">
        <v>0</v>
      </c>
      <c r="AW170" s="438">
        <v>2862050</v>
      </c>
      <c r="AX170" s="438">
        <v>2846374</v>
      </c>
      <c r="AY170" s="438">
        <v>0</v>
      </c>
      <c r="AZ170" s="438">
        <v>104503</v>
      </c>
      <c r="BA170" s="438">
        <v>1</v>
      </c>
      <c r="BB170" s="438">
        <v>0</v>
      </c>
      <c r="BC170" s="438">
        <v>0</v>
      </c>
      <c r="BD170" s="438">
        <v>0</v>
      </c>
      <c r="BE170" s="438">
        <v>0</v>
      </c>
      <c r="BF170" s="438">
        <v>2438784</v>
      </c>
      <c r="BG170" s="438">
        <v>0</v>
      </c>
      <c r="BH170" s="438">
        <v>53.368000000000002</v>
      </c>
      <c r="BI170" s="438">
        <v>14676</v>
      </c>
      <c r="BJ170" s="438">
        <v>12</v>
      </c>
      <c r="BK170" s="438">
        <v>0</v>
      </c>
      <c r="BL170" s="438">
        <v>0</v>
      </c>
      <c r="BM170" s="438">
        <v>0</v>
      </c>
      <c r="BN170" s="438">
        <v>0</v>
      </c>
      <c r="BO170" s="438">
        <v>0</v>
      </c>
      <c r="BP170" s="438">
        <v>0</v>
      </c>
      <c r="BQ170" s="437">
        <v>5392</v>
      </c>
      <c r="BR170" s="438">
        <v>1</v>
      </c>
      <c r="BS170" s="438">
        <v>0</v>
      </c>
      <c r="BT170" s="438">
        <v>0</v>
      </c>
      <c r="BU170" s="438">
        <v>0</v>
      </c>
      <c r="BV170" s="438">
        <v>0</v>
      </c>
      <c r="BW170" s="438">
        <v>0</v>
      </c>
      <c r="BX170" s="438">
        <v>0</v>
      </c>
      <c r="BY170" s="438">
        <v>0</v>
      </c>
      <c r="BZ170" s="438">
        <v>0</v>
      </c>
      <c r="CA170" s="438">
        <v>0</v>
      </c>
      <c r="CB170" s="438">
        <v>0</v>
      </c>
      <c r="CC170" s="438">
        <v>0</v>
      </c>
      <c r="CG170" s="438">
        <v>0</v>
      </c>
      <c r="CH170" s="438">
        <v>1000</v>
      </c>
      <c r="CI170" s="438">
        <v>0</v>
      </c>
      <c r="CJ170" s="438">
        <v>4</v>
      </c>
      <c r="CK170" s="438">
        <v>0</v>
      </c>
      <c r="CL170" s="438">
        <v>0</v>
      </c>
      <c r="CN170" s="438">
        <v>0</v>
      </c>
      <c r="CO170" s="438">
        <v>1</v>
      </c>
      <c r="CP170" s="438">
        <v>0</v>
      </c>
      <c r="CQ170" s="438">
        <v>2</v>
      </c>
      <c r="CR170" s="438">
        <v>365.29300000000001</v>
      </c>
      <c r="CS170" s="438">
        <v>0</v>
      </c>
      <c r="CT170" s="438">
        <v>0</v>
      </c>
      <c r="CU170" s="438">
        <v>0</v>
      </c>
      <c r="CV170" s="438">
        <v>0</v>
      </c>
      <c r="CW170" s="438">
        <v>0</v>
      </c>
      <c r="CX170" s="438">
        <v>0</v>
      </c>
      <c r="CY170" s="438">
        <v>0</v>
      </c>
      <c r="CZ170" s="438">
        <v>0</v>
      </c>
      <c r="DA170" s="438">
        <v>1</v>
      </c>
      <c r="DB170" s="438">
        <v>2312918</v>
      </c>
      <c r="DC170" s="438">
        <v>0</v>
      </c>
      <c r="DD170" s="438">
        <v>3</v>
      </c>
      <c r="DE170" s="438">
        <v>0</v>
      </c>
      <c r="DF170" s="438">
        <v>0</v>
      </c>
      <c r="DG170" s="438">
        <v>0</v>
      </c>
      <c r="DH170" s="438">
        <v>0</v>
      </c>
      <c r="DI170" s="438">
        <v>0</v>
      </c>
      <c r="DK170" s="437">
        <v>5392</v>
      </c>
      <c r="DL170" s="438">
        <v>0</v>
      </c>
      <c r="DM170" s="438">
        <v>96323</v>
      </c>
      <c r="DN170" s="438">
        <v>0</v>
      </c>
      <c r="DO170" s="438">
        <v>0</v>
      </c>
      <c r="DP170" s="438">
        <v>0</v>
      </c>
      <c r="DQ170" s="438">
        <v>0</v>
      </c>
      <c r="DR170" s="438">
        <v>0</v>
      </c>
      <c r="DS170" s="438">
        <v>0</v>
      </c>
      <c r="DT170" s="438">
        <v>0</v>
      </c>
      <c r="DU170" s="438">
        <v>0</v>
      </c>
      <c r="DV170" s="438">
        <v>0</v>
      </c>
      <c r="DW170" s="438">
        <v>0</v>
      </c>
      <c r="DX170" s="438">
        <v>0</v>
      </c>
      <c r="DY170" s="438">
        <v>0</v>
      </c>
      <c r="DZ170" s="438">
        <v>0</v>
      </c>
      <c r="EA170" s="438">
        <v>0</v>
      </c>
      <c r="EB170" s="438">
        <v>0</v>
      </c>
      <c r="EC170" s="438">
        <v>8.923</v>
      </c>
      <c r="ED170" s="438">
        <v>64231</v>
      </c>
      <c r="EE170" s="438">
        <v>0</v>
      </c>
      <c r="EF170" s="438">
        <v>0</v>
      </c>
      <c r="EG170" s="438">
        <v>0</v>
      </c>
      <c r="EH170" s="438">
        <v>32092</v>
      </c>
      <c r="EI170" s="438">
        <v>0</v>
      </c>
      <c r="EJ170" s="438">
        <v>0</v>
      </c>
      <c r="EK170" s="438">
        <v>0.38300000000000001</v>
      </c>
      <c r="EL170" s="438">
        <v>0</v>
      </c>
      <c r="EM170" s="438">
        <v>0</v>
      </c>
      <c r="EN170" s="438">
        <v>0.751</v>
      </c>
      <c r="EO170" s="438">
        <v>0</v>
      </c>
      <c r="EP170" s="438">
        <v>0</v>
      </c>
      <c r="EQ170" s="438">
        <v>1.1339999999999999</v>
      </c>
      <c r="ER170" s="438">
        <v>0</v>
      </c>
      <c r="ES170" s="438">
        <v>4.9039999999999999</v>
      </c>
      <c r="ET170" s="438">
        <v>1000</v>
      </c>
      <c r="EU170" s="438">
        <v>104503</v>
      </c>
      <c r="EV170" s="438">
        <v>0</v>
      </c>
      <c r="EW170" s="438">
        <v>0</v>
      </c>
      <c r="EX170" s="438">
        <v>0</v>
      </c>
      <c r="EZ170" s="438">
        <v>2415732</v>
      </c>
      <c r="FA170" s="438">
        <v>0</v>
      </c>
      <c r="FB170" s="438">
        <v>2520235</v>
      </c>
      <c r="FC170" s="438">
        <v>0.97334900000000002</v>
      </c>
      <c r="FD170" s="438">
        <v>0</v>
      </c>
      <c r="FE170" s="438">
        <v>350708</v>
      </c>
      <c r="FF170" s="438">
        <v>79934</v>
      </c>
      <c r="FG170" s="437">
        <v>5.7854999999999997E-2</v>
      </c>
      <c r="FH170" s="437">
        <v>5.2366000000000003E-2</v>
      </c>
      <c r="FI170" s="438">
        <v>0</v>
      </c>
      <c r="FJ170" s="438">
        <v>0</v>
      </c>
      <c r="FK170" s="438">
        <v>477.762</v>
      </c>
      <c r="FL170" s="438">
        <v>2951877</v>
      </c>
      <c r="FM170" s="438">
        <v>0</v>
      </c>
      <c r="FN170" s="438">
        <v>0</v>
      </c>
      <c r="FO170" s="438">
        <v>0</v>
      </c>
      <c r="FP170" s="438">
        <v>0</v>
      </c>
      <c r="FQ170" s="438">
        <v>0</v>
      </c>
      <c r="FR170" s="438">
        <v>0</v>
      </c>
      <c r="FS170" s="438">
        <v>0</v>
      </c>
      <c r="FT170" s="438">
        <v>0</v>
      </c>
      <c r="FU170" s="438">
        <v>0</v>
      </c>
      <c r="FV170" s="438">
        <v>0</v>
      </c>
      <c r="FW170" s="438">
        <v>0</v>
      </c>
      <c r="FX170" s="438">
        <v>0</v>
      </c>
      <c r="FY170" s="438">
        <v>0</v>
      </c>
      <c r="FZ170" s="438">
        <v>0</v>
      </c>
      <c r="GA170" s="438">
        <v>0</v>
      </c>
      <c r="GB170" s="438">
        <v>94687</v>
      </c>
      <c r="GC170" s="438">
        <v>94687</v>
      </c>
      <c r="GD170" s="438">
        <v>10.718</v>
      </c>
      <c r="GF170" s="438">
        <v>0</v>
      </c>
      <c r="GG170" s="438">
        <v>0</v>
      </c>
      <c r="GH170" s="438">
        <v>0</v>
      </c>
      <c r="GI170" s="438">
        <v>0</v>
      </c>
      <c r="GJ170" s="438">
        <v>0</v>
      </c>
      <c r="GK170" s="438">
        <v>4739.8770000000004</v>
      </c>
      <c r="GL170" s="438">
        <v>8868</v>
      </c>
      <c r="GM170" s="438">
        <v>0</v>
      </c>
      <c r="GN170" s="438">
        <v>0</v>
      </c>
      <c r="GO170" s="438">
        <v>0</v>
      </c>
      <c r="GP170" s="438">
        <v>2950877</v>
      </c>
      <c r="GQ170" s="438">
        <v>2950877</v>
      </c>
      <c r="GR170" s="438">
        <v>0</v>
      </c>
      <c r="GS170" s="438">
        <v>0</v>
      </c>
      <c r="GT170" s="438">
        <v>0</v>
      </c>
      <c r="HB170" s="438">
        <v>0</v>
      </c>
      <c r="HC170" s="437">
        <v>6.0754000000000002E-2</v>
      </c>
      <c r="HD170" s="438">
        <v>0</v>
      </c>
    </row>
    <row r="171" spans="1:212" x14ac:dyDescent="0.2">
      <c r="A171" s="438">
        <v>25836</v>
      </c>
      <c r="B171" s="442">
        <v>220802</v>
      </c>
      <c r="C171" s="438">
        <v>9</v>
      </c>
      <c r="D171" s="438">
        <v>2020</v>
      </c>
      <c r="E171" s="438">
        <v>5392</v>
      </c>
      <c r="F171" s="438">
        <v>0</v>
      </c>
      <c r="G171" s="438">
        <v>1508.7049999999999</v>
      </c>
      <c r="H171" s="438">
        <v>1494.2080000000001</v>
      </c>
      <c r="I171" s="438">
        <v>1494.2080000000001</v>
      </c>
      <c r="J171" s="438">
        <v>1508.7049999999999</v>
      </c>
      <c r="K171" s="438">
        <v>0</v>
      </c>
      <c r="L171" s="437">
        <v>6544</v>
      </c>
      <c r="M171" s="438">
        <v>0</v>
      </c>
      <c r="N171" s="438">
        <v>0</v>
      </c>
      <c r="P171" s="438">
        <v>1508.2149999999999</v>
      </c>
      <c r="Q171" s="438">
        <v>0</v>
      </c>
      <c r="R171" s="438">
        <v>373414</v>
      </c>
      <c r="S171" s="437">
        <v>247.58699999999999</v>
      </c>
      <c r="U171" s="438">
        <v>0</v>
      </c>
      <c r="V171" s="438">
        <v>89.878</v>
      </c>
      <c r="W171" s="438">
        <v>58816</v>
      </c>
      <c r="X171" s="438">
        <v>58816</v>
      </c>
      <c r="Z171" s="438">
        <v>0</v>
      </c>
      <c r="AA171" s="438">
        <v>1</v>
      </c>
      <c r="AB171" s="438">
        <v>1</v>
      </c>
      <c r="AC171" s="438">
        <v>0</v>
      </c>
      <c r="AD171" s="438" t="s">
        <v>332</v>
      </c>
      <c r="AE171" s="438">
        <v>0</v>
      </c>
      <c r="AH171" s="438">
        <v>0</v>
      </c>
      <c r="AI171" s="438">
        <v>0</v>
      </c>
      <c r="AJ171" s="437">
        <v>5105</v>
      </c>
      <c r="AK171" s="438" t="s">
        <v>561</v>
      </c>
      <c r="AL171" s="438" t="s">
        <v>81</v>
      </c>
      <c r="AM171" s="438">
        <v>0</v>
      </c>
      <c r="AN171" s="438">
        <v>0</v>
      </c>
      <c r="AO171" s="438">
        <v>0</v>
      </c>
      <c r="AP171" s="438">
        <v>0</v>
      </c>
      <c r="AQ171" s="438">
        <v>0</v>
      </c>
      <c r="AR171" s="438">
        <v>0</v>
      </c>
      <c r="AS171" s="438">
        <v>0</v>
      </c>
      <c r="AT171" s="438">
        <v>0</v>
      </c>
      <c r="AU171" s="438">
        <v>0</v>
      </c>
      <c r="AV171" s="438">
        <v>0</v>
      </c>
      <c r="AW171" s="438">
        <v>12111503</v>
      </c>
      <c r="AX171" s="438">
        <v>12093780</v>
      </c>
      <c r="AY171" s="438">
        <v>0</v>
      </c>
      <c r="AZ171" s="438">
        <v>377428</v>
      </c>
      <c r="BA171" s="438">
        <v>25.917000000000002</v>
      </c>
      <c r="BB171" s="438">
        <v>0</v>
      </c>
      <c r="BC171" s="438">
        <v>0</v>
      </c>
      <c r="BD171" s="438">
        <v>0</v>
      </c>
      <c r="BE171" s="438">
        <v>0</v>
      </c>
      <c r="BF171" s="438">
        <v>10355148</v>
      </c>
      <c r="BG171" s="438">
        <v>0</v>
      </c>
      <c r="BH171" s="438">
        <v>14.595000000000001</v>
      </c>
      <c r="BI171" s="438">
        <v>4014</v>
      </c>
      <c r="BJ171" s="438">
        <v>12</v>
      </c>
      <c r="BK171" s="438">
        <v>0</v>
      </c>
      <c r="BL171" s="438">
        <v>0</v>
      </c>
      <c r="BM171" s="438">
        <v>0</v>
      </c>
      <c r="BN171" s="438">
        <v>0</v>
      </c>
      <c r="BO171" s="438">
        <v>0</v>
      </c>
      <c r="BP171" s="438">
        <v>0</v>
      </c>
      <c r="BQ171" s="437">
        <v>5392</v>
      </c>
      <c r="BR171" s="438">
        <v>1</v>
      </c>
      <c r="BS171" s="438">
        <v>0</v>
      </c>
      <c r="BT171" s="438">
        <v>0</v>
      </c>
      <c r="BU171" s="438">
        <v>0</v>
      </c>
      <c r="BV171" s="438">
        <v>0</v>
      </c>
      <c r="BW171" s="438">
        <v>0</v>
      </c>
      <c r="BX171" s="438">
        <v>0</v>
      </c>
      <c r="BY171" s="438">
        <v>0</v>
      </c>
      <c r="BZ171" s="438">
        <v>0</v>
      </c>
      <c r="CA171" s="438">
        <v>0</v>
      </c>
      <c r="CB171" s="438">
        <v>0</v>
      </c>
      <c r="CC171" s="438">
        <v>0</v>
      </c>
      <c r="CG171" s="438">
        <v>0</v>
      </c>
      <c r="CH171" s="438">
        <v>13709</v>
      </c>
      <c r="CI171" s="438">
        <v>0</v>
      </c>
      <c r="CJ171" s="438">
        <v>4</v>
      </c>
      <c r="CK171" s="438">
        <v>0</v>
      </c>
      <c r="CL171" s="438">
        <v>0</v>
      </c>
      <c r="CN171" s="438">
        <v>0</v>
      </c>
      <c r="CO171" s="438">
        <v>1</v>
      </c>
      <c r="CP171" s="438">
        <v>0</v>
      </c>
      <c r="CQ171" s="438">
        <v>3</v>
      </c>
      <c r="CR171" s="438">
        <v>1508.7049999999999</v>
      </c>
      <c r="CS171" s="438">
        <v>0</v>
      </c>
      <c r="CT171" s="438">
        <v>0</v>
      </c>
      <c r="CU171" s="438">
        <v>0</v>
      </c>
      <c r="CV171" s="438">
        <v>0</v>
      </c>
      <c r="CW171" s="438">
        <v>0</v>
      </c>
      <c r="CX171" s="438">
        <v>0</v>
      </c>
      <c r="CY171" s="438">
        <v>0</v>
      </c>
      <c r="CZ171" s="438">
        <v>0</v>
      </c>
      <c r="DA171" s="438">
        <v>1</v>
      </c>
      <c r="DB171" s="438">
        <v>9778097</v>
      </c>
      <c r="DC171" s="438">
        <v>0</v>
      </c>
      <c r="DD171" s="438">
        <v>0</v>
      </c>
      <c r="DE171" s="438">
        <v>456771</v>
      </c>
      <c r="DF171" s="438">
        <v>456771</v>
      </c>
      <c r="DG171" s="438">
        <v>349</v>
      </c>
      <c r="DH171" s="438">
        <v>0</v>
      </c>
      <c r="DI171" s="438">
        <v>0</v>
      </c>
      <c r="DK171" s="437">
        <v>5392</v>
      </c>
      <c r="DL171" s="438">
        <v>0</v>
      </c>
      <c r="DM171" s="438">
        <v>320078</v>
      </c>
      <c r="DN171" s="438">
        <v>0</v>
      </c>
      <c r="DO171" s="438">
        <v>0</v>
      </c>
      <c r="DP171" s="438">
        <v>0</v>
      </c>
      <c r="DQ171" s="438">
        <v>0</v>
      </c>
      <c r="DR171" s="438">
        <v>0</v>
      </c>
      <c r="DS171" s="438">
        <v>0</v>
      </c>
      <c r="DT171" s="438">
        <v>0</v>
      </c>
      <c r="DU171" s="438">
        <v>0</v>
      </c>
      <c r="DV171" s="438">
        <v>0</v>
      </c>
      <c r="DW171" s="438">
        <v>0</v>
      </c>
      <c r="DX171" s="438">
        <v>0</v>
      </c>
      <c r="DY171" s="438">
        <v>0</v>
      </c>
      <c r="DZ171" s="438">
        <v>0</v>
      </c>
      <c r="EA171" s="438">
        <v>0</v>
      </c>
      <c r="EB171" s="438">
        <v>0</v>
      </c>
      <c r="EC171" s="438">
        <v>10.177</v>
      </c>
      <c r="ED171" s="438">
        <v>73258</v>
      </c>
      <c r="EE171" s="438">
        <v>0</v>
      </c>
      <c r="EF171" s="438">
        <v>0</v>
      </c>
      <c r="EG171" s="438">
        <v>0</v>
      </c>
      <c r="EH171" s="438">
        <v>246820</v>
      </c>
      <c r="EI171" s="438">
        <v>0</v>
      </c>
      <c r="EJ171" s="438">
        <v>0</v>
      </c>
      <c r="EK171" s="438">
        <v>9.9969999999999999</v>
      </c>
      <c r="EL171" s="438">
        <v>0</v>
      </c>
      <c r="EM171" s="438">
        <v>0.33700000000000002</v>
      </c>
      <c r="EN171" s="438">
        <v>1.343</v>
      </c>
      <c r="EO171" s="438">
        <v>0</v>
      </c>
      <c r="EP171" s="438">
        <v>0</v>
      </c>
      <c r="EQ171" s="438">
        <v>11.677</v>
      </c>
      <c r="ER171" s="438">
        <v>0</v>
      </c>
      <c r="ES171" s="438">
        <v>37.716999999999999</v>
      </c>
      <c r="ET171" s="438">
        <v>13709</v>
      </c>
      <c r="EU171" s="438">
        <v>377428</v>
      </c>
      <c r="EV171" s="438">
        <v>0</v>
      </c>
      <c r="EW171" s="438">
        <v>0</v>
      </c>
      <c r="EX171" s="438">
        <v>0</v>
      </c>
      <c r="EZ171" s="438">
        <v>10265261</v>
      </c>
      <c r="FA171" s="438">
        <v>0</v>
      </c>
      <c r="FB171" s="438">
        <v>10642689</v>
      </c>
      <c r="FC171" s="438">
        <v>0.97334900000000002</v>
      </c>
      <c r="FD171" s="438">
        <v>0</v>
      </c>
      <c r="FE171" s="438">
        <v>1489117</v>
      </c>
      <c r="FF171" s="438">
        <v>339402</v>
      </c>
      <c r="FG171" s="437">
        <v>5.7854999999999997E-2</v>
      </c>
      <c r="FH171" s="437">
        <v>5.2366000000000003E-2</v>
      </c>
      <c r="FI171" s="438">
        <v>0</v>
      </c>
      <c r="FJ171" s="438">
        <v>0</v>
      </c>
      <c r="FK171" s="438">
        <v>2028.5920000000001</v>
      </c>
      <c r="FL171" s="438">
        <v>12484917</v>
      </c>
      <c r="FM171" s="438">
        <v>0</v>
      </c>
      <c r="FN171" s="438">
        <v>0</v>
      </c>
      <c r="FO171" s="438">
        <v>0</v>
      </c>
      <c r="FP171" s="438">
        <v>0</v>
      </c>
      <c r="FQ171" s="438">
        <v>0</v>
      </c>
      <c r="FR171" s="438">
        <v>0</v>
      </c>
      <c r="FS171" s="438">
        <v>0</v>
      </c>
      <c r="FT171" s="438">
        <v>0</v>
      </c>
      <c r="FU171" s="438">
        <v>0</v>
      </c>
      <c r="FV171" s="438">
        <v>0</v>
      </c>
      <c r="FW171" s="438">
        <v>0</v>
      </c>
      <c r="FX171" s="438">
        <v>0</v>
      </c>
      <c r="FY171" s="438">
        <v>0</v>
      </c>
      <c r="FZ171" s="438">
        <v>0</v>
      </c>
      <c r="GA171" s="438">
        <v>0</v>
      </c>
      <c r="GB171" s="438">
        <v>24913</v>
      </c>
      <c r="GC171" s="438">
        <v>24913</v>
      </c>
      <c r="GD171" s="438">
        <v>2.82</v>
      </c>
      <c r="GF171" s="438">
        <v>0</v>
      </c>
      <c r="GG171" s="438">
        <v>0</v>
      </c>
      <c r="GH171" s="438">
        <v>0</v>
      </c>
      <c r="GI171" s="438">
        <v>0</v>
      </c>
      <c r="GJ171" s="438">
        <v>0</v>
      </c>
      <c r="GK171" s="438">
        <v>4637.9840000000004</v>
      </c>
      <c r="GL171" s="438">
        <v>11792</v>
      </c>
      <c r="GM171" s="438">
        <v>0</v>
      </c>
      <c r="GN171" s="438">
        <v>0</v>
      </c>
      <c r="GO171" s="438">
        <v>0</v>
      </c>
      <c r="GP171" s="438">
        <v>12471208</v>
      </c>
      <c r="GQ171" s="438">
        <v>12471208</v>
      </c>
      <c r="GR171" s="438">
        <v>0</v>
      </c>
      <c r="GS171" s="438">
        <v>0</v>
      </c>
      <c r="GT171" s="438">
        <v>0</v>
      </c>
      <c r="HB171" s="438">
        <v>0</v>
      </c>
      <c r="HC171" s="437">
        <v>6.0754000000000002E-2</v>
      </c>
      <c r="HD171" s="438">
        <v>0</v>
      </c>
    </row>
    <row r="172" spans="1:212" x14ac:dyDescent="0.2">
      <c r="A172" s="438">
        <v>25836</v>
      </c>
      <c r="B172" s="442">
        <v>220809</v>
      </c>
      <c r="C172" s="438">
        <v>9</v>
      </c>
      <c r="D172" s="438">
        <v>2020</v>
      </c>
      <c r="E172" s="438">
        <v>5392</v>
      </c>
      <c r="F172" s="438">
        <v>0</v>
      </c>
      <c r="G172" s="438">
        <v>551.11699999999996</v>
      </c>
      <c r="H172" s="438">
        <v>547.40300000000002</v>
      </c>
      <c r="I172" s="438">
        <v>547.40300000000002</v>
      </c>
      <c r="J172" s="438">
        <v>551.11699999999996</v>
      </c>
      <c r="K172" s="438">
        <v>0</v>
      </c>
      <c r="L172" s="437">
        <v>6544</v>
      </c>
      <c r="M172" s="438">
        <v>0</v>
      </c>
      <c r="N172" s="438">
        <v>0</v>
      </c>
      <c r="P172" s="438">
        <v>552.46299999999997</v>
      </c>
      <c r="Q172" s="438">
        <v>0</v>
      </c>
      <c r="R172" s="438">
        <v>136783</v>
      </c>
      <c r="S172" s="437">
        <v>247.58699999999999</v>
      </c>
      <c r="U172" s="438">
        <v>0</v>
      </c>
      <c r="V172" s="438">
        <v>5.78</v>
      </c>
      <c r="W172" s="438">
        <v>3782</v>
      </c>
      <c r="X172" s="438">
        <v>3782</v>
      </c>
      <c r="Z172" s="438">
        <v>0</v>
      </c>
      <c r="AA172" s="438">
        <v>1</v>
      </c>
      <c r="AB172" s="438">
        <v>1</v>
      </c>
      <c r="AC172" s="438">
        <v>0</v>
      </c>
      <c r="AD172" s="438" t="s">
        <v>332</v>
      </c>
      <c r="AE172" s="438">
        <v>0</v>
      </c>
      <c r="AH172" s="438">
        <v>0</v>
      </c>
      <c r="AI172" s="438">
        <v>0</v>
      </c>
      <c r="AJ172" s="437">
        <v>5105</v>
      </c>
      <c r="AK172" s="438" t="s">
        <v>561</v>
      </c>
      <c r="AL172" s="438" t="s">
        <v>82</v>
      </c>
      <c r="AM172" s="438">
        <v>0</v>
      </c>
      <c r="AN172" s="438">
        <v>0</v>
      </c>
      <c r="AO172" s="438">
        <v>0</v>
      </c>
      <c r="AP172" s="438">
        <v>0</v>
      </c>
      <c r="AQ172" s="438">
        <v>0</v>
      </c>
      <c r="AR172" s="438">
        <v>0</v>
      </c>
      <c r="AS172" s="438">
        <v>0</v>
      </c>
      <c r="AT172" s="438">
        <v>0</v>
      </c>
      <c r="AU172" s="438">
        <v>0</v>
      </c>
      <c r="AV172" s="438">
        <v>0</v>
      </c>
      <c r="AW172" s="438">
        <v>4485477</v>
      </c>
      <c r="AX172" s="438">
        <v>4421169</v>
      </c>
      <c r="AY172" s="438">
        <v>0</v>
      </c>
      <c r="AZ172" s="438">
        <v>196633</v>
      </c>
      <c r="BA172" s="438">
        <v>8</v>
      </c>
      <c r="BB172" s="438">
        <v>21639</v>
      </c>
      <c r="BC172" s="438">
        <v>21639</v>
      </c>
      <c r="BD172" s="438">
        <v>27.556000000000001</v>
      </c>
      <c r="BE172" s="438">
        <v>0</v>
      </c>
      <c r="BF172" s="438">
        <v>3785798</v>
      </c>
      <c r="BG172" s="438">
        <v>0</v>
      </c>
      <c r="BH172" s="438">
        <v>217.636</v>
      </c>
      <c r="BI172" s="438">
        <v>59850</v>
      </c>
      <c r="BJ172" s="438">
        <v>12</v>
      </c>
      <c r="BK172" s="438">
        <v>0</v>
      </c>
      <c r="BL172" s="438">
        <v>0</v>
      </c>
      <c r="BM172" s="438">
        <v>0</v>
      </c>
      <c r="BN172" s="438">
        <v>0</v>
      </c>
      <c r="BO172" s="438">
        <v>0</v>
      </c>
      <c r="BP172" s="438">
        <v>0</v>
      </c>
      <c r="BQ172" s="437">
        <v>5392</v>
      </c>
      <c r="BR172" s="438">
        <v>1</v>
      </c>
      <c r="BS172" s="438">
        <v>0</v>
      </c>
      <c r="BT172" s="438">
        <v>0</v>
      </c>
      <c r="BU172" s="438">
        <v>0</v>
      </c>
      <c r="BV172" s="438">
        <v>0</v>
      </c>
      <c r="BW172" s="438">
        <v>0</v>
      </c>
      <c r="BX172" s="438">
        <v>0</v>
      </c>
      <c r="BY172" s="438">
        <v>0</v>
      </c>
      <c r="BZ172" s="438">
        <v>0</v>
      </c>
      <c r="CA172" s="438">
        <v>0</v>
      </c>
      <c r="CB172" s="438">
        <v>0</v>
      </c>
      <c r="CC172" s="438">
        <v>0</v>
      </c>
      <c r="CG172" s="438">
        <v>0</v>
      </c>
      <c r="CH172" s="438">
        <v>4458</v>
      </c>
      <c r="CI172" s="438">
        <v>0</v>
      </c>
      <c r="CJ172" s="438">
        <v>4</v>
      </c>
      <c r="CK172" s="438">
        <v>0</v>
      </c>
      <c r="CL172" s="438">
        <v>0</v>
      </c>
      <c r="CN172" s="438">
        <v>0</v>
      </c>
      <c r="CO172" s="438">
        <v>1</v>
      </c>
      <c r="CP172" s="438">
        <v>0</v>
      </c>
      <c r="CQ172" s="438">
        <v>1.83</v>
      </c>
      <c r="CR172" s="438">
        <v>551.11699999999996</v>
      </c>
      <c r="CS172" s="438">
        <v>0</v>
      </c>
      <c r="CT172" s="438">
        <v>0</v>
      </c>
      <c r="CU172" s="438">
        <v>0</v>
      </c>
      <c r="CV172" s="438">
        <v>0</v>
      </c>
      <c r="CW172" s="438">
        <v>0</v>
      </c>
      <c r="CX172" s="438">
        <v>0</v>
      </c>
      <c r="CY172" s="438">
        <v>0</v>
      </c>
      <c r="CZ172" s="438">
        <v>0</v>
      </c>
      <c r="DA172" s="438">
        <v>1</v>
      </c>
      <c r="DB172" s="438">
        <v>3582205</v>
      </c>
      <c r="DC172" s="438">
        <v>0</v>
      </c>
      <c r="DD172" s="438">
        <v>0</v>
      </c>
      <c r="DE172" s="438">
        <v>80923</v>
      </c>
      <c r="DF172" s="438">
        <v>80923</v>
      </c>
      <c r="DG172" s="438">
        <v>61.83</v>
      </c>
      <c r="DH172" s="438">
        <v>0</v>
      </c>
      <c r="DI172" s="438">
        <v>0</v>
      </c>
      <c r="DK172" s="437">
        <v>5392</v>
      </c>
      <c r="DL172" s="438">
        <v>0</v>
      </c>
      <c r="DM172" s="438">
        <v>200905</v>
      </c>
      <c r="DN172" s="438">
        <v>0</v>
      </c>
      <c r="DO172" s="438">
        <v>0</v>
      </c>
      <c r="DP172" s="438">
        <v>0</v>
      </c>
      <c r="DQ172" s="438">
        <v>0</v>
      </c>
      <c r="DR172" s="438">
        <v>0</v>
      </c>
      <c r="DS172" s="438">
        <v>0</v>
      </c>
      <c r="DT172" s="438">
        <v>0</v>
      </c>
      <c r="DU172" s="438">
        <v>0</v>
      </c>
      <c r="DV172" s="438">
        <v>0</v>
      </c>
      <c r="DW172" s="438">
        <v>0</v>
      </c>
      <c r="DX172" s="438">
        <v>0</v>
      </c>
      <c r="DY172" s="438">
        <v>0</v>
      </c>
      <c r="DZ172" s="438">
        <v>0</v>
      </c>
      <c r="EA172" s="438">
        <v>0</v>
      </c>
      <c r="EB172" s="438">
        <v>0</v>
      </c>
      <c r="EC172" s="438">
        <v>17.196999999999999</v>
      </c>
      <c r="ED172" s="438">
        <v>123791</v>
      </c>
      <c r="EE172" s="438">
        <v>0</v>
      </c>
      <c r="EF172" s="438">
        <v>0</v>
      </c>
      <c r="EG172" s="438">
        <v>0</v>
      </c>
      <c r="EH172" s="438">
        <v>77114</v>
      </c>
      <c r="EI172" s="438">
        <v>0</v>
      </c>
      <c r="EJ172" s="438">
        <v>0</v>
      </c>
      <c r="EK172" s="438">
        <v>3.3929999999999998</v>
      </c>
      <c r="EL172" s="438">
        <v>0</v>
      </c>
      <c r="EM172" s="438">
        <v>0</v>
      </c>
      <c r="EN172" s="438">
        <v>0.32100000000000001</v>
      </c>
      <c r="EO172" s="438">
        <v>0</v>
      </c>
      <c r="EP172" s="438">
        <v>0</v>
      </c>
      <c r="EQ172" s="438">
        <v>3.714</v>
      </c>
      <c r="ER172" s="438">
        <v>0</v>
      </c>
      <c r="ES172" s="438">
        <v>11.784000000000001</v>
      </c>
      <c r="ET172" s="438">
        <v>4458</v>
      </c>
      <c r="EU172" s="438">
        <v>196633</v>
      </c>
      <c r="EV172" s="438">
        <v>0</v>
      </c>
      <c r="EW172" s="438">
        <v>0</v>
      </c>
      <c r="EX172" s="438">
        <v>0</v>
      </c>
      <c r="EZ172" s="438">
        <v>3752671</v>
      </c>
      <c r="FA172" s="438">
        <v>0</v>
      </c>
      <c r="FB172" s="438">
        <v>3949304</v>
      </c>
      <c r="FC172" s="438">
        <v>0.97334900000000002</v>
      </c>
      <c r="FD172" s="438">
        <v>0</v>
      </c>
      <c r="FE172" s="438">
        <v>544414</v>
      </c>
      <c r="FF172" s="438">
        <v>124084</v>
      </c>
      <c r="FG172" s="437">
        <v>5.7854999999999997E-2</v>
      </c>
      <c r="FH172" s="437">
        <v>5.2366000000000003E-2</v>
      </c>
      <c r="FI172" s="438">
        <v>0</v>
      </c>
      <c r="FJ172" s="438">
        <v>0</v>
      </c>
      <c r="FK172" s="438">
        <v>741.64400000000001</v>
      </c>
      <c r="FL172" s="438">
        <v>4622260</v>
      </c>
      <c r="FM172" s="438">
        <v>0</v>
      </c>
      <c r="FN172" s="438">
        <v>0</v>
      </c>
      <c r="FO172" s="438">
        <v>0</v>
      </c>
      <c r="FP172" s="438">
        <v>0</v>
      </c>
      <c r="FQ172" s="438">
        <v>0</v>
      </c>
      <c r="FR172" s="438">
        <v>0</v>
      </c>
      <c r="FS172" s="438">
        <v>0</v>
      </c>
      <c r="FT172" s="438">
        <v>0</v>
      </c>
      <c r="FU172" s="438">
        <v>0</v>
      </c>
      <c r="FV172" s="438">
        <v>0</v>
      </c>
      <c r="FW172" s="438">
        <v>0</v>
      </c>
      <c r="FX172" s="438">
        <v>0</v>
      </c>
      <c r="FY172" s="438">
        <v>0</v>
      </c>
      <c r="FZ172" s="438">
        <v>0</v>
      </c>
      <c r="GA172" s="438">
        <v>0</v>
      </c>
      <c r="GB172" s="438">
        <v>0</v>
      </c>
      <c r="GC172" s="438">
        <v>0</v>
      </c>
      <c r="GD172" s="438">
        <v>0</v>
      </c>
      <c r="GF172" s="438">
        <v>0</v>
      </c>
      <c r="GG172" s="438">
        <v>0</v>
      </c>
      <c r="GH172" s="438">
        <v>0</v>
      </c>
      <c r="GI172" s="438">
        <v>0</v>
      </c>
      <c r="GJ172" s="438">
        <v>0</v>
      </c>
      <c r="GK172" s="438">
        <v>4788.0450000000001</v>
      </c>
      <c r="GL172" s="438">
        <v>10052</v>
      </c>
      <c r="GM172" s="438">
        <v>0</v>
      </c>
      <c r="GN172" s="438">
        <v>0</v>
      </c>
      <c r="GO172" s="438">
        <v>0</v>
      </c>
      <c r="GP172" s="438">
        <v>4617802</v>
      </c>
      <c r="GQ172" s="438">
        <v>4617802</v>
      </c>
      <c r="GR172" s="438">
        <v>0</v>
      </c>
      <c r="GS172" s="438">
        <v>0</v>
      </c>
      <c r="GT172" s="438">
        <v>0</v>
      </c>
      <c r="HB172" s="438">
        <v>0</v>
      </c>
      <c r="HC172" s="437">
        <v>6.0754000000000002E-2</v>
      </c>
      <c r="HD172" s="438">
        <v>0</v>
      </c>
    </row>
    <row r="173" spans="1:212" x14ac:dyDescent="0.2">
      <c r="A173" s="438">
        <v>25836</v>
      </c>
      <c r="B173" s="442">
        <v>220810</v>
      </c>
      <c r="C173" s="438">
        <v>9</v>
      </c>
      <c r="D173" s="438">
        <v>2020</v>
      </c>
      <c r="E173" s="438">
        <v>5392</v>
      </c>
      <c r="F173" s="438">
        <v>0</v>
      </c>
      <c r="G173" s="438">
        <v>847.51800000000003</v>
      </c>
      <c r="H173" s="438">
        <v>809.90700000000004</v>
      </c>
      <c r="I173" s="438">
        <v>809.90700000000004</v>
      </c>
      <c r="J173" s="438">
        <v>847.51800000000003</v>
      </c>
      <c r="K173" s="438">
        <v>0</v>
      </c>
      <c r="L173" s="437">
        <v>6544</v>
      </c>
      <c r="M173" s="438">
        <v>0</v>
      </c>
      <c r="N173" s="438">
        <v>0</v>
      </c>
      <c r="P173" s="438">
        <v>847.47799999999995</v>
      </c>
      <c r="Q173" s="438">
        <v>0</v>
      </c>
      <c r="R173" s="438">
        <v>209825</v>
      </c>
      <c r="S173" s="437">
        <v>247.58699999999999</v>
      </c>
      <c r="U173" s="438">
        <v>0</v>
      </c>
      <c r="V173" s="438">
        <v>8.5280000000000005</v>
      </c>
      <c r="W173" s="438">
        <v>5581</v>
      </c>
      <c r="X173" s="438">
        <v>5581</v>
      </c>
      <c r="Z173" s="438">
        <v>0</v>
      </c>
      <c r="AA173" s="438">
        <v>1</v>
      </c>
      <c r="AB173" s="438">
        <v>1</v>
      </c>
      <c r="AC173" s="438">
        <v>0</v>
      </c>
      <c r="AD173" s="438" t="s">
        <v>332</v>
      </c>
      <c r="AE173" s="438">
        <v>0</v>
      </c>
      <c r="AH173" s="438">
        <v>0</v>
      </c>
      <c r="AI173" s="438">
        <v>0</v>
      </c>
      <c r="AJ173" s="437">
        <v>5105</v>
      </c>
      <c r="AK173" s="438" t="s">
        <v>561</v>
      </c>
      <c r="AL173" s="438" t="s">
        <v>0</v>
      </c>
      <c r="AM173" s="438">
        <v>0</v>
      </c>
      <c r="AN173" s="438">
        <v>0</v>
      </c>
      <c r="AO173" s="438">
        <v>0</v>
      </c>
      <c r="AP173" s="438">
        <v>0</v>
      </c>
      <c r="AQ173" s="438">
        <v>0</v>
      </c>
      <c r="AR173" s="438">
        <v>0</v>
      </c>
      <c r="AS173" s="438">
        <v>0</v>
      </c>
      <c r="AT173" s="438">
        <v>0</v>
      </c>
      <c r="AU173" s="438">
        <v>0</v>
      </c>
      <c r="AV173" s="438">
        <v>0</v>
      </c>
      <c r="AW173" s="438">
        <v>6659866</v>
      </c>
      <c r="AX173" s="438">
        <v>6578026</v>
      </c>
      <c r="AY173" s="438">
        <v>0</v>
      </c>
      <c r="AZ173" s="438">
        <v>291665</v>
      </c>
      <c r="BA173" s="438">
        <v>0</v>
      </c>
      <c r="BB173" s="438">
        <v>0</v>
      </c>
      <c r="BC173" s="438">
        <v>0</v>
      </c>
      <c r="BD173" s="438">
        <v>0</v>
      </c>
      <c r="BE173" s="438">
        <v>0</v>
      </c>
      <c r="BF173" s="438">
        <v>5637933</v>
      </c>
      <c r="BG173" s="438">
        <v>0</v>
      </c>
      <c r="BH173" s="438">
        <v>297.60000000000002</v>
      </c>
      <c r="BI173" s="438">
        <v>81840</v>
      </c>
      <c r="BJ173" s="438">
        <v>12</v>
      </c>
      <c r="BK173" s="438">
        <v>0</v>
      </c>
      <c r="BL173" s="438">
        <v>0</v>
      </c>
      <c r="BM173" s="438">
        <v>0</v>
      </c>
      <c r="BN173" s="438">
        <v>0</v>
      </c>
      <c r="BO173" s="438">
        <v>0</v>
      </c>
      <c r="BP173" s="438">
        <v>0</v>
      </c>
      <c r="BQ173" s="437">
        <v>5392</v>
      </c>
      <c r="BR173" s="438">
        <v>1</v>
      </c>
      <c r="BS173" s="438">
        <v>0</v>
      </c>
      <c r="BT173" s="438">
        <v>0</v>
      </c>
      <c r="BU173" s="438">
        <v>0</v>
      </c>
      <c r="BV173" s="438">
        <v>0</v>
      </c>
      <c r="BW173" s="438">
        <v>0</v>
      </c>
      <c r="BX173" s="438">
        <v>0</v>
      </c>
      <c r="BY173" s="438">
        <v>0</v>
      </c>
      <c r="BZ173" s="438">
        <v>0</v>
      </c>
      <c r="CA173" s="438">
        <v>0</v>
      </c>
      <c r="CB173" s="438">
        <v>0</v>
      </c>
      <c r="CC173" s="438">
        <v>0</v>
      </c>
      <c r="CG173" s="438">
        <v>0</v>
      </c>
      <c r="CH173" s="438">
        <v>0</v>
      </c>
      <c r="CI173" s="438">
        <v>0</v>
      </c>
      <c r="CJ173" s="438">
        <v>4</v>
      </c>
      <c r="CK173" s="438">
        <v>0</v>
      </c>
      <c r="CL173" s="438">
        <v>0</v>
      </c>
      <c r="CN173" s="438">
        <v>0</v>
      </c>
      <c r="CO173" s="438">
        <v>1</v>
      </c>
      <c r="CP173" s="438">
        <v>0</v>
      </c>
      <c r="CQ173" s="438">
        <v>0</v>
      </c>
      <c r="CR173" s="438">
        <v>847.51800000000003</v>
      </c>
      <c r="CS173" s="438">
        <v>0</v>
      </c>
      <c r="CT173" s="438">
        <v>0</v>
      </c>
      <c r="CU173" s="438">
        <v>0</v>
      </c>
      <c r="CV173" s="438">
        <v>0</v>
      </c>
      <c r="CW173" s="438">
        <v>0</v>
      </c>
      <c r="CX173" s="438">
        <v>0</v>
      </c>
      <c r="CY173" s="438">
        <v>0</v>
      </c>
      <c r="CZ173" s="438">
        <v>0</v>
      </c>
      <c r="DA173" s="438">
        <v>1</v>
      </c>
      <c r="DB173" s="438">
        <v>5300031</v>
      </c>
      <c r="DC173" s="438">
        <v>0</v>
      </c>
      <c r="DD173" s="438">
        <v>0</v>
      </c>
      <c r="DE173" s="438">
        <v>0</v>
      </c>
      <c r="DF173" s="438">
        <v>0</v>
      </c>
      <c r="DG173" s="438">
        <v>0</v>
      </c>
      <c r="DH173" s="438">
        <v>0</v>
      </c>
      <c r="DI173" s="438">
        <v>0</v>
      </c>
      <c r="DK173" s="437">
        <v>5392</v>
      </c>
      <c r="DL173" s="438">
        <v>0</v>
      </c>
      <c r="DM173" s="438">
        <v>247065</v>
      </c>
      <c r="DN173" s="438">
        <v>0</v>
      </c>
      <c r="DO173" s="438">
        <v>0</v>
      </c>
      <c r="DP173" s="438">
        <v>0</v>
      </c>
      <c r="DQ173" s="438">
        <v>0</v>
      </c>
      <c r="DR173" s="438">
        <v>0</v>
      </c>
      <c r="DS173" s="438">
        <v>0</v>
      </c>
      <c r="DT173" s="438">
        <v>0</v>
      </c>
      <c r="DU173" s="438">
        <v>0</v>
      </c>
      <c r="DV173" s="438">
        <v>0</v>
      </c>
      <c r="DW173" s="438">
        <v>0</v>
      </c>
      <c r="DX173" s="438">
        <v>0</v>
      </c>
      <c r="DY173" s="438">
        <v>0</v>
      </c>
      <c r="DZ173" s="438">
        <v>0</v>
      </c>
      <c r="EA173" s="438">
        <v>0</v>
      </c>
      <c r="EB173" s="438">
        <v>0</v>
      </c>
      <c r="EC173" s="438">
        <v>4.1449999999999996</v>
      </c>
      <c r="ED173" s="438">
        <v>29837</v>
      </c>
      <c r="EE173" s="438">
        <v>0</v>
      </c>
      <c r="EF173" s="438">
        <v>0</v>
      </c>
      <c r="EG173" s="438">
        <v>0</v>
      </c>
      <c r="EH173" s="438">
        <v>217228</v>
      </c>
      <c r="EI173" s="438">
        <v>0</v>
      </c>
      <c r="EJ173" s="438">
        <v>0</v>
      </c>
      <c r="EK173" s="438">
        <v>8.6959999999999997</v>
      </c>
      <c r="EL173" s="438">
        <v>0</v>
      </c>
      <c r="EM173" s="438">
        <v>0.92400000000000004</v>
      </c>
      <c r="EN173" s="438">
        <v>0.86699999999999999</v>
      </c>
      <c r="EO173" s="438">
        <v>0</v>
      </c>
      <c r="EP173" s="438">
        <v>0</v>
      </c>
      <c r="EQ173" s="438">
        <v>10.487</v>
      </c>
      <c r="ER173" s="438">
        <v>0</v>
      </c>
      <c r="ES173" s="438">
        <v>33.195</v>
      </c>
      <c r="ET173" s="438">
        <v>0</v>
      </c>
      <c r="EU173" s="438">
        <v>291665</v>
      </c>
      <c r="EV173" s="438">
        <v>0</v>
      </c>
      <c r="EW173" s="438">
        <v>0</v>
      </c>
      <c r="EX173" s="438">
        <v>0</v>
      </c>
      <c r="EZ173" s="438">
        <v>5582476</v>
      </c>
      <c r="FA173" s="438">
        <v>0</v>
      </c>
      <c r="FB173" s="438">
        <v>5874141</v>
      </c>
      <c r="FC173" s="438">
        <v>0.97334900000000002</v>
      </c>
      <c r="FD173" s="438">
        <v>0</v>
      </c>
      <c r="FE173" s="438">
        <v>810760</v>
      </c>
      <c r="FF173" s="438">
        <v>184790</v>
      </c>
      <c r="FG173" s="437">
        <v>5.7854999999999997E-2</v>
      </c>
      <c r="FH173" s="437">
        <v>5.2366000000000003E-2</v>
      </c>
      <c r="FI173" s="438">
        <v>0</v>
      </c>
      <c r="FJ173" s="438">
        <v>0</v>
      </c>
      <c r="FK173" s="438">
        <v>1104.481</v>
      </c>
      <c r="FL173" s="438">
        <v>6869691</v>
      </c>
      <c r="FM173" s="438">
        <v>0</v>
      </c>
      <c r="FN173" s="438">
        <v>0</v>
      </c>
      <c r="FO173" s="438">
        <v>0</v>
      </c>
      <c r="FP173" s="438">
        <v>0</v>
      </c>
      <c r="FQ173" s="438">
        <v>0</v>
      </c>
      <c r="FR173" s="438">
        <v>0</v>
      </c>
      <c r="FS173" s="438">
        <v>0</v>
      </c>
      <c r="FT173" s="438">
        <v>0</v>
      </c>
      <c r="FU173" s="438">
        <v>0</v>
      </c>
      <c r="FV173" s="438">
        <v>0</v>
      </c>
      <c r="FW173" s="438">
        <v>0</v>
      </c>
      <c r="FX173" s="438">
        <v>0</v>
      </c>
      <c r="FY173" s="438">
        <v>0</v>
      </c>
      <c r="FZ173" s="438">
        <v>0</v>
      </c>
      <c r="GA173" s="438">
        <v>0</v>
      </c>
      <c r="GB173" s="438">
        <v>239624</v>
      </c>
      <c r="GC173" s="438">
        <v>239624</v>
      </c>
      <c r="GD173" s="438">
        <v>27.123999999999999</v>
      </c>
      <c r="GF173" s="438">
        <v>0</v>
      </c>
      <c r="GG173" s="438">
        <v>0</v>
      </c>
      <c r="GH173" s="438">
        <v>0</v>
      </c>
      <c r="GI173" s="438">
        <v>0</v>
      </c>
      <c r="GJ173" s="438">
        <v>0</v>
      </c>
      <c r="GK173" s="438">
        <v>4781.5609999999997</v>
      </c>
      <c r="GL173" s="438">
        <v>11506</v>
      </c>
      <c r="GM173" s="438">
        <v>0</v>
      </c>
      <c r="GN173" s="438">
        <v>0</v>
      </c>
      <c r="GO173" s="438">
        <v>0</v>
      </c>
      <c r="GP173" s="438">
        <v>6869691</v>
      </c>
      <c r="GQ173" s="438">
        <v>6869691</v>
      </c>
      <c r="GR173" s="438">
        <v>0</v>
      </c>
      <c r="GS173" s="438">
        <v>0</v>
      </c>
      <c r="GT173" s="438">
        <v>0</v>
      </c>
      <c r="HB173" s="438">
        <v>0</v>
      </c>
      <c r="HC173" s="437">
        <v>6.0754000000000002E-2</v>
      </c>
      <c r="HD173" s="438">
        <v>0</v>
      </c>
    </row>
    <row r="174" spans="1:212" x14ac:dyDescent="0.2">
      <c r="A174" s="438">
        <v>25836</v>
      </c>
      <c r="B174" s="442">
        <v>220811</v>
      </c>
      <c r="C174" s="438">
        <v>9</v>
      </c>
      <c r="D174" s="438">
        <v>2020</v>
      </c>
      <c r="E174" s="438">
        <v>5392</v>
      </c>
      <c r="F174" s="438">
        <v>0</v>
      </c>
      <c r="G174" s="438">
        <v>253.26</v>
      </c>
      <c r="H174" s="438">
        <v>250.8</v>
      </c>
      <c r="I174" s="438">
        <v>250.8</v>
      </c>
      <c r="J174" s="438">
        <v>253.26</v>
      </c>
      <c r="K174" s="438">
        <v>0</v>
      </c>
      <c r="L174" s="437">
        <v>6544</v>
      </c>
      <c r="M174" s="438">
        <v>0</v>
      </c>
      <c r="N174" s="438">
        <v>0</v>
      </c>
      <c r="P174" s="438">
        <v>256.45</v>
      </c>
      <c r="Q174" s="438">
        <v>0</v>
      </c>
      <c r="R174" s="438">
        <v>63494</v>
      </c>
      <c r="S174" s="437">
        <v>247.58699999999999</v>
      </c>
      <c r="U174" s="438">
        <v>0</v>
      </c>
      <c r="V174" s="438">
        <v>72.930000000000007</v>
      </c>
      <c r="W174" s="438">
        <v>47725</v>
      </c>
      <c r="X174" s="438">
        <v>47725</v>
      </c>
      <c r="Z174" s="438">
        <v>0</v>
      </c>
      <c r="AA174" s="438">
        <v>1</v>
      </c>
      <c r="AB174" s="438">
        <v>1</v>
      </c>
      <c r="AC174" s="438">
        <v>0</v>
      </c>
      <c r="AD174" s="438" t="s">
        <v>332</v>
      </c>
      <c r="AE174" s="438">
        <v>0</v>
      </c>
      <c r="AH174" s="438">
        <v>0</v>
      </c>
      <c r="AI174" s="438">
        <v>0</v>
      </c>
      <c r="AJ174" s="437">
        <v>5105</v>
      </c>
      <c r="AK174" s="438" t="s">
        <v>561</v>
      </c>
      <c r="AL174" s="438" t="s">
        <v>67</v>
      </c>
      <c r="AM174" s="438">
        <v>0</v>
      </c>
      <c r="AN174" s="438">
        <v>0</v>
      </c>
      <c r="AO174" s="438">
        <v>0</v>
      </c>
      <c r="AP174" s="438">
        <v>0</v>
      </c>
      <c r="AQ174" s="438">
        <v>0</v>
      </c>
      <c r="AR174" s="438">
        <v>0</v>
      </c>
      <c r="AS174" s="438">
        <v>0</v>
      </c>
      <c r="AT174" s="438">
        <v>0</v>
      </c>
      <c r="AU174" s="438">
        <v>0</v>
      </c>
      <c r="AV174" s="438">
        <v>0</v>
      </c>
      <c r="AW174" s="438">
        <v>2437718</v>
      </c>
      <c r="AX174" s="438">
        <v>2426510</v>
      </c>
      <c r="AY174" s="438">
        <v>0</v>
      </c>
      <c r="AZ174" s="438">
        <v>63494</v>
      </c>
      <c r="BA174" s="438">
        <v>21.832999999999998</v>
      </c>
      <c r="BB174" s="438">
        <v>7068</v>
      </c>
      <c r="BC174" s="438">
        <v>7068</v>
      </c>
      <c r="BD174" s="438">
        <v>9</v>
      </c>
      <c r="BE174" s="438">
        <v>0</v>
      </c>
      <c r="BF174" s="438">
        <v>2068177</v>
      </c>
      <c r="BG174" s="438">
        <v>0</v>
      </c>
      <c r="BH174" s="438">
        <v>0</v>
      </c>
      <c r="BI174" s="438">
        <v>0</v>
      </c>
      <c r="BJ174" s="438">
        <v>12</v>
      </c>
      <c r="BK174" s="438">
        <v>0</v>
      </c>
      <c r="BL174" s="438">
        <v>0</v>
      </c>
      <c r="BM174" s="438">
        <v>0</v>
      </c>
      <c r="BN174" s="438">
        <v>0</v>
      </c>
      <c r="BO174" s="438">
        <v>0</v>
      </c>
      <c r="BP174" s="438">
        <v>0</v>
      </c>
      <c r="BQ174" s="437">
        <v>5392</v>
      </c>
      <c r="BR174" s="438">
        <v>1</v>
      </c>
      <c r="BS174" s="438">
        <v>0</v>
      </c>
      <c r="BT174" s="438">
        <v>0</v>
      </c>
      <c r="BU174" s="438">
        <v>0</v>
      </c>
      <c r="BV174" s="438">
        <v>0</v>
      </c>
      <c r="BW174" s="438">
        <v>0</v>
      </c>
      <c r="BX174" s="438">
        <v>0</v>
      </c>
      <c r="BY174" s="438">
        <v>0</v>
      </c>
      <c r="BZ174" s="438">
        <v>0</v>
      </c>
      <c r="CA174" s="438">
        <v>0</v>
      </c>
      <c r="CB174" s="438">
        <v>0</v>
      </c>
      <c r="CC174" s="438">
        <v>0</v>
      </c>
      <c r="CG174" s="438">
        <v>0</v>
      </c>
      <c r="CH174" s="438">
        <v>11208</v>
      </c>
      <c r="CI174" s="438">
        <v>0</v>
      </c>
      <c r="CJ174" s="438">
        <v>4</v>
      </c>
      <c r="CK174" s="438">
        <v>0</v>
      </c>
      <c r="CL174" s="438">
        <v>0</v>
      </c>
      <c r="CN174" s="438">
        <v>0</v>
      </c>
      <c r="CO174" s="438">
        <v>1</v>
      </c>
      <c r="CP174" s="438">
        <v>0</v>
      </c>
      <c r="CQ174" s="438">
        <v>1.167</v>
      </c>
      <c r="CR174" s="438">
        <v>253.26</v>
      </c>
      <c r="CS174" s="438">
        <v>0</v>
      </c>
      <c r="CT174" s="438">
        <v>0</v>
      </c>
      <c r="CU174" s="438">
        <v>0</v>
      </c>
      <c r="CV174" s="438">
        <v>0</v>
      </c>
      <c r="CW174" s="438">
        <v>0</v>
      </c>
      <c r="CX174" s="438">
        <v>0</v>
      </c>
      <c r="CY174" s="438">
        <v>0</v>
      </c>
      <c r="CZ174" s="438">
        <v>0</v>
      </c>
      <c r="DA174" s="438">
        <v>1</v>
      </c>
      <c r="DB174" s="438">
        <v>1641235</v>
      </c>
      <c r="DC174" s="438">
        <v>0</v>
      </c>
      <c r="DD174" s="438">
        <v>23</v>
      </c>
      <c r="DE174" s="438">
        <v>375848</v>
      </c>
      <c r="DF174" s="438">
        <v>375848</v>
      </c>
      <c r="DG174" s="438">
        <v>287.17</v>
      </c>
      <c r="DH174" s="438">
        <v>0</v>
      </c>
      <c r="DI174" s="438">
        <v>0</v>
      </c>
      <c r="DK174" s="437">
        <v>5392</v>
      </c>
      <c r="DL174" s="438">
        <v>0</v>
      </c>
      <c r="DM174" s="438">
        <v>52928</v>
      </c>
      <c r="DN174" s="438">
        <v>0</v>
      </c>
      <c r="DO174" s="438">
        <v>0</v>
      </c>
      <c r="DP174" s="438">
        <v>0</v>
      </c>
      <c r="DQ174" s="438">
        <v>0</v>
      </c>
      <c r="DR174" s="438">
        <v>0</v>
      </c>
      <c r="DS174" s="438">
        <v>0</v>
      </c>
      <c r="DT174" s="438">
        <v>0</v>
      </c>
      <c r="DU174" s="438">
        <v>0</v>
      </c>
      <c r="DV174" s="438">
        <v>0</v>
      </c>
      <c r="DW174" s="438">
        <v>0</v>
      </c>
      <c r="DX174" s="438">
        <v>0</v>
      </c>
      <c r="DY174" s="438">
        <v>0</v>
      </c>
      <c r="DZ174" s="438">
        <v>0</v>
      </c>
      <c r="EA174" s="438">
        <v>0</v>
      </c>
      <c r="EB174" s="438">
        <v>0</v>
      </c>
      <c r="EC174" s="438">
        <v>0</v>
      </c>
      <c r="ED174" s="438">
        <v>0</v>
      </c>
      <c r="EE174" s="438">
        <v>0</v>
      </c>
      <c r="EF174" s="438">
        <v>0</v>
      </c>
      <c r="EG174" s="438">
        <v>0</v>
      </c>
      <c r="EH174" s="438">
        <v>52928</v>
      </c>
      <c r="EI174" s="438">
        <v>0</v>
      </c>
      <c r="EJ174" s="438">
        <v>0</v>
      </c>
      <c r="EK174" s="438">
        <v>2.1059999999999999</v>
      </c>
      <c r="EL174" s="438">
        <v>0</v>
      </c>
      <c r="EM174" s="438">
        <v>0</v>
      </c>
      <c r="EN174" s="438">
        <v>0.35399999999999998</v>
      </c>
      <c r="EO174" s="438">
        <v>0</v>
      </c>
      <c r="EP174" s="438">
        <v>0</v>
      </c>
      <c r="EQ174" s="438">
        <v>2.46</v>
      </c>
      <c r="ER174" s="438">
        <v>0</v>
      </c>
      <c r="ES174" s="438">
        <v>8.0879999999999992</v>
      </c>
      <c r="ET174" s="438">
        <v>11208</v>
      </c>
      <c r="EU174" s="438">
        <v>63494</v>
      </c>
      <c r="EV174" s="438">
        <v>0</v>
      </c>
      <c r="EW174" s="438">
        <v>0</v>
      </c>
      <c r="EX174" s="438">
        <v>0</v>
      </c>
      <c r="EZ174" s="438">
        <v>2061310</v>
      </c>
      <c r="FA174" s="438">
        <v>0</v>
      </c>
      <c r="FB174" s="438">
        <v>2124804</v>
      </c>
      <c r="FC174" s="438">
        <v>0.97334900000000002</v>
      </c>
      <c r="FD174" s="438">
        <v>0</v>
      </c>
      <c r="FE174" s="438">
        <v>297413</v>
      </c>
      <c r="FF174" s="438">
        <v>67787</v>
      </c>
      <c r="FG174" s="437">
        <v>5.7854999999999997E-2</v>
      </c>
      <c r="FH174" s="437">
        <v>5.2366000000000003E-2</v>
      </c>
      <c r="FI174" s="438">
        <v>0</v>
      </c>
      <c r="FJ174" s="438">
        <v>0</v>
      </c>
      <c r="FK174" s="438">
        <v>405.15899999999999</v>
      </c>
      <c r="FL174" s="438">
        <v>2501212</v>
      </c>
      <c r="FM174" s="438">
        <v>0</v>
      </c>
      <c r="FN174" s="438">
        <v>0</v>
      </c>
      <c r="FO174" s="438">
        <v>0</v>
      </c>
      <c r="FP174" s="438">
        <v>0</v>
      </c>
      <c r="FQ174" s="438">
        <v>0</v>
      </c>
      <c r="FR174" s="438">
        <v>0</v>
      </c>
      <c r="FS174" s="438">
        <v>0</v>
      </c>
      <c r="FT174" s="438">
        <v>0</v>
      </c>
      <c r="FU174" s="438">
        <v>0</v>
      </c>
      <c r="FV174" s="438">
        <v>0</v>
      </c>
      <c r="FW174" s="438">
        <v>0</v>
      </c>
      <c r="FX174" s="438">
        <v>0</v>
      </c>
      <c r="FY174" s="438">
        <v>0</v>
      </c>
      <c r="FZ174" s="438">
        <v>0</v>
      </c>
      <c r="GA174" s="438">
        <v>0</v>
      </c>
      <c r="GB174" s="438">
        <v>0</v>
      </c>
      <c r="GC174" s="438">
        <v>0</v>
      </c>
      <c r="GD174" s="438">
        <v>0</v>
      </c>
      <c r="GF174" s="438">
        <v>0</v>
      </c>
      <c r="GG174" s="438">
        <v>0</v>
      </c>
      <c r="GH174" s="438">
        <v>0</v>
      </c>
      <c r="GI174" s="438">
        <v>0</v>
      </c>
      <c r="GJ174" s="438">
        <v>0</v>
      </c>
      <c r="GK174" s="438">
        <v>4738.0249999999996</v>
      </c>
      <c r="GL174" s="438">
        <v>8367</v>
      </c>
      <c r="GM174" s="438">
        <v>0</v>
      </c>
      <c r="GN174" s="438">
        <v>0</v>
      </c>
      <c r="GO174" s="438">
        <v>0</v>
      </c>
      <c r="GP174" s="438">
        <v>2490004</v>
      </c>
      <c r="GQ174" s="438">
        <v>2490004</v>
      </c>
      <c r="GR174" s="438">
        <v>0</v>
      </c>
      <c r="GS174" s="438">
        <v>0</v>
      </c>
      <c r="GT174" s="438">
        <v>0</v>
      </c>
      <c r="HB174" s="438">
        <v>0</v>
      </c>
      <c r="HC174" s="437">
        <v>6.0754000000000002E-2</v>
      </c>
      <c r="HD174" s="438">
        <v>0</v>
      </c>
    </row>
    <row r="175" spans="1:212" x14ac:dyDescent="0.2">
      <c r="A175" s="438">
        <v>25836</v>
      </c>
      <c r="B175" s="442">
        <v>220814</v>
      </c>
      <c r="C175" s="438">
        <v>9</v>
      </c>
      <c r="D175" s="438">
        <v>2020</v>
      </c>
      <c r="E175" s="438">
        <v>5392</v>
      </c>
      <c r="F175" s="438">
        <v>0</v>
      </c>
      <c r="G175" s="438">
        <v>317.59699999999998</v>
      </c>
      <c r="H175" s="438">
        <v>310.21100000000001</v>
      </c>
      <c r="I175" s="438">
        <v>310.21100000000001</v>
      </c>
      <c r="J175" s="438">
        <v>317.59699999999998</v>
      </c>
      <c r="K175" s="438">
        <v>0</v>
      </c>
      <c r="L175" s="437">
        <v>6544</v>
      </c>
      <c r="M175" s="438">
        <v>0</v>
      </c>
      <c r="N175" s="438">
        <v>0</v>
      </c>
      <c r="P175" s="438">
        <v>317.322</v>
      </c>
      <c r="Q175" s="438">
        <v>0</v>
      </c>
      <c r="R175" s="438">
        <v>78565</v>
      </c>
      <c r="S175" s="437">
        <v>247.58699999999999</v>
      </c>
      <c r="U175" s="438">
        <v>0</v>
      </c>
      <c r="V175" s="438">
        <v>35.052999999999997</v>
      </c>
      <c r="W175" s="438">
        <v>22939</v>
      </c>
      <c r="X175" s="438">
        <v>22939</v>
      </c>
      <c r="Z175" s="438">
        <v>0</v>
      </c>
      <c r="AA175" s="438">
        <v>1</v>
      </c>
      <c r="AB175" s="438">
        <v>1</v>
      </c>
      <c r="AC175" s="438">
        <v>0</v>
      </c>
      <c r="AD175" s="438" t="s">
        <v>332</v>
      </c>
      <c r="AE175" s="438">
        <v>0</v>
      </c>
      <c r="AH175" s="438">
        <v>0</v>
      </c>
      <c r="AI175" s="438">
        <v>0</v>
      </c>
      <c r="AJ175" s="437">
        <v>5105</v>
      </c>
      <c r="AK175" s="438" t="s">
        <v>561</v>
      </c>
      <c r="AL175" s="438" t="s">
        <v>379</v>
      </c>
      <c r="AM175" s="438">
        <v>0</v>
      </c>
      <c r="AN175" s="438">
        <v>0</v>
      </c>
      <c r="AO175" s="438">
        <v>0</v>
      </c>
      <c r="AP175" s="438">
        <v>0</v>
      </c>
      <c r="AQ175" s="438">
        <v>0</v>
      </c>
      <c r="AR175" s="438">
        <v>0</v>
      </c>
      <c r="AS175" s="438">
        <v>0</v>
      </c>
      <c r="AT175" s="438">
        <v>0</v>
      </c>
      <c r="AU175" s="438">
        <v>0</v>
      </c>
      <c r="AV175" s="438">
        <v>0</v>
      </c>
      <c r="AW175" s="438">
        <v>2529819</v>
      </c>
      <c r="AX175" s="438">
        <v>2525652</v>
      </c>
      <c r="AY175" s="438">
        <v>0</v>
      </c>
      <c r="AZ175" s="438">
        <v>78565</v>
      </c>
      <c r="BA175" s="438">
        <v>5.8330000000000002</v>
      </c>
      <c r="BB175" s="438">
        <v>12425</v>
      </c>
      <c r="BC175" s="438">
        <v>12425</v>
      </c>
      <c r="BD175" s="438">
        <v>15.821999999999999</v>
      </c>
      <c r="BE175" s="438">
        <v>0</v>
      </c>
      <c r="BF175" s="438">
        <v>2163041</v>
      </c>
      <c r="BG175" s="438">
        <v>0</v>
      </c>
      <c r="BH175" s="438">
        <v>0</v>
      </c>
      <c r="BI175" s="438">
        <v>0</v>
      </c>
      <c r="BJ175" s="438">
        <v>12</v>
      </c>
      <c r="BK175" s="438">
        <v>0</v>
      </c>
      <c r="BL175" s="438">
        <v>0</v>
      </c>
      <c r="BM175" s="438">
        <v>0</v>
      </c>
      <c r="BN175" s="438">
        <v>0</v>
      </c>
      <c r="BO175" s="438">
        <v>0</v>
      </c>
      <c r="BP175" s="438">
        <v>0</v>
      </c>
      <c r="BQ175" s="437">
        <v>5392</v>
      </c>
      <c r="BR175" s="438">
        <v>1</v>
      </c>
      <c r="BS175" s="438">
        <v>0</v>
      </c>
      <c r="BT175" s="438">
        <v>0</v>
      </c>
      <c r="BU175" s="438">
        <v>0</v>
      </c>
      <c r="BV175" s="438">
        <v>0</v>
      </c>
      <c r="BW175" s="438">
        <v>0</v>
      </c>
      <c r="BX175" s="438">
        <v>0</v>
      </c>
      <c r="BY175" s="438">
        <v>0</v>
      </c>
      <c r="BZ175" s="438">
        <v>0</v>
      </c>
      <c r="CA175" s="438">
        <v>0</v>
      </c>
      <c r="CB175" s="438">
        <v>0</v>
      </c>
      <c r="CC175" s="438">
        <v>0</v>
      </c>
      <c r="CG175" s="438">
        <v>0</v>
      </c>
      <c r="CH175" s="438">
        <v>4167</v>
      </c>
      <c r="CI175" s="438">
        <v>0</v>
      </c>
      <c r="CJ175" s="438">
        <v>4</v>
      </c>
      <c r="CK175" s="438">
        <v>0</v>
      </c>
      <c r="CL175" s="438">
        <v>0</v>
      </c>
      <c r="CN175" s="438">
        <v>0</v>
      </c>
      <c r="CO175" s="438">
        <v>1</v>
      </c>
      <c r="CP175" s="438">
        <v>0</v>
      </c>
      <c r="CQ175" s="438">
        <v>5</v>
      </c>
      <c r="CR175" s="438">
        <v>317.59699999999998</v>
      </c>
      <c r="CS175" s="438">
        <v>0</v>
      </c>
      <c r="CT175" s="438">
        <v>0</v>
      </c>
      <c r="CU175" s="438">
        <v>0</v>
      </c>
      <c r="CV175" s="438">
        <v>0</v>
      </c>
      <c r="CW175" s="438">
        <v>0</v>
      </c>
      <c r="CX175" s="438">
        <v>0</v>
      </c>
      <c r="CY175" s="438">
        <v>0</v>
      </c>
      <c r="CZ175" s="438">
        <v>0</v>
      </c>
      <c r="DA175" s="438">
        <v>1</v>
      </c>
      <c r="DB175" s="438">
        <v>2030021</v>
      </c>
      <c r="DC175" s="438">
        <v>0</v>
      </c>
      <c r="DD175" s="438">
        <v>0</v>
      </c>
      <c r="DE175" s="438">
        <v>0</v>
      </c>
      <c r="DF175" s="438">
        <v>0</v>
      </c>
      <c r="DG175" s="438">
        <v>0</v>
      </c>
      <c r="DH175" s="438">
        <v>0</v>
      </c>
      <c r="DI175" s="438">
        <v>0</v>
      </c>
      <c r="DK175" s="437">
        <v>5392</v>
      </c>
      <c r="DL175" s="438">
        <v>0</v>
      </c>
      <c r="DM175" s="438">
        <v>156881</v>
      </c>
      <c r="DN175" s="438">
        <v>0</v>
      </c>
      <c r="DO175" s="438">
        <v>0</v>
      </c>
      <c r="DP175" s="438">
        <v>0</v>
      </c>
      <c r="DQ175" s="438">
        <v>0</v>
      </c>
      <c r="DR175" s="438">
        <v>0</v>
      </c>
      <c r="DS175" s="438">
        <v>0</v>
      </c>
      <c r="DT175" s="438">
        <v>0</v>
      </c>
      <c r="DU175" s="438">
        <v>0</v>
      </c>
      <c r="DV175" s="438">
        <v>0</v>
      </c>
      <c r="DW175" s="438">
        <v>0</v>
      </c>
      <c r="DX175" s="438">
        <v>0</v>
      </c>
      <c r="DY175" s="438">
        <v>0</v>
      </c>
      <c r="DZ175" s="438">
        <v>0</v>
      </c>
      <c r="EA175" s="438">
        <v>0</v>
      </c>
      <c r="EB175" s="438">
        <v>0</v>
      </c>
      <c r="EC175" s="438">
        <v>1.0920000000000001</v>
      </c>
      <c r="ED175" s="438">
        <v>7861</v>
      </c>
      <c r="EE175" s="438">
        <v>0</v>
      </c>
      <c r="EF175" s="438">
        <v>0</v>
      </c>
      <c r="EG175" s="438">
        <v>0</v>
      </c>
      <c r="EH175" s="438">
        <v>149020</v>
      </c>
      <c r="EI175" s="438">
        <v>0</v>
      </c>
      <c r="EJ175" s="438">
        <v>0</v>
      </c>
      <c r="EK175" s="438">
        <v>7.0789999999999997</v>
      </c>
      <c r="EL175" s="438">
        <v>0</v>
      </c>
      <c r="EM175" s="438">
        <v>0</v>
      </c>
      <c r="EN175" s="438">
        <v>0.307</v>
      </c>
      <c r="EO175" s="438">
        <v>0</v>
      </c>
      <c r="EP175" s="438">
        <v>0</v>
      </c>
      <c r="EQ175" s="438">
        <v>7.3860000000000001</v>
      </c>
      <c r="ER175" s="438">
        <v>0</v>
      </c>
      <c r="ES175" s="438">
        <v>22.771999999999998</v>
      </c>
      <c r="ET175" s="438">
        <v>4167</v>
      </c>
      <c r="EU175" s="438">
        <v>78565</v>
      </c>
      <c r="EV175" s="438">
        <v>0</v>
      </c>
      <c r="EW175" s="438">
        <v>0</v>
      </c>
      <c r="EX175" s="438">
        <v>0</v>
      </c>
      <c r="EZ175" s="438">
        <v>2143701</v>
      </c>
      <c r="FA175" s="438">
        <v>0</v>
      </c>
      <c r="FB175" s="438">
        <v>2222266</v>
      </c>
      <c r="FC175" s="438">
        <v>0.97334900000000002</v>
      </c>
      <c r="FD175" s="438">
        <v>0</v>
      </c>
      <c r="FE175" s="438">
        <v>311055</v>
      </c>
      <c r="FF175" s="438">
        <v>70896</v>
      </c>
      <c r="FG175" s="437">
        <v>5.7854999999999997E-2</v>
      </c>
      <c r="FH175" s="437">
        <v>5.2366000000000003E-2</v>
      </c>
      <c r="FI175" s="438">
        <v>0</v>
      </c>
      <c r="FJ175" s="438">
        <v>0</v>
      </c>
      <c r="FK175" s="438">
        <v>423.74400000000003</v>
      </c>
      <c r="FL175" s="438">
        <v>2608384</v>
      </c>
      <c r="FM175" s="438">
        <v>0</v>
      </c>
      <c r="FN175" s="438">
        <v>0</v>
      </c>
      <c r="FO175" s="438">
        <v>0</v>
      </c>
      <c r="FP175" s="438">
        <v>0</v>
      </c>
      <c r="FQ175" s="438">
        <v>0</v>
      </c>
      <c r="FR175" s="438">
        <v>0</v>
      </c>
      <c r="FS175" s="438">
        <v>0</v>
      </c>
      <c r="FT175" s="438">
        <v>0</v>
      </c>
      <c r="FU175" s="438">
        <v>0</v>
      </c>
      <c r="FV175" s="438">
        <v>0</v>
      </c>
      <c r="FW175" s="438">
        <v>0</v>
      </c>
      <c r="FX175" s="438">
        <v>0</v>
      </c>
      <c r="FY175" s="438">
        <v>0</v>
      </c>
      <c r="FZ175" s="438">
        <v>0</v>
      </c>
      <c r="GA175" s="438">
        <v>0</v>
      </c>
      <c r="GB175" s="438">
        <v>0</v>
      </c>
      <c r="GC175" s="438">
        <v>0</v>
      </c>
      <c r="GD175" s="438">
        <v>0</v>
      </c>
      <c r="GF175" s="438">
        <v>0</v>
      </c>
      <c r="GG175" s="438">
        <v>0</v>
      </c>
      <c r="GH175" s="438">
        <v>0</v>
      </c>
      <c r="GI175" s="438">
        <v>0</v>
      </c>
      <c r="GJ175" s="438">
        <v>0</v>
      </c>
      <c r="GK175" s="438">
        <v>4765.8140000000003</v>
      </c>
      <c r="GL175" s="438">
        <v>4224</v>
      </c>
      <c r="GM175" s="438">
        <v>0</v>
      </c>
      <c r="GN175" s="438">
        <v>0</v>
      </c>
      <c r="GO175" s="438">
        <v>0</v>
      </c>
      <c r="GP175" s="438">
        <v>2604217</v>
      </c>
      <c r="GQ175" s="438">
        <v>2604217</v>
      </c>
      <c r="GR175" s="438">
        <v>0</v>
      </c>
      <c r="GS175" s="438">
        <v>0</v>
      </c>
      <c r="GT175" s="438">
        <v>0</v>
      </c>
      <c r="HB175" s="438">
        <v>0</v>
      </c>
      <c r="HC175" s="437">
        <v>6.0754000000000002E-2</v>
      </c>
      <c r="HD175" s="438">
        <v>0</v>
      </c>
    </row>
    <row r="176" spans="1:212" x14ac:dyDescent="0.2">
      <c r="A176" s="438">
        <v>25836</v>
      </c>
      <c r="B176" s="442">
        <v>220815</v>
      </c>
      <c r="C176" s="438">
        <v>9</v>
      </c>
      <c r="D176" s="438">
        <v>2020</v>
      </c>
      <c r="E176" s="438">
        <v>5392</v>
      </c>
      <c r="F176" s="438">
        <v>0</v>
      </c>
      <c r="G176" s="438">
        <v>590.46299999999997</v>
      </c>
      <c r="H176" s="438">
        <v>575.399</v>
      </c>
      <c r="I176" s="438">
        <v>575.399</v>
      </c>
      <c r="J176" s="438">
        <v>590.46299999999997</v>
      </c>
      <c r="K176" s="438">
        <v>0</v>
      </c>
      <c r="L176" s="437">
        <v>6544</v>
      </c>
      <c r="M176" s="438">
        <v>0</v>
      </c>
      <c r="N176" s="438">
        <v>0</v>
      </c>
      <c r="P176" s="438">
        <v>594.29</v>
      </c>
      <c r="Q176" s="438">
        <v>0</v>
      </c>
      <c r="R176" s="438">
        <v>147138</v>
      </c>
      <c r="S176" s="437">
        <v>247.58699999999999</v>
      </c>
      <c r="U176" s="438">
        <v>0</v>
      </c>
      <c r="V176" s="438">
        <v>31.45</v>
      </c>
      <c r="W176" s="438">
        <v>20581</v>
      </c>
      <c r="X176" s="438">
        <v>20581</v>
      </c>
      <c r="Z176" s="438">
        <v>0</v>
      </c>
      <c r="AA176" s="438">
        <v>1</v>
      </c>
      <c r="AB176" s="438">
        <v>1</v>
      </c>
      <c r="AC176" s="438">
        <v>0</v>
      </c>
      <c r="AD176" s="438" t="s">
        <v>332</v>
      </c>
      <c r="AE176" s="438">
        <v>0</v>
      </c>
      <c r="AH176" s="438">
        <v>0</v>
      </c>
      <c r="AI176" s="438">
        <v>0</v>
      </c>
      <c r="AJ176" s="437">
        <v>5105</v>
      </c>
      <c r="AK176" s="438" t="s">
        <v>561</v>
      </c>
      <c r="AL176" s="438" t="s">
        <v>380</v>
      </c>
      <c r="AM176" s="438">
        <v>0</v>
      </c>
      <c r="AN176" s="438">
        <v>0</v>
      </c>
      <c r="AO176" s="438">
        <v>0</v>
      </c>
      <c r="AP176" s="438">
        <v>0</v>
      </c>
      <c r="AQ176" s="438">
        <v>0</v>
      </c>
      <c r="AR176" s="438">
        <v>0</v>
      </c>
      <c r="AS176" s="438">
        <v>0</v>
      </c>
      <c r="AT176" s="438">
        <v>0</v>
      </c>
      <c r="AU176" s="438">
        <v>0</v>
      </c>
      <c r="AV176" s="438">
        <v>0</v>
      </c>
      <c r="AW176" s="438">
        <v>5209441</v>
      </c>
      <c r="AX176" s="438">
        <v>5209441</v>
      </c>
      <c r="AY176" s="438">
        <v>0</v>
      </c>
      <c r="AZ176" s="438">
        <v>147138</v>
      </c>
      <c r="BA176" s="438">
        <v>0</v>
      </c>
      <c r="BB176" s="438">
        <v>23184</v>
      </c>
      <c r="BC176" s="438">
        <v>23184</v>
      </c>
      <c r="BD176" s="438">
        <v>29.523</v>
      </c>
      <c r="BE176" s="438">
        <v>0</v>
      </c>
      <c r="BF176" s="438">
        <v>4449129</v>
      </c>
      <c r="BG176" s="438">
        <v>0</v>
      </c>
      <c r="BH176" s="438">
        <v>0</v>
      </c>
      <c r="BI176" s="438">
        <v>0</v>
      </c>
      <c r="BJ176" s="438">
        <v>12</v>
      </c>
      <c r="BK176" s="438">
        <v>0</v>
      </c>
      <c r="BL176" s="438">
        <v>0</v>
      </c>
      <c r="BM176" s="438">
        <v>0</v>
      </c>
      <c r="BN176" s="438">
        <v>0</v>
      </c>
      <c r="BO176" s="438">
        <v>0</v>
      </c>
      <c r="BP176" s="438">
        <v>0</v>
      </c>
      <c r="BQ176" s="437">
        <v>5392</v>
      </c>
      <c r="BR176" s="438">
        <v>1</v>
      </c>
      <c r="BS176" s="438">
        <v>0</v>
      </c>
      <c r="BT176" s="438">
        <v>0</v>
      </c>
      <c r="BU176" s="438">
        <v>0</v>
      </c>
      <c r="BV176" s="438">
        <v>0</v>
      </c>
      <c r="BW176" s="438">
        <v>0</v>
      </c>
      <c r="BX176" s="438">
        <v>0</v>
      </c>
      <c r="BY176" s="438">
        <v>0</v>
      </c>
      <c r="BZ176" s="438">
        <v>0</v>
      </c>
      <c r="CA176" s="438">
        <v>0</v>
      </c>
      <c r="CB176" s="438">
        <v>0</v>
      </c>
      <c r="CC176" s="438">
        <v>0</v>
      </c>
      <c r="CG176" s="438">
        <v>0</v>
      </c>
      <c r="CH176" s="438">
        <v>0</v>
      </c>
      <c r="CI176" s="438">
        <v>0</v>
      </c>
      <c r="CJ176" s="438">
        <v>5</v>
      </c>
      <c r="CK176" s="438">
        <v>0</v>
      </c>
      <c r="CL176" s="438">
        <v>0</v>
      </c>
      <c r="CN176" s="438">
        <v>0</v>
      </c>
      <c r="CO176" s="438">
        <v>1</v>
      </c>
      <c r="CP176" s="438">
        <v>0</v>
      </c>
      <c r="CQ176" s="438">
        <v>0</v>
      </c>
      <c r="CR176" s="438">
        <v>590.46299999999997</v>
      </c>
      <c r="CS176" s="438">
        <v>0</v>
      </c>
      <c r="CT176" s="438">
        <v>0</v>
      </c>
      <c r="CU176" s="438">
        <v>0</v>
      </c>
      <c r="CV176" s="438">
        <v>0</v>
      </c>
      <c r="CW176" s="438">
        <v>0</v>
      </c>
      <c r="CX176" s="438">
        <v>0</v>
      </c>
      <c r="CY176" s="438">
        <v>0</v>
      </c>
      <c r="CZ176" s="438">
        <v>0</v>
      </c>
      <c r="DA176" s="438">
        <v>1</v>
      </c>
      <c r="DB176" s="438">
        <v>3765411</v>
      </c>
      <c r="DC176" s="438">
        <v>0</v>
      </c>
      <c r="DD176" s="438">
        <v>0</v>
      </c>
      <c r="DE176" s="438">
        <v>429509</v>
      </c>
      <c r="DF176" s="438">
        <v>429509</v>
      </c>
      <c r="DG176" s="438">
        <v>328.17</v>
      </c>
      <c r="DH176" s="438">
        <v>0</v>
      </c>
      <c r="DI176" s="438">
        <v>0</v>
      </c>
      <c r="DK176" s="437">
        <v>5392</v>
      </c>
      <c r="DL176" s="438">
        <v>0</v>
      </c>
      <c r="DM176" s="438">
        <v>332263</v>
      </c>
      <c r="DN176" s="438">
        <v>0</v>
      </c>
      <c r="DO176" s="438">
        <v>0</v>
      </c>
      <c r="DP176" s="438">
        <v>0</v>
      </c>
      <c r="DQ176" s="438">
        <v>0</v>
      </c>
      <c r="DR176" s="438">
        <v>0</v>
      </c>
      <c r="DS176" s="438">
        <v>0</v>
      </c>
      <c r="DT176" s="438">
        <v>0</v>
      </c>
      <c r="DU176" s="438">
        <v>0</v>
      </c>
      <c r="DV176" s="438">
        <v>0</v>
      </c>
      <c r="DW176" s="438">
        <v>0</v>
      </c>
      <c r="DX176" s="438">
        <v>0</v>
      </c>
      <c r="DY176" s="438">
        <v>0</v>
      </c>
      <c r="DZ176" s="438">
        <v>0</v>
      </c>
      <c r="EA176" s="438">
        <v>0</v>
      </c>
      <c r="EB176" s="438">
        <v>0</v>
      </c>
      <c r="EC176" s="438">
        <v>2.5670000000000002</v>
      </c>
      <c r="ED176" s="438">
        <v>18478</v>
      </c>
      <c r="EE176" s="438">
        <v>0</v>
      </c>
      <c r="EF176" s="438">
        <v>0</v>
      </c>
      <c r="EG176" s="438">
        <v>0</v>
      </c>
      <c r="EH176" s="438">
        <v>313785</v>
      </c>
      <c r="EI176" s="438">
        <v>0</v>
      </c>
      <c r="EJ176" s="438">
        <v>0</v>
      </c>
      <c r="EK176" s="438">
        <v>13.685</v>
      </c>
      <c r="EL176" s="438">
        <v>0</v>
      </c>
      <c r="EM176" s="438">
        <v>0</v>
      </c>
      <c r="EN176" s="438">
        <v>1.379</v>
      </c>
      <c r="EO176" s="438">
        <v>0</v>
      </c>
      <c r="EP176" s="438">
        <v>0</v>
      </c>
      <c r="EQ176" s="438">
        <v>15.064</v>
      </c>
      <c r="ER176" s="438">
        <v>0</v>
      </c>
      <c r="ES176" s="438">
        <v>47.95</v>
      </c>
      <c r="ET176" s="438">
        <v>0</v>
      </c>
      <c r="EU176" s="438">
        <v>147138</v>
      </c>
      <c r="EV176" s="438">
        <v>0</v>
      </c>
      <c r="EW176" s="438">
        <v>0</v>
      </c>
      <c r="EX176" s="438">
        <v>0</v>
      </c>
      <c r="EZ176" s="438">
        <v>4423810</v>
      </c>
      <c r="FA176" s="438">
        <v>0</v>
      </c>
      <c r="FB176" s="438">
        <v>4570948</v>
      </c>
      <c r="FC176" s="438">
        <v>0.97334900000000002</v>
      </c>
      <c r="FD176" s="438">
        <v>0</v>
      </c>
      <c r="FE176" s="438">
        <v>639805</v>
      </c>
      <c r="FF176" s="438">
        <v>145826</v>
      </c>
      <c r="FG176" s="437">
        <v>5.7854999999999997E-2</v>
      </c>
      <c r="FH176" s="437">
        <v>5.2366000000000003E-2</v>
      </c>
      <c r="FI176" s="438">
        <v>0</v>
      </c>
      <c r="FJ176" s="438">
        <v>0</v>
      </c>
      <c r="FK176" s="438">
        <v>871.59199999999998</v>
      </c>
      <c r="FL176" s="438">
        <v>5356579</v>
      </c>
      <c r="FM176" s="438">
        <v>0</v>
      </c>
      <c r="FN176" s="438">
        <v>0</v>
      </c>
      <c r="FO176" s="438">
        <v>0</v>
      </c>
      <c r="FP176" s="438">
        <v>0</v>
      </c>
      <c r="FQ176" s="438">
        <v>0</v>
      </c>
      <c r="FR176" s="438">
        <v>0</v>
      </c>
      <c r="FS176" s="438">
        <v>0</v>
      </c>
      <c r="FT176" s="438">
        <v>0</v>
      </c>
      <c r="FU176" s="438">
        <v>0</v>
      </c>
      <c r="FV176" s="438">
        <v>0</v>
      </c>
      <c r="FW176" s="438">
        <v>0</v>
      </c>
      <c r="FX176" s="438">
        <v>0</v>
      </c>
      <c r="FY176" s="438">
        <v>0</v>
      </c>
      <c r="FZ176" s="438">
        <v>0</v>
      </c>
      <c r="GA176" s="438">
        <v>0</v>
      </c>
      <c r="GB176" s="438">
        <v>0</v>
      </c>
      <c r="GC176" s="438">
        <v>0</v>
      </c>
      <c r="GD176" s="438">
        <v>0</v>
      </c>
      <c r="GF176" s="438">
        <v>0</v>
      </c>
      <c r="GG176" s="438">
        <v>0</v>
      </c>
      <c r="GH176" s="438">
        <v>0</v>
      </c>
      <c r="GI176" s="438">
        <v>0</v>
      </c>
      <c r="GJ176" s="438">
        <v>0</v>
      </c>
      <c r="GK176" s="438">
        <v>4604.6369999999997</v>
      </c>
      <c r="GL176" s="438">
        <v>3641</v>
      </c>
      <c r="GM176" s="438">
        <v>0</v>
      </c>
      <c r="GN176" s="438">
        <v>0</v>
      </c>
      <c r="GO176" s="438">
        <v>0</v>
      </c>
      <c r="GP176" s="438">
        <v>5356579</v>
      </c>
      <c r="GQ176" s="438">
        <v>5356579</v>
      </c>
      <c r="GR176" s="438">
        <v>0</v>
      </c>
      <c r="GS176" s="438">
        <v>0</v>
      </c>
      <c r="GT176" s="438">
        <v>0</v>
      </c>
      <c r="HB176" s="438">
        <v>0</v>
      </c>
      <c r="HC176" s="437">
        <v>6.0754000000000002E-2</v>
      </c>
      <c r="HD176" s="438">
        <v>0</v>
      </c>
    </row>
    <row r="177" spans="1:212" x14ac:dyDescent="0.2">
      <c r="A177" s="438">
        <v>25836</v>
      </c>
      <c r="B177" s="442">
        <v>220817</v>
      </c>
      <c r="C177" s="438">
        <v>9</v>
      </c>
      <c r="D177" s="438">
        <v>2020</v>
      </c>
      <c r="E177" s="438">
        <v>5392</v>
      </c>
      <c r="F177" s="438">
        <v>0</v>
      </c>
      <c r="G177" s="438">
        <v>2775.2170000000001</v>
      </c>
      <c r="H177" s="438">
        <v>2508.9229999999998</v>
      </c>
      <c r="I177" s="438">
        <v>2508.9229999999998</v>
      </c>
      <c r="J177" s="438">
        <v>2775.2170000000001</v>
      </c>
      <c r="K177" s="438">
        <v>0</v>
      </c>
      <c r="L177" s="437">
        <v>6544</v>
      </c>
      <c r="M177" s="438">
        <v>0</v>
      </c>
      <c r="N177" s="438">
        <v>0</v>
      </c>
      <c r="P177" s="438">
        <v>2778.8829999999998</v>
      </c>
      <c r="Q177" s="438">
        <v>0</v>
      </c>
      <c r="R177" s="438">
        <v>688015</v>
      </c>
      <c r="S177" s="437">
        <v>247.58699999999999</v>
      </c>
      <c r="U177" s="438">
        <v>0</v>
      </c>
      <c r="V177" s="438">
        <v>396.58300000000003</v>
      </c>
      <c r="W177" s="438">
        <v>259524</v>
      </c>
      <c r="X177" s="438">
        <v>259524</v>
      </c>
      <c r="Z177" s="438">
        <v>0</v>
      </c>
      <c r="AA177" s="438">
        <v>1</v>
      </c>
      <c r="AB177" s="438">
        <v>1</v>
      </c>
      <c r="AC177" s="438">
        <v>0</v>
      </c>
      <c r="AD177" s="438" t="s">
        <v>332</v>
      </c>
      <c r="AE177" s="438">
        <v>0</v>
      </c>
      <c r="AH177" s="438">
        <v>0</v>
      </c>
      <c r="AI177" s="438">
        <v>0</v>
      </c>
      <c r="AJ177" s="437">
        <v>5105</v>
      </c>
      <c r="AK177" s="438" t="s">
        <v>561</v>
      </c>
      <c r="AL177" s="438" t="s">
        <v>381</v>
      </c>
      <c r="AM177" s="438">
        <v>0</v>
      </c>
      <c r="AN177" s="438">
        <v>0</v>
      </c>
      <c r="AO177" s="438">
        <v>0</v>
      </c>
      <c r="AP177" s="438">
        <v>0</v>
      </c>
      <c r="AQ177" s="438">
        <v>0</v>
      </c>
      <c r="AR177" s="438">
        <v>0</v>
      </c>
      <c r="AS177" s="438">
        <v>0</v>
      </c>
      <c r="AT177" s="438">
        <v>0</v>
      </c>
      <c r="AU177" s="438">
        <v>0</v>
      </c>
      <c r="AV177" s="438">
        <v>0</v>
      </c>
      <c r="AW177" s="438">
        <v>24816972</v>
      </c>
      <c r="AX177" s="438">
        <v>24660034</v>
      </c>
      <c r="AY177" s="438">
        <v>0</v>
      </c>
      <c r="AZ177" s="438">
        <v>844953</v>
      </c>
      <c r="BA177" s="438">
        <v>0</v>
      </c>
      <c r="BB177" s="438">
        <v>108966</v>
      </c>
      <c r="BC177" s="438">
        <v>108966</v>
      </c>
      <c r="BD177" s="438">
        <v>138.761</v>
      </c>
      <c r="BE177" s="438">
        <v>0</v>
      </c>
      <c r="BF177" s="438">
        <v>21053879</v>
      </c>
      <c r="BG177" s="438">
        <v>0</v>
      </c>
      <c r="BH177" s="438">
        <v>570.68499999999995</v>
      </c>
      <c r="BI177" s="438">
        <v>156938</v>
      </c>
      <c r="BJ177" s="438">
        <v>12</v>
      </c>
      <c r="BK177" s="438">
        <v>0</v>
      </c>
      <c r="BL177" s="438">
        <v>0</v>
      </c>
      <c r="BM177" s="438">
        <v>0</v>
      </c>
      <c r="BN177" s="438">
        <v>0</v>
      </c>
      <c r="BO177" s="438">
        <v>0</v>
      </c>
      <c r="BP177" s="438">
        <v>0</v>
      </c>
      <c r="BQ177" s="437">
        <v>5392</v>
      </c>
      <c r="BR177" s="438">
        <v>1</v>
      </c>
      <c r="BS177" s="438">
        <v>0</v>
      </c>
      <c r="BT177" s="438">
        <v>0</v>
      </c>
      <c r="BU177" s="438">
        <v>0</v>
      </c>
      <c r="BV177" s="438">
        <v>0</v>
      </c>
      <c r="BW177" s="438">
        <v>0</v>
      </c>
      <c r="BX177" s="438">
        <v>0</v>
      </c>
      <c r="BY177" s="438">
        <v>0</v>
      </c>
      <c r="BZ177" s="438">
        <v>0</v>
      </c>
      <c r="CA177" s="438">
        <v>0</v>
      </c>
      <c r="CB177" s="438">
        <v>0</v>
      </c>
      <c r="CC177" s="438">
        <v>0</v>
      </c>
      <c r="CG177" s="438">
        <v>0</v>
      </c>
      <c r="CH177" s="438">
        <v>0</v>
      </c>
      <c r="CI177" s="438">
        <v>0</v>
      </c>
      <c r="CJ177" s="438">
        <v>4</v>
      </c>
      <c r="CK177" s="438">
        <v>0</v>
      </c>
      <c r="CL177" s="438">
        <v>0</v>
      </c>
      <c r="CN177" s="438">
        <v>0</v>
      </c>
      <c r="CO177" s="438">
        <v>1</v>
      </c>
      <c r="CP177" s="438">
        <v>0</v>
      </c>
      <c r="CQ177" s="438">
        <v>0</v>
      </c>
      <c r="CR177" s="438">
        <v>2775.2170000000001</v>
      </c>
      <c r="CS177" s="438">
        <v>0</v>
      </c>
      <c r="CT177" s="438">
        <v>0</v>
      </c>
      <c r="CU177" s="438">
        <v>0</v>
      </c>
      <c r="CV177" s="438">
        <v>0</v>
      </c>
      <c r="CW177" s="438">
        <v>0</v>
      </c>
      <c r="CX177" s="438">
        <v>0</v>
      </c>
      <c r="CY177" s="438">
        <v>0</v>
      </c>
      <c r="CZ177" s="438">
        <v>0</v>
      </c>
      <c r="DA177" s="438">
        <v>1</v>
      </c>
      <c r="DB177" s="438">
        <v>16418392</v>
      </c>
      <c r="DC177" s="438">
        <v>0</v>
      </c>
      <c r="DD177" s="438">
        <v>0</v>
      </c>
      <c r="DE177" s="438">
        <v>1780845</v>
      </c>
      <c r="DF177" s="438">
        <v>1780845</v>
      </c>
      <c r="DG177" s="438">
        <v>1360.67</v>
      </c>
      <c r="DH177" s="438">
        <v>0</v>
      </c>
      <c r="DI177" s="438">
        <v>0</v>
      </c>
      <c r="DK177" s="437">
        <v>5392</v>
      </c>
      <c r="DL177" s="438">
        <v>0</v>
      </c>
      <c r="DM177" s="438">
        <v>1163421</v>
      </c>
      <c r="DN177" s="438">
        <v>0</v>
      </c>
      <c r="DO177" s="438">
        <v>0</v>
      </c>
      <c r="DP177" s="438">
        <v>0</v>
      </c>
      <c r="DQ177" s="438">
        <v>0</v>
      </c>
      <c r="DR177" s="438">
        <v>0</v>
      </c>
      <c r="DS177" s="438">
        <v>0</v>
      </c>
      <c r="DT177" s="438">
        <v>0</v>
      </c>
      <c r="DU177" s="438">
        <v>0</v>
      </c>
      <c r="DV177" s="438">
        <v>0</v>
      </c>
      <c r="DW177" s="438">
        <v>0</v>
      </c>
      <c r="DX177" s="438">
        <v>0</v>
      </c>
      <c r="DY177" s="438">
        <v>0</v>
      </c>
      <c r="DZ177" s="438">
        <v>0</v>
      </c>
      <c r="EA177" s="438">
        <v>0</v>
      </c>
      <c r="EB177" s="438">
        <v>0</v>
      </c>
      <c r="EC177" s="438">
        <v>15.583</v>
      </c>
      <c r="ED177" s="438">
        <v>112173</v>
      </c>
      <c r="EE177" s="438">
        <v>0</v>
      </c>
      <c r="EF177" s="438">
        <v>0</v>
      </c>
      <c r="EG177" s="438">
        <v>0</v>
      </c>
      <c r="EH177" s="438">
        <v>1051248</v>
      </c>
      <c r="EI177" s="438">
        <v>0</v>
      </c>
      <c r="EJ177" s="438">
        <v>0</v>
      </c>
      <c r="EK177" s="438">
        <v>45.973999999999997</v>
      </c>
      <c r="EL177" s="438">
        <v>0</v>
      </c>
      <c r="EM177" s="438">
        <v>1.9970000000000001</v>
      </c>
      <c r="EN177" s="438">
        <v>3.3460000000000001</v>
      </c>
      <c r="EO177" s="438">
        <v>0</v>
      </c>
      <c r="EP177" s="438">
        <v>0</v>
      </c>
      <c r="EQ177" s="438">
        <v>51.317</v>
      </c>
      <c r="ER177" s="438">
        <v>0</v>
      </c>
      <c r="ES177" s="438">
        <v>160.643</v>
      </c>
      <c r="ET177" s="438">
        <v>0</v>
      </c>
      <c r="EU177" s="438">
        <v>844953</v>
      </c>
      <c r="EV177" s="438">
        <v>0</v>
      </c>
      <c r="EW177" s="438">
        <v>0</v>
      </c>
      <c r="EX177" s="438">
        <v>0</v>
      </c>
      <c r="EZ177" s="438">
        <v>20942326</v>
      </c>
      <c r="FA177" s="438">
        <v>0</v>
      </c>
      <c r="FB177" s="438">
        <v>21787279</v>
      </c>
      <c r="FC177" s="438">
        <v>0.97334900000000002</v>
      </c>
      <c r="FD177" s="438">
        <v>0</v>
      </c>
      <c r="FE177" s="438">
        <v>3027642</v>
      </c>
      <c r="FF177" s="438">
        <v>690066</v>
      </c>
      <c r="FG177" s="437">
        <v>5.7854999999999997E-2</v>
      </c>
      <c r="FH177" s="437">
        <v>5.2366000000000003E-2</v>
      </c>
      <c r="FI177" s="438">
        <v>0</v>
      </c>
      <c r="FJ177" s="438">
        <v>0</v>
      </c>
      <c r="FK177" s="438">
        <v>4124.4920000000002</v>
      </c>
      <c r="FL177" s="438">
        <v>25504987</v>
      </c>
      <c r="FM177" s="438">
        <v>0</v>
      </c>
      <c r="FN177" s="438">
        <v>0</v>
      </c>
      <c r="FO177" s="438">
        <v>0</v>
      </c>
      <c r="FP177" s="438">
        <v>0</v>
      </c>
      <c r="FQ177" s="438">
        <v>0</v>
      </c>
      <c r="FR177" s="438">
        <v>0</v>
      </c>
      <c r="FS177" s="438">
        <v>0</v>
      </c>
      <c r="FT177" s="438">
        <v>0</v>
      </c>
      <c r="FU177" s="438">
        <v>0</v>
      </c>
      <c r="FV177" s="438">
        <v>0</v>
      </c>
      <c r="FW177" s="438">
        <v>0</v>
      </c>
      <c r="FX177" s="438">
        <v>0</v>
      </c>
      <c r="FY177" s="438">
        <v>0</v>
      </c>
      <c r="FZ177" s="438">
        <v>0</v>
      </c>
      <c r="GA177" s="438">
        <v>0</v>
      </c>
      <c r="GB177" s="438">
        <v>1899193</v>
      </c>
      <c r="GC177" s="438">
        <v>1899193</v>
      </c>
      <c r="GD177" s="438">
        <v>214.977</v>
      </c>
      <c r="GF177" s="438">
        <v>0</v>
      </c>
      <c r="GG177" s="438">
        <v>0</v>
      </c>
      <c r="GH177" s="438">
        <v>0</v>
      </c>
      <c r="GI177" s="438">
        <v>0</v>
      </c>
      <c r="GJ177" s="438">
        <v>0</v>
      </c>
      <c r="GK177" s="438">
        <v>4604.6369999999997</v>
      </c>
      <c r="GL177" s="438">
        <v>0</v>
      </c>
      <c r="GM177" s="438">
        <v>0</v>
      </c>
      <c r="GN177" s="438">
        <v>0</v>
      </c>
      <c r="GO177" s="438">
        <v>0</v>
      </c>
      <c r="GP177" s="438">
        <v>25504987</v>
      </c>
      <c r="GQ177" s="438">
        <v>25504987</v>
      </c>
      <c r="GR177" s="438">
        <v>0</v>
      </c>
      <c r="GS177" s="438">
        <v>0</v>
      </c>
      <c r="GT177" s="438">
        <v>0</v>
      </c>
      <c r="HB177" s="438">
        <v>0</v>
      </c>
      <c r="HC177" s="437">
        <v>6.0754000000000002E-2</v>
      </c>
      <c r="HD177" s="438">
        <v>0</v>
      </c>
    </row>
    <row r="178" spans="1:212" x14ac:dyDescent="0.2">
      <c r="A178" s="438">
        <v>25836</v>
      </c>
      <c r="B178" s="442">
        <v>220819</v>
      </c>
      <c r="C178" s="438">
        <v>9</v>
      </c>
      <c r="D178" s="438">
        <v>2020</v>
      </c>
      <c r="E178" s="438">
        <v>5392</v>
      </c>
      <c r="F178" s="438">
        <v>0</v>
      </c>
      <c r="G178" s="438">
        <v>1323.3320000000001</v>
      </c>
      <c r="H178" s="438">
        <v>1277.6980000000001</v>
      </c>
      <c r="I178" s="438">
        <v>1277.6980000000001</v>
      </c>
      <c r="J178" s="438">
        <v>1323.3320000000001</v>
      </c>
      <c r="K178" s="438">
        <v>0</v>
      </c>
      <c r="L178" s="437">
        <v>6544</v>
      </c>
      <c r="M178" s="438">
        <v>0</v>
      </c>
      <c r="N178" s="438">
        <v>0</v>
      </c>
      <c r="P178" s="438">
        <v>1326.5719999999999</v>
      </c>
      <c r="Q178" s="438">
        <v>0</v>
      </c>
      <c r="R178" s="438">
        <v>328442</v>
      </c>
      <c r="S178" s="437">
        <v>247.58699999999999</v>
      </c>
      <c r="U178" s="438">
        <v>0</v>
      </c>
      <c r="V178" s="438">
        <v>60.734999999999999</v>
      </c>
      <c r="W178" s="438">
        <v>39745</v>
      </c>
      <c r="X178" s="438">
        <v>39745</v>
      </c>
      <c r="Z178" s="438">
        <v>0</v>
      </c>
      <c r="AA178" s="438">
        <v>1</v>
      </c>
      <c r="AB178" s="438">
        <v>1</v>
      </c>
      <c r="AC178" s="438">
        <v>0</v>
      </c>
      <c r="AD178" s="438" t="s">
        <v>332</v>
      </c>
      <c r="AE178" s="438">
        <v>0</v>
      </c>
      <c r="AH178" s="438">
        <v>0</v>
      </c>
      <c r="AI178" s="438">
        <v>0</v>
      </c>
      <c r="AJ178" s="437">
        <v>5105</v>
      </c>
      <c r="AK178" s="438" t="s">
        <v>561</v>
      </c>
      <c r="AL178" s="438" t="s">
        <v>392</v>
      </c>
      <c r="AM178" s="438">
        <v>0</v>
      </c>
      <c r="AN178" s="438">
        <v>0</v>
      </c>
      <c r="AO178" s="438">
        <v>0</v>
      </c>
      <c r="AP178" s="438">
        <v>0</v>
      </c>
      <c r="AQ178" s="438">
        <v>0</v>
      </c>
      <c r="AR178" s="438">
        <v>0</v>
      </c>
      <c r="AS178" s="438">
        <v>0</v>
      </c>
      <c r="AT178" s="438">
        <v>0</v>
      </c>
      <c r="AU178" s="438">
        <v>0</v>
      </c>
      <c r="AV178" s="438">
        <v>0</v>
      </c>
      <c r="AW178" s="438">
        <v>11178714</v>
      </c>
      <c r="AX178" s="438">
        <v>11143125</v>
      </c>
      <c r="AY178" s="438">
        <v>0</v>
      </c>
      <c r="AZ178" s="438">
        <v>364031</v>
      </c>
      <c r="BA178" s="438">
        <v>0</v>
      </c>
      <c r="BB178" s="438">
        <v>51828</v>
      </c>
      <c r="BC178" s="438">
        <v>51828</v>
      </c>
      <c r="BD178" s="438">
        <v>66</v>
      </c>
      <c r="BE178" s="438">
        <v>0</v>
      </c>
      <c r="BF178" s="438">
        <v>9528188</v>
      </c>
      <c r="BG178" s="438">
        <v>0</v>
      </c>
      <c r="BH178" s="438">
        <v>129.41399999999999</v>
      </c>
      <c r="BI178" s="438">
        <v>35589</v>
      </c>
      <c r="BJ178" s="438">
        <v>12</v>
      </c>
      <c r="BK178" s="438">
        <v>0</v>
      </c>
      <c r="BL178" s="438">
        <v>0</v>
      </c>
      <c r="BM178" s="438">
        <v>0</v>
      </c>
      <c r="BN178" s="438">
        <v>0</v>
      </c>
      <c r="BO178" s="438">
        <v>0</v>
      </c>
      <c r="BP178" s="438">
        <v>0</v>
      </c>
      <c r="BQ178" s="437">
        <v>5392</v>
      </c>
      <c r="BR178" s="438">
        <v>1</v>
      </c>
      <c r="BS178" s="438">
        <v>0</v>
      </c>
      <c r="BT178" s="438">
        <v>0</v>
      </c>
      <c r="BU178" s="438">
        <v>0</v>
      </c>
      <c r="BV178" s="438">
        <v>0</v>
      </c>
      <c r="BW178" s="438">
        <v>0</v>
      </c>
      <c r="BX178" s="438">
        <v>0</v>
      </c>
      <c r="BY178" s="438">
        <v>0</v>
      </c>
      <c r="BZ178" s="438">
        <v>0</v>
      </c>
      <c r="CA178" s="438">
        <v>0</v>
      </c>
      <c r="CB178" s="438">
        <v>0</v>
      </c>
      <c r="CC178" s="438">
        <v>0</v>
      </c>
      <c r="CG178" s="438">
        <v>0</v>
      </c>
      <c r="CH178" s="438">
        <v>0</v>
      </c>
      <c r="CI178" s="438">
        <v>0</v>
      </c>
      <c r="CJ178" s="438">
        <v>5</v>
      </c>
      <c r="CK178" s="438">
        <v>0</v>
      </c>
      <c r="CL178" s="438">
        <v>0</v>
      </c>
      <c r="CN178" s="438">
        <v>0</v>
      </c>
      <c r="CO178" s="438">
        <v>1</v>
      </c>
      <c r="CP178" s="438">
        <v>0</v>
      </c>
      <c r="CQ178" s="438">
        <v>0</v>
      </c>
      <c r="CR178" s="438">
        <v>1323.3320000000001</v>
      </c>
      <c r="CS178" s="438">
        <v>0</v>
      </c>
      <c r="CT178" s="438">
        <v>0</v>
      </c>
      <c r="CU178" s="438">
        <v>0</v>
      </c>
      <c r="CV178" s="438">
        <v>0</v>
      </c>
      <c r="CW178" s="438">
        <v>0</v>
      </c>
      <c r="CX178" s="438">
        <v>0</v>
      </c>
      <c r="CY178" s="438">
        <v>0</v>
      </c>
      <c r="CZ178" s="438">
        <v>0</v>
      </c>
      <c r="DA178" s="438">
        <v>1</v>
      </c>
      <c r="DB178" s="438">
        <v>8361256</v>
      </c>
      <c r="DC178" s="438">
        <v>0</v>
      </c>
      <c r="DD178" s="438">
        <v>0</v>
      </c>
      <c r="DE178" s="438">
        <v>383910</v>
      </c>
      <c r="DF178" s="438">
        <v>383910</v>
      </c>
      <c r="DG178" s="438">
        <v>293.33</v>
      </c>
      <c r="DH178" s="438">
        <v>0</v>
      </c>
      <c r="DI178" s="438">
        <v>0</v>
      </c>
      <c r="DK178" s="437">
        <v>5392</v>
      </c>
      <c r="DL178" s="438">
        <v>0</v>
      </c>
      <c r="DM178" s="438">
        <v>777263</v>
      </c>
      <c r="DN178" s="438">
        <v>0</v>
      </c>
      <c r="DO178" s="438">
        <v>0</v>
      </c>
      <c r="DP178" s="438">
        <v>0</v>
      </c>
      <c r="DQ178" s="438">
        <v>0</v>
      </c>
      <c r="DR178" s="438">
        <v>0</v>
      </c>
      <c r="DS178" s="438">
        <v>0</v>
      </c>
      <c r="DT178" s="438">
        <v>0</v>
      </c>
      <c r="DU178" s="438">
        <v>0</v>
      </c>
      <c r="DV178" s="438">
        <v>0</v>
      </c>
      <c r="DW178" s="438">
        <v>0</v>
      </c>
      <c r="DX178" s="438">
        <v>0</v>
      </c>
      <c r="DY178" s="438">
        <v>0</v>
      </c>
      <c r="DZ178" s="438">
        <v>0</v>
      </c>
      <c r="EA178" s="438">
        <v>0</v>
      </c>
      <c r="EB178" s="438">
        <v>0</v>
      </c>
      <c r="EC178" s="438">
        <v>33</v>
      </c>
      <c r="ED178" s="438">
        <v>237547</v>
      </c>
      <c r="EE178" s="438">
        <v>0</v>
      </c>
      <c r="EF178" s="438">
        <v>0</v>
      </c>
      <c r="EG178" s="438">
        <v>0</v>
      </c>
      <c r="EH178" s="438">
        <v>539716</v>
      </c>
      <c r="EI178" s="438">
        <v>0</v>
      </c>
      <c r="EJ178" s="438">
        <v>0</v>
      </c>
      <c r="EK178" s="438">
        <v>23.277999999999999</v>
      </c>
      <c r="EL178" s="438">
        <v>0</v>
      </c>
      <c r="EM178" s="438">
        <v>2.7E-2</v>
      </c>
      <c r="EN178" s="438">
        <v>2.512</v>
      </c>
      <c r="EO178" s="438">
        <v>0</v>
      </c>
      <c r="EP178" s="438">
        <v>0</v>
      </c>
      <c r="EQ178" s="438">
        <v>25.817</v>
      </c>
      <c r="ER178" s="438">
        <v>0</v>
      </c>
      <c r="ES178" s="438">
        <v>82.474999999999994</v>
      </c>
      <c r="ET178" s="438">
        <v>0</v>
      </c>
      <c r="EU178" s="438">
        <v>364031</v>
      </c>
      <c r="EV178" s="438">
        <v>0</v>
      </c>
      <c r="EW178" s="438">
        <v>0</v>
      </c>
      <c r="EX178" s="438">
        <v>0</v>
      </c>
      <c r="EZ178" s="438">
        <v>9460631</v>
      </c>
      <c r="FA178" s="438">
        <v>0</v>
      </c>
      <c r="FB178" s="438">
        <v>9824662</v>
      </c>
      <c r="FC178" s="438">
        <v>0.97334900000000002</v>
      </c>
      <c r="FD178" s="438">
        <v>0</v>
      </c>
      <c r="FE178" s="438">
        <v>1370196</v>
      </c>
      <c r="FF178" s="438">
        <v>312298</v>
      </c>
      <c r="FG178" s="437">
        <v>5.7854999999999997E-2</v>
      </c>
      <c r="FH178" s="437">
        <v>5.2366000000000003E-2</v>
      </c>
      <c r="FI178" s="438">
        <v>0</v>
      </c>
      <c r="FJ178" s="438">
        <v>0</v>
      </c>
      <c r="FK178" s="438">
        <v>1866.5889999999999</v>
      </c>
      <c r="FL178" s="438">
        <v>11507156</v>
      </c>
      <c r="FM178" s="438">
        <v>0</v>
      </c>
      <c r="FN178" s="438">
        <v>0</v>
      </c>
      <c r="FO178" s="438">
        <v>0</v>
      </c>
      <c r="FP178" s="438">
        <v>0</v>
      </c>
      <c r="FQ178" s="438">
        <v>0</v>
      </c>
      <c r="FR178" s="438">
        <v>0</v>
      </c>
      <c r="FS178" s="438">
        <v>0</v>
      </c>
      <c r="FT178" s="438">
        <v>0</v>
      </c>
      <c r="FU178" s="438">
        <v>0</v>
      </c>
      <c r="FV178" s="438">
        <v>0</v>
      </c>
      <c r="FW178" s="438">
        <v>0</v>
      </c>
      <c r="FX178" s="438">
        <v>0</v>
      </c>
      <c r="FY178" s="438">
        <v>0</v>
      </c>
      <c r="FZ178" s="438">
        <v>0</v>
      </c>
      <c r="GA178" s="438">
        <v>0</v>
      </c>
      <c r="GB178" s="438">
        <v>175071</v>
      </c>
      <c r="GC178" s="438">
        <v>175071</v>
      </c>
      <c r="GD178" s="438">
        <v>19.817</v>
      </c>
      <c r="GF178" s="438">
        <v>0</v>
      </c>
      <c r="GG178" s="438">
        <v>0</v>
      </c>
      <c r="GH178" s="438">
        <v>0</v>
      </c>
      <c r="GI178" s="438">
        <v>0</v>
      </c>
      <c r="GJ178" s="438">
        <v>0</v>
      </c>
      <c r="GK178" s="438">
        <v>4604.6369999999997</v>
      </c>
      <c r="GL178" s="438">
        <v>0</v>
      </c>
      <c r="GM178" s="438">
        <v>0</v>
      </c>
      <c r="GN178" s="438">
        <v>0</v>
      </c>
      <c r="GO178" s="438">
        <v>0</v>
      </c>
      <c r="GP178" s="438">
        <v>11507156</v>
      </c>
      <c r="GQ178" s="438">
        <v>11507156</v>
      </c>
      <c r="GR178" s="438">
        <v>0</v>
      </c>
      <c r="GS178" s="438">
        <v>0</v>
      </c>
      <c r="GT178" s="438">
        <v>0</v>
      </c>
      <c r="HB178" s="438">
        <v>0</v>
      </c>
      <c r="HC178" s="437">
        <v>6.0754000000000002E-2</v>
      </c>
      <c r="HD178" s="438">
        <v>0</v>
      </c>
    </row>
    <row r="179" spans="1:212" x14ac:dyDescent="0.2">
      <c r="A179" s="438">
        <v>25836</v>
      </c>
      <c r="B179" s="442">
        <v>226801</v>
      </c>
      <c r="C179" s="438">
        <v>9</v>
      </c>
      <c r="D179" s="438">
        <v>2020</v>
      </c>
      <c r="E179" s="438">
        <v>5392</v>
      </c>
      <c r="F179" s="438">
        <v>0</v>
      </c>
      <c r="G179" s="438">
        <v>2657.0219999999999</v>
      </c>
      <c r="H179" s="438">
        <v>2549.826</v>
      </c>
      <c r="I179" s="438">
        <v>2549.826</v>
      </c>
      <c r="J179" s="438">
        <v>2657.0219999999999</v>
      </c>
      <c r="K179" s="438">
        <v>0</v>
      </c>
      <c r="L179" s="437">
        <v>6544</v>
      </c>
      <c r="M179" s="438">
        <v>0</v>
      </c>
      <c r="N179" s="438">
        <v>0</v>
      </c>
      <c r="P179" s="438">
        <v>2648.6019999999999</v>
      </c>
      <c r="Q179" s="438">
        <v>0</v>
      </c>
      <c r="R179" s="438">
        <v>655759</v>
      </c>
      <c r="S179" s="437">
        <v>247.58699999999999</v>
      </c>
      <c r="U179" s="438">
        <v>0</v>
      </c>
      <c r="V179" s="438">
        <v>100.809</v>
      </c>
      <c r="W179" s="438">
        <v>65969</v>
      </c>
      <c r="X179" s="438">
        <v>65969</v>
      </c>
      <c r="Z179" s="438">
        <v>0</v>
      </c>
      <c r="AA179" s="438">
        <v>1</v>
      </c>
      <c r="AB179" s="438">
        <v>1</v>
      </c>
      <c r="AC179" s="438">
        <v>0</v>
      </c>
      <c r="AD179" s="438" t="s">
        <v>332</v>
      </c>
      <c r="AE179" s="438">
        <v>0</v>
      </c>
      <c r="AH179" s="438">
        <v>0</v>
      </c>
      <c r="AI179" s="438">
        <v>0</v>
      </c>
      <c r="AJ179" s="437">
        <v>5105</v>
      </c>
      <c r="AK179" s="438" t="s">
        <v>561</v>
      </c>
      <c r="AL179" s="438" t="s">
        <v>108</v>
      </c>
      <c r="AM179" s="438">
        <v>0</v>
      </c>
      <c r="AN179" s="438">
        <v>0</v>
      </c>
      <c r="AO179" s="438">
        <v>0</v>
      </c>
      <c r="AP179" s="438">
        <v>0</v>
      </c>
      <c r="AQ179" s="438">
        <v>0</v>
      </c>
      <c r="AR179" s="438">
        <v>0</v>
      </c>
      <c r="AS179" s="438">
        <v>0</v>
      </c>
      <c r="AT179" s="438">
        <v>0</v>
      </c>
      <c r="AU179" s="438">
        <v>0</v>
      </c>
      <c r="AV179" s="438">
        <v>0</v>
      </c>
      <c r="AW179" s="438">
        <v>23702476</v>
      </c>
      <c r="AX179" s="438">
        <v>23583281</v>
      </c>
      <c r="AY179" s="438">
        <v>0</v>
      </c>
      <c r="AZ179" s="438">
        <v>774954</v>
      </c>
      <c r="BA179" s="438">
        <v>0</v>
      </c>
      <c r="BB179" s="438">
        <v>0</v>
      </c>
      <c r="BC179" s="438">
        <v>0</v>
      </c>
      <c r="BD179" s="438">
        <v>0</v>
      </c>
      <c r="BE179" s="438">
        <v>0</v>
      </c>
      <c r="BF179" s="438">
        <v>20132745</v>
      </c>
      <c r="BG179" s="438">
        <v>0</v>
      </c>
      <c r="BH179" s="438">
        <v>433.435</v>
      </c>
      <c r="BI179" s="438">
        <v>119195</v>
      </c>
      <c r="BJ179" s="438">
        <v>12</v>
      </c>
      <c r="BK179" s="438">
        <v>0</v>
      </c>
      <c r="BL179" s="438">
        <v>0</v>
      </c>
      <c r="BM179" s="438">
        <v>0</v>
      </c>
      <c r="BN179" s="438">
        <v>0</v>
      </c>
      <c r="BO179" s="438">
        <v>0</v>
      </c>
      <c r="BP179" s="438">
        <v>0</v>
      </c>
      <c r="BQ179" s="437">
        <v>5392</v>
      </c>
      <c r="BR179" s="438">
        <v>1</v>
      </c>
      <c r="BS179" s="438">
        <v>0</v>
      </c>
      <c r="BT179" s="438">
        <v>0</v>
      </c>
      <c r="BU179" s="438">
        <v>0</v>
      </c>
      <c r="BV179" s="438">
        <v>0</v>
      </c>
      <c r="BW179" s="438">
        <v>0</v>
      </c>
      <c r="BX179" s="438">
        <v>0</v>
      </c>
      <c r="BY179" s="438">
        <v>0</v>
      </c>
      <c r="BZ179" s="438">
        <v>0</v>
      </c>
      <c r="CA179" s="438">
        <v>0</v>
      </c>
      <c r="CB179" s="438">
        <v>0</v>
      </c>
      <c r="CC179" s="438">
        <v>0</v>
      </c>
      <c r="CG179" s="438">
        <v>0</v>
      </c>
      <c r="CH179" s="438">
        <v>0</v>
      </c>
      <c r="CI179" s="438">
        <v>0</v>
      </c>
      <c r="CJ179" s="438">
        <v>4</v>
      </c>
      <c r="CK179" s="438">
        <v>0</v>
      </c>
      <c r="CL179" s="438">
        <v>0</v>
      </c>
      <c r="CN179" s="438">
        <v>0</v>
      </c>
      <c r="CO179" s="438">
        <v>1</v>
      </c>
      <c r="CP179" s="438">
        <v>0</v>
      </c>
      <c r="CQ179" s="438">
        <v>0</v>
      </c>
      <c r="CR179" s="438">
        <v>2657.0219999999999</v>
      </c>
      <c r="CS179" s="438">
        <v>0</v>
      </c>
      <c r="CT179" s="438">
        <v>0</v>
      </c>
      <c r="CU179" s="438">
        <v>0</v>
      </c>
      <c r="CV179" s="438">
        <v>0</v>
      </c>
      <c r="CW179" s="438">
        <v>0</v>
      </c>
      <c r="CX179" s="438">
        <v>0</v>
      </c>
      <c r="CY179" s="438">
        <v>0</v>
      </c>
      <c r="CZ179" s="438">
        <v>0</v>
      </c>
      <c r="DA179" s="438">
        <v>1</v>
      </c>
      <c r="DB179" s="438">
        <v>16686061</v>
      </c>
      <c r="DC179" s="438">
        <v>0</v>
      </c>
      <c r="DD179" s="438">
        <v>0</v>
      </c>
      <c r="DE179" s="438">
        <v>1892957</v>
      </c>
      <c r="DF179" s="438">
        <v>1892957</v>
      </c>
      <c r="DG179" s="438">
        <v>1446.33</v>
      </c>
      <c r="DH179" s="438">
        <v>0</v>
      </c>
      <c r="DI179" s="438">
        <v>0</v>
      </c>
      <c r="DK179" s="437">
        <v>5392</v>
      </c>
      <c r="DL179" s="438">
        <v>0</v>
      </c>
      <c r="DM179" s="438">
        <v>1685667</v>
      </c>
      <c r="DN179" s="438">
        <v>0</v>
      </c>
      <c r="DO179" s="438">
        <v>0</v>
      </c>
      <c r="DP179" s="438">
        <v>0</v>
      </c>
      <c r="DQ179" s="438">
        <v>0</v>
      </c>
      <c r="DR179" s="438">
        <v>0</v>
      </c>
      <c r="DS179" s="438">
        <v>0</v>
      </c>
      <c r="DT179" s="438">
        <v>0</v>
      </c>
      <c r="DU179" s="438">
        <v>0</v>
      </c>
      <c r="DV179" s="438">
        <v>0</v>
      </c>
      <c r="DW179" s="438">
        <v>0</v>
      </c>
      <c r="DX179" s="438">
        <v>0</v>
      </c>
      <c r="DY179" s="438">
        <v>0</v>
      </c>
      <c r="DZ179" s="438">
        <v>0</v>
      </c>
      <c r="EA179" s="438">
        <v>0</v>
      </c>
      <c r="EB179" s="438">
        <v>0</v>
      </c>
      <c r="EC179" s="438">
        <v>38.366</v>
      </c>
      <c r="ED179" s="438">
        <v>276174</v>
      </c>
      <c r="EE179" s="438">
        <v>0</v>
      </c>
      <c r="EF179" s="438">
        <v>0</v>
      </c>
      <c r="EG179" s="438">
        <v>0</v>
      </c>
      <c r="EH179" s="438">
        <v>1270289</v>
      </c>
      <c r="EI179" s="438">
        <v>139204</v>
      </c>
      <c r="EJ179" s="438">
        <v>5.3179999999999996</v>
      </c>
      <c r="EK179" s="438">
        <v>50.408000000000001</v>
      </c>
      <c r="EL179" s="438">
        <v>0</v>
      </c>
      <c r="EM179" s="438">
        <v>7.242</v>
      </c>
      <c r="EN179" s="438">
        <v>4.2329999999999997</v>
      </c>
      <c r="EO179" s="438">
        <v>0</v>
      </c>
      <c r="EP179" s="438">
        <v>0</v>
      </c>
      <c r="EQ179" s="438">
        <v>67.200999999999993</v>
      </c>
      <c r="ER179" s="438">
        <v>0</v>
      </c>
      <c r="ES179" s="438">
        <v>194.11500000000001</v>
      </c>
      <c r="ET179" s="438">
        <v>0</v>
      </c>
      <c r="EU179" s="438">
        <v>774954</v>
      </c>
      <c r="EV179" s="438">
        <v>0</v>
      </c>
      <c r="EW179" s="438">
        <v>0</v>
      </c>
      <c r="EX179" s="438">
        <v>0</v>
      </c>
      <c r="EZ179" s="438">
        <v>20028227</v>
      </c>
      <c r="FA179" s="438">
        <v>0</v>
      </c>
      <c r="FB179" s="438">
        <v>20803181</v>
      </c>
      <c r="FC179" s="438">
        <v>0.97334900000000002</v>
      </c>
      <c r="FD179" s="438">
        <v>0</v>
      </c>
      <c r="FE179" s="438">
        <v>2895179</v>
      </c>
      <c r="FF179" s="438">
        <v>659875</v>
      </c>
      <c r="FG179" s="437">
        <v>5.7854999999999997E-2</v>
      </c>
      <c r="FH179" s="437">
        <v>5.2366000000000003E-2</v>
      </c>
      <c r="FI179" s="438">
        <v>0</v>
      </c>
      <c r="FJ179" s="438">
        <v>0</v>
      </c>
      <c r="FK179" s="438">
        <v>3944.04</v>
      </c>
      <c r="FL179" s="438">
        <v>24358235</v>
      </c>
      <c r="FM179" s="438">
        <v>0</v>
      </c>
      <c r="FN179" s="438">
        <v>0</v>
      </c>
      <c r="FO179" s="438">
        <v>0</v>
      </c>
      <c r="FP179" s="438">
        <v>0</v>
      </c>
      <c r="FQ179" s="438">
        <v>0</v>
      </c>
      <c r="FR179" s="438">
        <v>0</v>
      </c>
      <c r="FS179" s="438">
        <v>0</v>
      </c>
      <c r="FT179" s="438">
        <v>0</v>
      </c>
      <c r="FU179" s="438">
        <v>0</v>
      </c>
      <c r="FV179" s="438">
        <v>0</v>
      </c>
      <c r="FW179" s="438">
        <v>0</v>
      </c>
      <c r="FX179" s="438">
        <v>0</v>
      </c>
      <c r="FY179" s="438">
        <v>0</v>
      </c>
      <c r="FZ179" s="438">
        <v>0</v>
      </c>
      <c r="GA179" s="438">
        <v>0</v>
      </c>
      <c r="GB179" s="438">
        <v>353332</v>
      </c>
      <c r="GC179" s="438">
        <v>353332</v>
      </c>
      <c r="GD179" s="438">
        <v>39.994999999999997</v>
      </c>
      <c r="GF179" s="438">
        <v>0</v>
      </c>
      <c r="GG179" s="438">
        <v>0</v>
      </c>
      <c r="GH179" s="438">
        <v>0</v>
      </c>
      <c r="GI179" s="438">
        <v>0</v>
      </c>
      <c r="GJ179" s="438">
        <v>0</v>
      </c>
      <c r="GK179" s="438">
        <v>4629.6469999999999</v>
      </c>
      <c r="GL179" s="438">
        <v>0</v>
      </c>
      <c r="GM179" s="438">
        <v>0</v>
      </c>
      <c r="GN179" s="438">
        <v>0</v>
      </c>
      <c r="GO179" s="438">
        <v>0</v>
      </c>
      <c r="GP179" s="438">
        <v>24358235</v>
      </c>
      <c r="GQ179" s="438">
        <v>24358235</v>
      </c>
      <c r="GR179" s="438">
        <v>0</v>
      </c>
      <c r="GS179" s="438">
        <v>0</v>
      </c>
      <c r="GT179" s="438">
        <v>0</v>
      </c>
      <c r="HB179" s="438">
        <v>0</v>
      </c>
      <c r="HC179" s="437">
        <v>6.0754000000000002E-2</v>
      </c>
      <c r="HD179" s="438">
        <v>0</v>
      </c>
    </row>
    <row r="180" spans="1:212" x14ac:dyDescent="0.2">
      <c r="A180" s="438">
        <v>25836</v>
      </c>
      <c r="B180" s="442">
        <v>227622</v>
      </c>
      <c r="C180" s="438">
        <v>9</v>
      </c>
      <c r="D180" s="438">
        <v>2020</v>
      </c>
      <c r="E180" s="438">
        <v>0</v>
      </c>
      <c r="F180" s="438">
        <v>0</v>
      </c>
      <c r="G180" s="438">
        <v>917.65099999999995</v>
      </c>
      <c r="H180" s="438">
        <v>917.65099999999995</v>
      </c>
      <c r="I180" s="438">
        <v>917.65099999999995</v>
      </c>
      <c r="J180" s="438">
        <v>917.65099999999995</v>
      </c>
      <c r="K180" s="438">
        <v>0</v>
      </c>
      <c r="L180" s="437">
        <v>0</v>
      </c>
      <c r="M180" s="438">
        <v>0</v>
      </c>
      <c r="N180" s="438">
        <v>0</v>
      </c>
      <c r="P180" s="438">
        <v>1003.164</v>
      </c>
      <c r="Q180" s="438">
        <v>0</v>
      </c>
      <c r="R180" s="438">
        <v>248370</v>
      </c>
      <c r="S180" s="437">
        <v>247.58699999999999</v>
      </c>
      <c r="U180" s="438">
        <v>0</v>
      </c>
      <c r="V180" s="438">
        <v>0</v>
      </c>
      <c r="W180" s="438">
        <v>0</v>
      </c>
      <c r="X180" s="438">
        <v>0</v>
      </c>
      <c r="Z180" s="438">
        <v>0</v>
      </c>
      <c r="AA180" s="438">
        <v>0</v>
      </c>
      <c r="AB180" s="438">
        <v>0</v>
      </c>
      <c r="AC180" s="438">
        <v>0</v>
      </c>
      <c r="AD180" s="438" t="s">
        <v>332</v>
      </c>
      <c r="AE180" s="438">
        <v>0</v>
      </c>
      <c r="AH180" s="438">
        <v>0</v>
      </c>
      <c r="AI180" s="438">
        <v>0</v>
      </c>
      <c r="AJ180" s="437">
        <v>4420</v>
      </c>
      <c r="AK180" s="438" t="s">
        <v>660</v>
      </c>
      <c r="AL180" s="438" t="s">
        <v>661</v>
      </c>
      <c r="AM180" s="438">
        <v>0</v>
      </c>
      <c r="AN180" s="438">
        <v>0</v>
      </c>
      <c r="AO180" s="438">
        <v>0</v>
      </c>
      <c r="AP180" s="438">
        <v>0</v>
      </c>
      <c r="AQ180" s="438">
        <v>0</v>
      </c>
      <c r="AR180" s="438">
        <v>0</v>
      </c>
      <c r="AS180" s="438">
        <v>0</v>
      </c>
      <c r="AT180" s="438">
        <v>0</v>
      </c>
      <c r="AU180" s="438">
        <v>0</v>
      </c>
      <c r="AV180" s="438">
        <v>0</v>
      </c>
      <c r="AW180" s="438">
        <v>3808014</v>
      </c>
      <c r="AX180" s="438">
        <v>3808014</v>
      </c>
      <c r="AY180" s="438">
        <v>0</v>
      </c>
      <c r="AZ180" s="438">
        <v>248370</v>
      </c>
      <c r="BA180" s="438">
        <v>0</v>
      </c>
      <c r="BB180" s="438">
        <v>0</v>
      </c>
      <c r="BC180" s="438">
        <v>0</v>
      </c>
      <c r="BD180" s="438">
        <v>0</v>
      </c>
      <c r="BE180" s="438">
        <v>0</v>
      </c>
      <c r="BF180" s="438">
        <v>0</v>
      </c>
      <c r="BG180" s="438">
        <v>0</v>
      </c>
      <c r="BH180" s="438">
        <v>0</v>
      </c>
      <c r="BI180" s="438">
        <v>0</v>
      </c>
      <c r="BJ180" s="438">
        <v>0</v>
      </c>
      <c r="BK180" s="438">
        <v>0</v>
      </c>
      <c r="BL180" s="438">
        <v>0</v>
      </c>
      <c r="BM180" s="438">
        <v>0</v>
      </c>
      <c r="BN180" s="438">
        <v>0</v>
      </c>
      <c r="BO180" s="438">
        <v>0</v>
      </c>
      <c r="BP180" s="438">
        <v>0</v>
      </c>
      <c r="BQ180" s="437">
        <v>0</v>
      </c>
      <c r="BR180" s="438">
        <v>1</v>
      </c>
      <c r="BS180" s="438">
        <v>0</v>
      </c>
      <c r="BT180" s="438">
        <v>0</v>
      </c>
      <c r="BU180" s="438">
        <v>0</v>
      </c>
      <c r="BV180" s="438">
        <v>0</v>
      </c>
      <c r="BW180" s="438">
        <v>0</v>
      </c>
      <c r="BX180" s="438">
        <v>0</v>
      </c>
      <c r="BY180" s="438">
        <v>0</v>
      </c>
      <c r="BZ180" s="438">
        <v>0</v>
      </c>
      <c r="CA180" s="438">
        <v>0</v>
      </c>
      <c r="CB180" s="438">
        <v>0</v>
      </c>
      <c r="CC180" s="438">
        <v>0</v>
      </c>
      <c r="CG180" s="438">
        <v>0</v>
      </c>
      <c r="CH180" s="438">
        <v>0</v>
      </c>
      <c r="CI180" s="438">
        <v>0</v>
      </c>
      <c r="CJ180" s="438">
        <v>1</v>
      </c>
      <c r="CK180" s="438">
        <v>0</v>
      </c>
      <c r="CL180" s="438">
        <v>0</v>
      </c>
      <c r="CN180" s="438">
        <v>0</v>
      </c>
      <c r="CO180" s="438">
        <v>0</v>
      </c>
      <c r="CP180" s="438">
        <v>0</v>
      </c>
      <c r="CQ180" s="438">
        <v>0</v>
      </c>
      <c r="CR180" s="438">
        <v>1003.164</v>
      </c>
      <c r="CS180" s="438">
        <v>0</v>
      </c>
      <c r="CT180" s="438">
        <v>0</v>
      </c>
      <c r="CU180" s="438">
        <v>0</v>
      </c>
      <c r="CV180" s="438">
        <v>0</v>
      </c>
      <c r="CW180" s="438">
        <v>0</v>
      </c>
      <c r="CX180" s="438">
        <v>0</v>
      </c>
      <c r="CY180" s="438">
        <v>0</v>
      </c>
      <c r="CZ180" s="438">
        <v>0</v>
      </c>
      <c r="DA180" s="438">
        <v>1</v>
      </c>
      <c r="DB180" s="438">
        <v>4056384</v>
      </c>
      <c r="DC180" s="438">
        <v>0</v>
      </c>
      <c r="DD180" s="438">
        <v>0</v>
      </c>
      <c r="DE180" s="438">
        <v>0</v>
      </c>
      <c r="DF180" s="438">
        <v>0</v>
      </c>
      <c r="DG180" s="438">
        <v>0</v>
      </c>
      <c r="DH180" s="438">
        <v>0</v>
      </c>
      <c r="DI180" s="438">
        <v>0</v>
      </c>
      <c r="DK180" s="437">
        <v>0</v>
      </c>
      <c r="DL180" s="438">
        <v>0</v>
      </c>
      <c r="DM180" s="438">
        <v>0</v>
      </c>
      <c r="DN180" s="438">
        <v>0</v>
      </c>
      <c r="DO180" s="438">
        <v>0</v>
      </c>
      <c r="DP180" s="438">
        <v>0</v>
      </c>
      <c r="DQ180" s="438">
        <v>0</v>
      </c>
      <c r="DR180" s="438">
        <v>0</v>
      </c>
      <c r="DS180" s="438">
        <v>0</v>
      </c>
      <c r="DT180" s="438">
        <v>0</v>
      </c>
      <c r="DU180" s="438">
        <v>0</v>
      </c>
      <c r="DV180" s="438">
        <v>0</v>
      </c>
      <c r="DW180" s="438">
        <v>0</v>
      </c>
      <c r="DX180" s="438">
        <v>0</v>
      </c>
      <c r="DY180" s="438">
        <v>0</v>
      </c>
      <c r="DZ180" s="438">
        <v>0</v>
      </c>
      <c r="EA180" s="438">
        <v>0</v>
      </c>
      <c r="EB180" s="438">
        <v>0</v>
      </c>
      <c r="EC180" s="438">
        <v>0</v>
      </c>
      <c r="ED180" s="438">
        <v>0</v>
      </c>
      <c r="EE180" s="438">
        <v>0</v>
      </c>
      <c r="EF180" s="438">
        <v>0</v>
      </c>
      <c r="EG180" s="438">
        <v>0</v>
      </c>
      <c r="EH180" s="438">
        <v>0</v>
      </c>
      <c r="EI180" s="438">
        <v>0</v>
      </c>
      <c r="EJ180" s="438">
        <v>0</v>
      </c>
      <c r="EK180" s="438">
        <v>0</v>
      </c>
      <c r="EL180" s="438">
        <v>0</v>
      </c>
      <c r="EM180" s="438">
        <v>0</v>
      </c>
      <c r="EN180" s="438">
        <v>0</v>
      </c>
      <c r="EO180" s="438">
        <v>0</v>
      </c>
      <c r="EP180" s="438">
        <v>0</v>
      </c>
      <c r="EQ180" s="438">
        <v>0</v>
      </c>
      <c r="ER180" s="438">
        <v>0</v>
      </c>
      <c r="ES180" s="438">
        <v>0</v>
      </c>
      <c r="ET180" s="438">
        <v>0</v>
      </c>
      <c r="EU180" s="438">
        <v>248370</v>
      </c>
      <c r="EV180" s="438">
        <v>0</v>
      </c>
      <c r="EW180" s="438">
        <v>0</v>
      </c>
      <c r="EX180" s="438">
        <v>0</v>
      </c>
      <c r="EZ180" s="438">
        <v>3808014</v>
      </c>
      <c r="FA180" s="438">
        <v>0</v>
      </c>
      <c r="FB180" s="438">
        <v>4056384</v>
      </c>
      <c r="FC180" s="438">
        <v>0</v>
      </c>
      <c r="FD180" s="438">
        <v>0</v>
      </c>
      <c r="FE180" s="438">
        <v>0</v>
      </c>
      <c r="FF180" s="438">
        <v>0</v>
      </c>
      <c r="FG180" s="437">
        <v>0</v>
      </c>
      <c r="FH180" s="437">
        <v>0</v>
      </c>
      <c r="FI180" s="438">
        <v>0</v>
      </c>
      <c r="FJ180" s="438">
        <v>0</v>
      </c>
      <c r="FK180" s="438">
        <v>0</v>
      </c>
      <c r="FL180" s="438">
        <v>4056384</v>
      </c>
      <c r="FM180" s="438">
        <v>0</v>
      </c>
      <c r="FN180" s="438">
        <v>0</v>
      </c>
      <c r="FO180" s="438">
        <v>0</v>
      </c>
      <c r="FP180" s="438">
        <v>0</v>
      </c>
      <c r="FQ180" s="438">
        <v>0</v>
      </c>
      <c r="FR180" s="438">
        <v>0</v>
      </c>
      <c r="FS180" s="438">
        <v>0</v>
      </c>
      <c r="FT180" s="438">
        <v>0</v>
      </c>
      <c r="FU180" s="438">
        <v>0</v>
      </c>
      <c r="FV180" s="438">
        <v>0</v>
      </c>
      <c r="FW180" s="438">
        <v>0</v>
      </c>
      <c r="FX180" s="438">
        <v>0</v>
      </c>
      <c r="FY180" s="438">
        <v>0</v>
      </c>
      <c r="FZ180" s="438">
        <v>0</v>
      </c>
      <c r="GA180" s="438">
        <v>0</v>
      </c>
      <c r="GB180" s="438">
        <v>0</v>
      </c>
      <c r="GC180" s="438">
        <v>0</v>
      </c>
      <c r="GD180" s="438">
        <v>0</v>
      </c>
      <c r="GF180" s="438">
        <v>0</v>
      </c>
      <c r="GG180" s="438">
        <v>0</v>
      </c>
      <c r="GH180" s="438">
        <v>0</v>
      </c>
      <c r="GI180" s="438">
        <v>0</v>
      </c>
      <c r="GJ180" s="438">
        <v>0</v>
      </c>
      <c r="GK180" s="438">
        <v>0</v>
      </c>
      <c r="GL180" s="438">
        <v>0</v>
      </c>
      <c r="GM180" s="438">
        <v>0</v>
      </c>
      <c r="GN180" s="438">
        <v>0</v>
      </c>
      <c r="GO180" s="438">
        <v>0</v>
      </c>
      <c r="GP180" s="438">
        <v>4056384</v>
      </c>
      <c r="GQ180" s="438">
        <v>4056384</v>
      </c>
      <c r="GR180" s="438">
        <v>0</v>
      </c>
      <c r="GS180" s="438">
        <v>0</v>
      </c>
      <c r="GT180" s="438">
        <v>0</v>
      </c>
      <c r="HB180" s="438">
        <v>0</v>
      </c>
      <c r="HC180" s="437">
        <v>0</v>
      </c>
      <c r="HD180" s="438">
        <v>0</v>
      </c>
    </row>
    <row r="181" spans="1:212" x14ac:dyDescent="0.2">
      <c r="A181" s="438">
        <v>25836</v>
      </c>
      <c r="B181" s="442">
        <v>227803</v>
      </c>
      <c r="C181" s="438">
        <v>9</v>
      </c>
      <c r="D181" s="438">
        <v>2020</v>
      </c>
      <c r="E181" s="438">
        <v>5392</v>
      </c>
      <c r="F181" s="438">
        <v>0</v>
      </c>
      <c r="G181" s="438">
        <v>1818.0170000000001</v>
      </c>
      <c r="H181" s="438">
        <v>1738.8779999999999</v>
      </c>
      <c r="I181" s="438">
        <v>1738.8779999999999</v>
      </c>
      <c r="J181" s="438">
        <v>1818.0170000000001</v>
      </c>
      <c r="K181" s="438">
        <v>0</v>
      </c>
      <c r="L181" s="437">
        <v>6544</v>
      </c>
      <c r="M181" s="438">
        <v>0</v>
      </c>
      <c r="N181" s="438">
        <v>0</v>
      </c>
      <c r="P181" s="438">
        <v>1817.7819999999999</v>
      </c>
      <c r="Q181" s="438">
        <v>0</v>
      </c>
      <c r="R181" s="438">
        <v>450059</v>
      </c>
      <c r="S181" s="437">
        <v>247.58699999999999</v>
      </c>
      <c r="U181" s="438">
        <v>0</v>
      </c>
      <c r="V181" s="438">
        <v>656.94799999999998</v>
      </c>
      <c r="W181" s="438">
        <v>429907</v>
      </c>
      <c r="X181" s="438">
        <v>429907</v>
      </c>
      <c r="Z181" s="438">
        <v>0</v>
      </c>
      <c r="AA181" s="438">
        <v>1</v>
      </c>
      <c r="AB181" s="438">
        <v>1</v>
      </c>
      <c r="AC181" s="438">
        <v>0</v>
      </c>
      <c r="AD181" s="438" t="s">
        <v>332</v>
      </c>
      <c r="AE181" s="438">
        <v>0</v>
      </c>
      <c r="AH181" s="438">
        <v>0</v>
      </c>
      <c r="AI181" s="438">
        <v>0</v>
      </c>
      <c r="AJ181" s="437">
        <v>5105</v>
      </c>
      <c r="AK181" s="438" t="s">
        <v>561</v>
      </c>
      <c r="AL181" s="438" t="s">
        <v>383</v>
      </c>
      <c r="AM181" s="438">
        <v>0</v>
      </c>
      <c r="AN181" s="438">
        <v>0</v>
      </c>
      <c r="AO181" s="438">
        <v>0</v>
      </c>
      <c r="AP181" s="438">
        <v>0</v>
      </c>
      <c r="AQ181" s="438">
        <v>0</v>
      </c>
      <c r="AR181" s="438">
        <v>0</v>
      </c>
      <c r="AS181" s="438">
        <v>0</v>
      </c>
      <c r="AT181" s="438">
        <v>0</v>
      </c>
      <c r="AU181" s="438">
        <v>0</v>
      </c>
      <c r="AV181" s="438">
        <v>0</v>
      </c>
      <c r="AW181" s="438">
        <v>17393061</v>
      </c>
      <c r="AX181" s="438">
        <v>17283984</v>
      </c>
      <c r="AY181" s="438">
        <v>0</v>
      </c>
      <c r="AZ181" s="438">
        <v>527032</v>
      </c>
      <c r="BA181" s="438">
        <v>63.417000000000002</v>
      </c>
      <c r="BB181" s="438">
        <v>0</v>
      </c>
      <c r="BC181" s="438">
        <v>0</v>
      </c>
      <c r="BD181" s="438">
        <v>0</v>
      </c>
      <c r="BE181" s="438">
        <v>0</v>
      </c>
      <c r="BF181" s="438">
        <v>14729749</v>
      </c>
      <c r="BG181" s="438">
        <v>0</v>
      </c>
      <c r="BH181" s="438">
        <v>279.89999999999998</v>
      </c>
      <c r="BI181" s="438">
        <v>76973</v>
      </c>
      <c r="BJ181" s="438">
        <v>12</v>
      </c>
      <c r="BK181" s="438">
        <v>0</v>
      </c>
      <c r="BL181" s="438">
        <v>0</v>
      </c>
      <c r="BM181" s="438">
        <v>0</v>
      </c>
      <c r="BN181" s="438">
        <v>0</v>
      </c>
      <c r="BO181" s="438">
        <v>0</v>
      </c>
      <c r="BP181" s="438">
        <v>0</v>
      </c>
      <c r="BQ181" s="437">
        <v>5392</v>
      </c>
      <c r="BR181" s="438">
        <v>1</v>
      </c>
      <c r="BS181" s="438">
        <v>0</v>
      </c>
      <c r="BT181" s="438">
        <v>0</v>
      </c>
      <c r="BU181" s="438">
        <v>0</v>
      </c>
      <c r="BV181" s="438">
        <v>0</v>
      </c>
      <c r="BW181" s="438">
        <v>0</v>
      </c>
      <c r="BX181" s="438">
        <v>0</v>
      </c>
      <c r="BY181" s="438">
        <v>0</v>
      </c>
      <c r="BZ181" s="438">
        <v>0</v>
      </c>
      <c r="CA181" s="438">
        <v>0</v>
      </c>
      <c r="CB181" s="438">
        <v>0</v>
      </c>
      <c r="CC181" s="438">
        <v>0</v>
      </c>
      <c r="CG181" s="438">
        <v>0</v>
      </c>
      <c r="CH181" s="438">
        <v>32104</v>
      </c>
      <c r="CI181" s="438">
        <v>0</v>
      </c>
      <c r="CJ181" s="438">
        <v>4</v>
      </c>
      <c r="CK181" s="438">
        <v>0</v>
      </c>
      <c r="CL181" s="438">
        <v>0</v>
      </c>
      <c r="CN181" s="438">
        <v>0</v>
      </c>
      <c r="CO181" s="438">
        <v>1</v>
      </c>
      <c r="CP181" s="438">
        <v>7.2999999999999995E-2</v>
      </c>
      <c r="CQ181" s="438">
        <v>1.583</v>
      </c>
      <c r="CR181" s="438">
        <v>1818.0170000000001</v>
      </c>
      <c r="CS181" s="438">
        <v>0</v>
      </c>
      <c r="CT181" s="438">
        <v>0</v>
      </c>
      <c r="CU181" s="438">
        <v>0</v>
      </c>
      <c r="CV181" s="438">
        <v>0</v>
      </c>
      <c r="CW181" s="438">
        <v>0</v>
      </c>
      <c r="CX181" s="438">
        <v>0</v>
      </c>
      <c r="CY181" s="438">
        <v>0</v>
      </c>
      <c r="CZ181" s="438">
        <v>0</v>
      </c>
      <c r="DA181" s="438">
        <v>1</v>
      </c>
      <c r="DB181" s="438">
        <v>11379218</v>
      </c>
      <c r="DC181" s="438">
        <v>0</v>
      </c>
      <c r="DD181" s="438">
        <v>65</v>
      </c>
      <c r="DE181" s="438">
        <v>1896674</v>
      </c>
      <c r="DF181" s="438">
        <v>1897825</v>
      </c>
      <c r="DG181" s="438">
        <v>1449.17</v>
      </c>
      <c r="DH181" s="438">
        <v>0</v>
      </c>
      <c r="DI181" s="438">
        <v>1151</v>
      </c>
      <c r="DK181" s="437">
        <v>5392</v>
      </c>
      <c r="DL181" s="438">
        <v>0</v>
      </c>
      <c r="DM181" s="438">
        <v>1188176</v>
      </c>
      <c r="DN181" s="438">
        <v>0</v>
      </c>
      <c r="DO181" s="438">
        <v>0</v>
      </c>
      <c r="DP181" s="438">
        <v>0</v>
      </c>
      <c r="DQ181" s="438">
        <v>0</v>
      </c>
      <c r="DR181" s="438">
        <v>0</v>
      </c>
      <c r="DS181" s="438">
        <v>0</v>
      </c>
      <c r="DT181" s="438">
        <v>0</v>
      </c>
      <c r="DU181" s="438">
        <v>0</v>
      </c>
      <c r="DV181" s="438">
        <v>0</v>
      </c>
      <c r="DW181" s="438">
        <v>0</v>
      </c>
      <c r="DX181" s="438">
        <v>0</v>
      </c>
      <c r="DY181" s="438">
        <v>0</v>
      </c>
      <c r="DZ181" s="438">
        <v>0</v>
      </c>
      <c r="EA181" s="438">
        <v>0</v>
      </c>
      <c r="EB181" s="438">
        <v>0</v>
      </c>
      <c r="EC181" s="438">
        <v>18.282</v>
      </c>
      <c r="ED181" s="438">
        <v>131601</v>
      </c>
      <c r="EE181" s="438">
        <v>0</v>
      </c>
      <c r="EF181" s="438">
        <v>0</v>
      </c>
      <c r="EG181" s="438">
        <v>0</v>
      </c>
      <c r="EH181" s="438">
        <v>1056575</v>
      </c>
      <c r="EI181" s="438">
        <v>0</v>
      </c>
      <c r="EJ181" s="438">
        <v>0</v>
      </c>
      <c r="EK181" s="438">
        <v>44.036999999999999</v>
      </c>
      <c r="EL181" s="438">
        <v>0</v>
      </c>
      <c r="EM181" s="438">
        <v>5.7519999999999998</v>
      </c>
      <c r="EN181" s="438">
        <v>2.4180000000000001</v>
      </c>
      <c r="EO181" s="438">
        <v>0</v>
      </c>
      <c r="EP181" s="438">
        <v>0</v>
      </c>
      <c r="EQ181" s="438">
        <v>52.207000000000001</v>
      </c>
      <c r="ER181" s="438">
        <v>0</v>
      </c>
      <c r="ES181" s="438">
        <v>161.45699999999999</v>
      </c>
      <c r="ET181" s="438">
        <v>32104</v>
      </c>
      <c r="EU181" s="438">
        <v>527032</v>
      </c>
      <c r="EV181" s="438">
        <v>0</v>
      </c>
      <c r="EW181" s="438">
        <v>0</v>
      </c>
      <c r="EX181" s="438">
        <v>0</v>
      </c>
      <c r="EZ181" s="438">
        <v>14682995</v>
      </c>
      <c r="FA181" s="438">
        <v>0</v>
      </c>
      <c r="FB181" s="438">
        <v>15210027</v>
      </c>
      <c r="FC181" s="438">
        <v>0.97334900000000002</v>
      </c>
      <c r="FD181" s="438">
        <v>0</v>
      </c>
      <c r="FE181" s="438">
        <v>2118204</v>
      </c>
      <c r="FF181" s="438">
        <v>482785</v>
      </c>
      <c r="FG181" s="437">
        <v>5.7854999999999997E-2</v>
      </c>
      <c r="FH181" s="437">
        <v>5.2366000000000003E-2</v>
      </c>
      <c r="FI181" s="438">
        <v>0</v>
      </c>
      <c r="FJ181" s="438">
        <v>0</v>
      </c>
      <c r="FK181" s="438">
        <v>2885.5839999999998</v>
      </c>
      <c r="FL181" s="438">
        <v>17843120</v>
      </c>
      <c r="FM181" s="438">
        <v>0</v>
      </c>
      <c r="FN181" s="438">
        <v>0</v>
      </c>
      <c r="FO181" s="438">
        <v>0</v>
      </c>
      <c r="FP181" s="438">
        <v>0</v>
      </c>
      <c r="FQ181" s="438">
        <v>0</v>
      </c>
      <c r="FR181" s="438">
        <v>0</v>
      </c>
      <c r="FS181" s="438">
        <v>0</v>
      </c>
      <c r="FT181" s="438">
        <v>0</v>
      </c>
      <c r="FU181" s="438">
        <v>0</v>
      </c>
      <c r="FV181" s="438">
        <v>0</v>
      </c>
      <c r="FW181" s="438">
        <v>0</v>
      </c>
      <c r="FX181" s="438">
        <v>0</v>
      </c>
      <c r="FY181" s="438">
        <v>0</v>
      </c>
      <c r="FZ181" s="438">
        <v>0</v>
      </c>
      <c r="GA181" s="438">
        <v>0</v>
      </c>
      <c r="GB181" s="438">
        <v>237928</v>
      </c>
      <c r="GC181" s="438">
        <v>237928</v>
      </c>
      <c r="GD181" s="438">
        <v>26.931999999999999</v>
      </c>
      <c r="GF181" s="438">
        <v>0</v>
      </c>
      <c r="GG181" s="438">
        <v>0</v>
      </c>
      <c r="GH181" s="438">
        <v>0</v>
      </c>
      <c r="GI181" s="438">
        <v>0</v>
      </c>
      <c r="GJ181" s="438">
        <v>0</v>
      </c>
      <c r="GK181" s="438">
        <v>4853.8119999999999</v>
      </c>
      <c r="GL181" s="438">
        <v>5172</v>
      </c>
      <c r="GM181" s="438">
        <v>0</v>
      </c>
      <c r="GN181" s="438">
        <v>0</v>
      </c>
      <c r="GO181" s="438">
        <v>0</v>
      </c>
      <c r="GP181" s="438">
        <v>17811016</v>
      </c>
      <c r="GQ181" s="438">
        <v>17811016</v>
      </c>
      <c r="GR181" s="438">
        <v>0</v>
      </c>
      <c r="GS181" s="438">
        <v>0</v>
      </c>
      <c r="GT181" s="438">
        <v>0</v>
      </c>
      <c r="HB181" s="438">
        <v>0</v>
      </c>
      <c r="HC181" s="437">
        <v>6.0754000000000002E-2</v>
      </c>
      <c r="HD181" s="438">
        <v>0</v>
      </c>
    </row>
    <row r="182" spans="1:212" x14ac:dyDescent="0.2">
      <c r="A182" s="438">
        <v>25836</v>
      </c>
      <c r="B182" s="442">
        <v>227804</v>
      </c>
      <c r="C182" s="438">
        <v>9</v>
      </c>
      <c r="D182" s="438">
        <v>2020</v>
      </c>
      <c r="E182" s="438">
        <v>5392</v>
      </c>
      <c r="F182" s="438">
        <v>0</v>
      </c>
      <c r="G182" s="438">
        <v>939.48500000000001</v>
      </c>
      <c r="H182" s="438">
        <v>909.36699999999996</v>
      </c>
      <c r="I182" s="438">
        <v>909.36699999999996</v>
      </c>
      <c r="J182" s="438">
        <v>939.48500000000001</v>
      </c>
      <c r="K182" s="438">
        <v>0</v>
      </c>
      <c r="L182" s="437">
        <v>6544</v>
      </c>
      <c r="M182" s="438">
        <v>0</v>
      </c>
      <c r="N182" s="438">
        <v>0</v>
      </c>
      <c r="P182" s="438">
        <v>943.572</v>
      </c>
      <c r="Q182" s="438">
        <v>0</v>
      </c>
      <c r="R182" s="438">
        <v>233616</v>
      </c>
      <c r="S182" s="437">
        <v>247.58699999999999</v>
      </c>
      <c r="U182" s="438">
        <v>0</v>
      </c>
      <c r="V182" s="438">
        <v>181.63</v>
      </c>
      <c r="W182" s="438">
        <v>118859</v>
      </c>
      <c r="X182" s="438">
        <v>118859</v>
      </c>
      <c r="Z182" s="438">
        <v>0</v>
      </c>
      <c r="AA182" s="438">
        <v>1</v>
      </c>
      <c r="AB182" s="438">
        <v>1</v>
      </c>
      <c r="AC182" s="438">
        <v>0</v>
      </c>
      <c r="AD182" s="438" t="s">
        <v>332</v>
      </c>
      <c r="AE182" s="438">
        <v>0</v>
      </c>
      <c r="AH182" s="438">
        <v>0</v>
      </c>
      <c r="AI182" s="438">
        <v>0</v>
      </c>
      <c r="AJ182" s="437">
        <v>5105</v>
      </c>
      <c r="AK182" s="438" t="s">
        <v>561</v>
      </c>
      <c r="AL182" s="438" t="s">
        <v>83</v>
      </c>
      <c r="AM182" s="438">
        <v>0</v>
      </c>
      <c r="AN182" s="438">
        <v>0</v>
      </c>
      <c r="AO182" s="438">
        <v>0</v>
      </c>
      <c r="AP182" s="438">
        <v>0</v>
      </c>
      <c r="AQ182" s="438">
        <v>0</v>
      </c>
      <c r="AR182" s="438">
        <v>0</v>
      </c>
      <c r="AS182" s="438">
        <v>0</v>
      </c>
      <c r="AT182" s="438">
        <v>0</v>
      </c>
      <c r="AU182" s="438">
        <v>0</v>
      </c>
      <c r="AV182" s="438">
        <v>0</v>
      </c>
      <c r="AW182" s="438">
        <v>8383964</v>
      </c>
      <c r="AX182" s="438">
        <v>8339567</v>
      </c>
      <c r="AY182" s="438">
        <v>0</v>
      </c>
      <c r="AZ182" s="438">
        <v>278013</v>
      </c>
      <c r="BA182" s="438">
        <v>0</v>
      </c>
      <c r="BB182" s="438">
        <v>10994</v>
      </c>
      <c r="BC182" s="438">
        <v>10994</v>
      </c>
      <c r="BD182" s="438">
        <v>14</v>
      </c>
      <c r="BE182" s="438">
        <v>0</v>
      </c>
      <c r="BF182" s="438">
        <v>7120815</v>
      </c>
      <c r="BG182" s="438">
        <v>0</v>
      </c>
      <c r="BH182" s="438">
        <v>161.44499999999999</v>
      </c>
      <c r="BI182" s="438">
        <v>44397</v>
      </c>
      <c r="BJ182" s="438">
        <v>12</v>
      </c>
      <c r="BK182" s="438">
        <v>0</v>
      </c>
      <c r="BL182" s="438">
        <v>0</v>
      </c>
      <c r="BM182" s="438">
        <v>0</v>
      </c>
      <c r="BN182" s="438">
        <v>0</v>
      </c>
      <c r="BO182" s="438">
        <v>0</v>
      </c>
      <c r="BP182" s="438">
        <v>0</v>
      </c>
      <c r="BQ182" s="437">
        <v>5392</v>
      </c>
      <c r="BR182" s="438">
        <v>1</v>
      </c>
      <c r="BS182" s="438">
        <v>0</v>
      </c>
      <c r="BT182" s="438">
        <v>0</v>
      </c>
      <c r="BU182" s="438">
        <v>0</v>
      </c>
      <c r="BV182" s="438">
        <v>0</v>
      </c>
      <c r="BW182" s="438">
        <v>0</v>
      </c>
      <c r="BX182" s="438">
        <v>0</v>
      </c>
      <c r="BY182" s="438">
        <v>0</v>
      </c>
      <c r="BZ182" s="438">
        <v>0</v>
      </c>
      <c r="CA182" s="438">
        <v>0</v>
      </c>
      <c r="CB182" s="438">
        <v>0</v>
      </c>
      <c r="CC182" s="438">
        <v>0</v>
      </c>
      <c r="CG182" s="438">
        <v>0</v>
      </c>
      <c r="CH182" s="438">
        <v>0</v>
      </c>
      <c r="CI182" s="438">
        <v>0</v>
      </c>
      <c r="CJ182" s="438">
        <v>4</v>
      </c>
      <c r="CK182" s="438">
        <v>0</v>
      </c>
      <c r="CL182" s="438">
        <v>0</v>
      </c>
      <c r="CN182" s="438">
        <v>0</v>
      </c>
      <c r="CO182" s="438">
        <v>1</v>
      </c>
      <c r="CP182" s="438">
        <v>0</v>
      </c>
      <c r="CQ182" s="438">
        <v>0</v>
      </c>
      <c r="CR182" s="438">
        <v>939.48500000000001</v>
      </c>
      <c r="CS182" s="438">
        <v>0</v>
      </c>
      <c r="CT182" s="438">
        <v>0</v>
      </c>
      <c r="CU182" s="438">
        <v>0</v>
      </c>
      <c r="CV182" s="438">
        <v>0</v>
      </c>
      <c r="CW182" s="438">
        <v>0</v>
      </c>
      <c r="CX182" s="438">
        <v>0</v>
      </c>
      <c r="CY182" s="438">
        <v>0</v>
      </c>
      <c r="CZ182" s="438">
        <v>0</v>
      </c>
      <c r="DA182" s="438">
        <v>1</v>
      </c>
      <c r="DB182" s="438">
        <v>5950898</v>
      </c>
      <c r="DC182" s="438">
        <v>0</v>
      </c>
      <c r="DD182" s="438">
        <v>0</v>
      </c>
      <c r="DE182" s="438">
        <v>452190</v>
      </c>
      <c r="DF182" s="438">
        <v>452190</v>
      </c>
      <c r="DG182" s="438">
        <v>345.5</v>
      </c>
      <c r="DH182" s="438">
        <v>0</v>
      </c>
      <c r="DI182" s="438">
        <v>0</v>
      </c>
      <c r="DK182" s="437">
        <v>5392</v>
      </c>
      <c r="DL182" s="438">
        <v>0</v>
      </c>
      <c r="DM182" s="438">
        <v>672767</v>
      </c>
      <c r="DN182" s="438">
        <v>0</v>
      </c>
      <c r="DO182" s="438">
        <v>0</v>
      </c>
      <c r="DP182" s="438">
        <v>0</v>
      </c>
      <c r="DQ182" s="438">
        <v>0</v>
      </c>
      <c r="DR182" s="438">
        <v>0</v>
      </c>
      <c r="DS182" s="438">
        <v>0</v>
      </c>
      <c r="DT182" s="438">
        <v>0</v>
      </c>
      <c r="DU182" s="438">
        <v>0</v>
      </c>
      <c r="DV182" s="438">
        <v>0</v>
      </c>
      <c r="DW182" s="438">
        <v>0</v>
      </c>
      <c r="DX182" s="438">
        <v>0</v>
      </c>
      <c r="DY182" s="438">
        <v>0</v>
      </c>
      <c r="DZ182" s="438">
        <v>0</v>
      </c>
      <c r="EA182" s="438">
        <v>0</v>
      </c>
      <c r="EB182" s="438">
        <v>0</v>
      </c>
      <c r="EC182" s="438">
        <v>42.957000000000001</v>
      </c>
      <c r="ED182" s="438">
        <v>309222</v>
      </c>
      <c r="EE182" s="438">
        <v>0</v>
      </c>
      <c r="EF182" s="438">
        <v>0</v>
      </c>
      <c r="EG182" s="438">
        <v>0</v>
      </c>
      <c r="EH182" s="438">
        <v>363545</v>
      </c>
      <c r="EI182" s="438">
        <v>0</v>
      </c>
      <c r="EJ182" s="438">
        <v>0</v>
      </c>
      <c r="EK182" s="438">
        <v>16.154</v>
      </c>
      <c r="EL182" s="438">
        <v>0</v>
      </c>
      <c r="EM182" s="438">
        <v>0.214</v>
      </c>
      <c r="EN182" s="438">
        <v>1.29</v>
      </c>
      <c r="EO182" s="438">
        <v>0</v>
      </c>
      <c r="EP182" s="438">
        <v>0</v>
      </c>
      <c r="EQ182" s="438">
        <v>17.658000000000001</v>
      </c>
      <c r="ER182" s="438">
        <v>0</v>
      </c>
      <c r="ES182" s="438">
        <v>55.554000000000002</v>
      </c>
      <c r="ET182" s="438">
        <v>0</v>
      </c>
      <c r="EU182" s="438">
        <v>278013</v>
      </c>
      <c r="EV182" s="438">
        <v>0</v>
      </c>
      <c r="EW182" s="438">
        <v>0</v>
      </c>
      <c r="EX182" s="438">
        <v>0</v>
      </c>
      <c r="EZ182" s="438">
        <v>7082169</v>
      </c>
      <c r="FA182" s="438">
        <v>0</v>
      </c>
      <c r="FB182" s="438">
        <v>7360182</v>
      </c>
      <c r="FC182" s="438">
        <v>0.97334900000000002</v>
      </c>
      <c r="FD182" s="438">
        <v>0</v>
      </c>
      <c r="FE182" s="438">
        <v>1024005</v>
      </c>
      <c r="FF182" s="438">
        <v>233393</v>
      </c>
      <c r="FG182" s="437">
        <v>5.7854999999999997E-2</v>
      </c>
      <c r="FH182" s="437">
        <v>5.2366000000000003E-2</v>
      </c>
      <c r="FI182" s="438">
        <v>0</v>
      </c>
      <c r="FJ182" s="438">
        <v>0</v>
      </c>
      <c r="FK182" s="438">
        <v>1394.98</v>
      </c>
      <c r="FL182" s="438">
        <v>8617580</v>
      </c>
      <c r="FM182" s="438">
        <v>0</v>
      </c>
      <c r="FN182" s="438">
        <v>0</v>
      </c>
      <c r="FO182" s="438">
        <v>0</v>
      </c>
      <c r="FP182" s="438">
        <v>0</v>
      </c>
      <c r="FQ182" s="438">
        <v>0</v>
      </c>
      <c r="FR182" s="438">
        <v>0</v>
      </c>
      <c r="FS182" s="438">
        <v>0</v>
      </c>
      <c r="FT182" s="438">
        <v>0</v>
      </c>
      <c r="FU182" s="438">
        <v>0</v>
      </c>
      <c r="FV182" s="438">
        <v>0</v>
      </c>
      <c r="FW182" s="438">
        <v>0</v>
      </c>
      <c r="FX182" s="438">
        <v>0</v>
      </c>
      <c r="FY182" s="438">
        <v>0</v>
      </c>
      <c r="FZ182" s="438">
        <v>0</v>
      </c>
      <c r="GA182" s="438">
        <v>0</v>
      </c>
      <c r="GB182" s="438">
        <v>110077</v>
      </c>
      <c r="GC182" s="438">
        <v>110077</v>
      </c>
      <c r="GD182" s="438">
        <v>12.46</v>
      </c>
      <c r="GF182" s="438">
        <v>0</v>
      </c>
      <c r="GG182" s="438">
        <v>0</v>
      </c>
      <c r="GH182" s="438">
        <v>0</v>
      </c>
      <c r="GI182" s="438">
        <v>0</v>
      </c>
      <c r="GJ182" s="438">
        <v>0</v>
      </c>
      <c r="GK182" s="438">
        <v>4821.3919999999998</v>
      </c>
      <c r="GL182" s="438">
        <v>18697</v>
      </c>
      <c r="GM182" s="438">
        <v>0</v>
      </c>
      <c r="GN182" s="438">
        <v>0</v>
      </c>
      <c r="GO182" s="438">
        <v>0</v>
      </c>
      <c r="GP182" s="438">
        <v>8617580</v>
      </c>
      <c r="GQ182" s="438">
        <v>8617580</v>
      </c>
      <c r="GR182" s="438">
        <v>0</v>
      </c>
      <c r="GS182" s="438">
        <v>0</v>
      </c>
      <c r="GT182" s="438">
        <v>0</v>
      </c>
      <c r="HB182" s="438">
        <v>0</v>
      </c>
      <c r="HC182" s="437">
        <v>6.0754000000000002E-2</v>
      </c>
      <c r="HD182" s="438">
        <v>0</v>
      </c>
    </row>
    <row r="183" spans="1:212" x14ac:dyDescent="0.2">
      <c r="A183" s="438">
        <v>25836</v>
      </c>
      <c r="B183" s="442">
        <v>227805</v>
      </c>
      <c r="C183" s="438">
        <v>9</v>
      </c>
      <c r="D183" s="438">
        <v>2020</v>
      </c>
      <c r="E183" s="438">
        <v>5392</v>
      </c>
      <c r="F183" s="438">
        <v>0</v>
      </c>
      <c r="G183" s="438">
        <v>310.19200000000001</v>
      </c>
      <c r="H183" s="438">
        <v>304.959</v>
      </c>
      <c r="I183" s="438">
        <v>304.959</v>
      </c>
      <c r="J183" s="438">
        <v>310.19200000000001</v>
      </c>
      <c r="K183" s="438">
        <v>0</v>
      </c>
      <c r="L183" s="437">
        <v>6544</v>
      </c>
      <c r="M183" s="438">
        <v>0</v>
      </c>
      <c r="N183" s="438">
        <v>0</v>
      </c>
      <c r="P183" s="438">
        <v>312.34500000000003</v>
      </c>
      <c r="Q183" s="438">
        <v>0</v>
      </c>
      <c r="R183" s="438">
        <v>77333</v>
      </c>
      <c r="S183" s="437">
        <v>247.58699999999999</v>
      </c>
      <c r="U183" s="438">
        <v>0</v>
      </c>
      <c r="V183" s="438">
        <v>0</v>
      </c>
      <c r="W183" s="438">
        <v>0</v>
      </c>
      <c r="X183" s="438">
        <v>0</v>
      </c>
      <c r="Z183" s="438">
        <v>0</v>
      </c>
      <c r="AA183" s="438">
        <v>1</v>
      </c>
      <c r="AB183" s="438">
        <v>1</v>
      </c>
      <c r="AC183" s="438">
        <v>0</v>
      </c>
      <c r="AD183" s="438" t="s">
        <v>332</v>
      </c>
      <c r="AE183" s="438">
        <v>0</v>
      </c>
      <c r="AH183" s="438">
        <v>0</v>
      </c>
      <c r="AI183" s="438">
        <v>0</v>
      </c>
      <c r="AJ183" s="437">
        <v>5105</v>
      </c>
      <c r="AK183" s="438" t="s">
        <v>561</v>
      </c>
      <c r="AL183" s="438" t="s">
        <v>84</v>
      </c>
      <c r="AM183" s="438">
        <v>0</v>
      </c>
      <c r="AN183" s="438">
        <v>0</v>
      </c>
      <c r="AO183" s="438">
        <v>0</v>
      </c>
      <c r="AP183" s="438">
        <v>0</v>
      </c>
      <c r="AQ183" s="438">
        <v>0</v>
      </c>
      <c r="AR183" s="438">
        <v>0</v>
      </c>
      <c r="AS183" s="438">
        <v>0</v>
      </c>
      <c r="AT183" s="438">
        <v>0</v>
      </c>
      <c r="AU183" s="438">
        <v>0</v>
      </c>
      <c r="AV183" s="438">
        <v>0</v>
      </c>
      <c r="AW183" s="438">
        <v>2965464</v>
      </c>
      <c r="AX183" s="438">
        <v>2957290</v>
      </c>
      <c r="AY183" s="438">
        <v>0</v>
      </c>
      <c r="AZ183" s="438">
        <v>80069</v>
      </c>
      <c r="BA183" s="438">
        <v>10.5</v>
      </c>
      <c r="BB183" s="438">
        <v>0</v>
      </c>
      <c r="BC183" s="438">
        <v>0</v>
      </c>
      <c r="BD183" s="438">
        <v>0</v>
      </c>
      <c r="BE183" s="438">
        <v>0</v>
      </c>
      <c r="BF183" s="438">
        <v>2520532</v>
      </c>
      <c r="BG183" s="438">
        <v>0</v>
      </c>
      <c r="BH183" s="438">
        <v>9.9480000000000004</v>
      </c>
      <c r="BI183" s="438">
        <v>2736</v>
      </c>
      <c r="BJ183" s="438">
        <v>12</v>
      </c>
      <c r="BK183" s="438">
        <v>0</v>
      </c>
      <c r="BL183" s="438">
        <v>0</v>
      </c>
      <c r="BM183" s="438">
        <v>0</v>
      </c>
      <c r="BN183" s="438">
        <v>0</v>
      </c>
      <c r="BO183" s="438">
        <v>0</v>
      </c>
      <c r="BP183" s="438">
        <v>0</v>
      </c>
      <c r="BQ183" s="437">
        <v>5392</v>
      </c>
      <c r="BR183" s="438">
        <v>1</v>
      </c>
      <c r="BS183" s="438">
        <v>0</v>
      </c>
      <c r="BT183" s="438">
        <v>0</v>
      </c>
      <c r="BU183" s="438">
        <v>0</v>
      </c>
      <c r="BV183" s="438">
        <v>0</v>
      </c>
      <c r="BW183" s="438">
        <v>0</v>
      </c>
      <c r="BX183" s="438">
        <v>0</v>
      </c>
      <c r="BY183" s="438">
        <v>0</v>
      </c>
      <c r="BZ183" s="438">
        <v>0</v>
      </c>
      <c r="CA183" s="438">
        <v>0</v>
      </c>
      <c r="CB183" s="438">
        <v>0</v>
      </c>
      <c r="CC183" s="438">
        <v>0</v>
      </c>
      <c r="CG183" s="438">
        <v>0</v>
      </c>
      <c r="CH183" s="438">
        <v>5438</v>
      </c>
      <c r="CI183" s="438">
        <v>0</v>
      </c>
      <c r="CJ183" s="438">
        <v>4</v>
      </c>
      <c r="CK183" s="438">
        <v>0</v>
      </c>
      <c r="CL183" s="438">
        <v>0</v>
      </c>
      <c r="CN183" s="438">
        <v>0</v>
      </c>
      <c r="CO183" s="438">
        <v>1</v>
      </c>
      <c r="CP183" s="438">
        <v>0</v>
      </c>
      <c r="CQ183" s="438">
        <v>0.75</v>
      </c>
      <c r="CR183" s="438">
        <v>310.19200000000001</v>
      </c>
      <c r="CS183" s="438">
        <v>0</v>
      </c>
      <c r="CT183" s="438">
        <v>0</v>
      </c>
      <c r="CU183" s="438">
        <v>0</v>
      </c>
      <c r="CV183" s="438">
        <v>0</v>
      </c>
      <c r="CW183" s="438">
        <v>0</v>
      </c>
      <c r="CX183" s="438">
        <v>0</v>
      </c>
      <c r="CY183" s="438">
        <v>0</v>
      </c>
      <c r="CZ183" s="438">
        <v>0</v>
      </c>
      <c r="DA183" s="438">
        <v>1</v>
      </c>
      <c r="DB183" s="438">
        <v>1995652</v>
      </c>
      <c r="DC183" s="438">
        <v>0</v>
      </c>
      <c r="DD183" s="438">
        <v>0</v>
      </c>
      <c r="DE183" s="438">
        <v>367995</v>
      </c>
      <c r="DF183" s="438">
        <v>367995</v>
      </c>
      <c r="DG183" s="438">
        <v>281.17</v>
      </c>
      <c r="DH183" s="438">
        <v>0</v>
      </c>
      <c r="DI183" s="438">
        <v>0</v>
      </c>
      <c r="DK183" s="437">
        <v>5392</v>
      </c>
      <c r="DL183" s="438">
        <v>0</v>
      </c>
      <c r="DM183" s="438">
        <v>225898</v>
      </c>
      <c r="DN183" s="438">
        <v>0</v>
      </c>
      <c r="DO183" s="438">
        <v>0</v>
      </c>
      <c r="DP183" s="438">
        <v>0</v>
      </c>
      <c r="DQ183" s="438">
        <v>0</v>
      </c>
      <c r="DR183" s="438">
        <v>0</v>
      </c>
      <c r="DS183" s="438">
        <v>0</v>
      </c>
      <c r="DT183" s="438">
        <v>0</v>
      </c>
      <c r="DU183" s="438">
        <v>0</v>
      </c>
      <c r="DV183" s="438">
        <v>0</v>
      </c>
      <c r="DW183" s="438">
        <v>0</v>
      </c>
      <c r="DX183" s="438">
        <v>0</v>
      </c>
      <c r="DY183" s="438">
        <v>0</v>
      </c>
      <c r="DZ183" s="438">
        <v>0</v>
      </c>
      <c r="EA183" s="438">
        <v>0</v>
      </c>
      <c r="EB183" s="438">
        <v>0</v>
      </c>
      <c r="EC183" s="438">
        <v>16.928000000000001</v>
      </c>
      <c r="ED183" s="438">
        <v>121855</v>
      </c>
      <c r="EE183" s="438">
        <v>0</v>
      </c>
      <c r="EF183" s="438">
        <v>0</v>
      </c>
      <c r="EG183" s="438">
        <v>0</v>
      </c>
      <c r="EH183" s="438">
        <v>104043</v>
      </c>
      <c r="EI183" s="438">
        <v>0</v>
      </c>
      <c r="EJ183" s="438">
        <v>0</v>
      </c>
      <c r="EK183" s="438">
        <v>5.133</v>
      </c>
      <c r="EL183" s="438">
        <v>0</v>
      </c>
      <c r="EM183" s="438">
        <v>0</v>
      </c>
      <c r="EN183" s="438">
        <v>0.1</v>
      </c>
      <c r="EO183" s="438">
        <v>0</v>
      </c>
      <c r="EP183" s="438">
        <v>0</v>
      </c>
      <c r="EQ183" s="438">
        <v>5.2329999999999997</v>
      </c>
      <c r="ER183" s="438">
        <v>0</v>
      </c>
      <c r="ES183" s="438">
        <v>15.898999999999999</v>
      </c>
      <c r="ET183" s="438">
        <v>5438</v>
      </c>
      <c r="EU183" s="438">
        <v>80069</v>
      </c>
      <c r="EV183" s="438">
        <v>0</v>
      </c>
      <c r="EW183" s="438">
        <v>0</v>
      </c>
      <c r="EX183" s="438">
        <v>0</v>
      </c>
      <c r="EZ183" s="438">
        <v>2512212</v>
      </c>
      <c r="FA183" s="438">
        <v>0</v>
      </c>
      <c r="FB183" s="438">
        <v>2592281</v>
      </c>
      <c r="FC183" s="438">
        <v>0.97334900000000002</v>
      </c>
      <c r="FD183" s="438">
        <v>0</v>
      </c>
      <c r="FE183" s="438">
        <v>362464</v>
      </c>
      <c r="FF183" s="438">
        <v>82614</v>
      </c>
      <c r="FG183" s="437">
        <v>5.7854999999999997E-2</v>
      </c>
      <c r="FH183" s="437">
        <v>5.2366000000000003E-2</v>
      </c>
      <c r="FI183" s="438">
        <v>0</v>
      </c>
      <c r="FJ183" s="438">
        <v>0</v>
      </c>
      <c r="FK183" s="438">
        <v>493.77699999999999</v>
      </c>
      <c r="FL183" s="438">
        <v>3042797</v>
      </c>
      <c r="FM183" s="438">
        <v>0</v>
      </c>
      <c r="FN183" s="438">
        <v>0</v>
      </c>
      <c r="FO183" s="438">
        <v>0</v>
      </c>
      <c r="FP183" s="438">
        <v>0</v>
      </c>
      <c r="FQ183" s="438">
        <v>0</v>
      </c>
      <c r="FR183" s="438">
        <v>0</v>
      </c>
      <c r="FS183" s="438">
        <v>0</v>
      </c>
      <c r="FT183" s="438">
        <v>0</v>
      </c>
      <c r="FU183" s="438">
        <v>0</v>
      </c>
      <c r="FV183" s="438">
        <v>0</v>
      </c>
      <c r="FW183" s="438">
        <v>0</v>
      </c>
      <c r="FX183" s="438">
        <v>0</v>
      </c>
      <c r="FY183" s="438">
        <v>0</v>
      </c>
      <c r="FZ183" s="438">
        <v>0</v>
      </c>
      <c r="GA183" s="438">
        <v>0</v>
      </c>
      <c r="GB183" s="438">
        <v>0</v>
      </c>
      <c r="GC183" s="438">
        <v>0</v>
      </c>
      <c r="GD183" s="438">
        <v>0</v>
      </c>
      <c r="GF183" s="438">
        <v>0</v>
      </c>
      <c r="GG183" s="438">
        <v>0</v>
      </c>
      <c r="GH183" s="438">
        <v>0</v>
      </c>
      <c r="GI183" s="438">
        <v>0</v>
      </c>
      <c r="GJ183" s="438">
        <v>0</v>
      </c>
      <c r="GK183" s="438">
        <v>4808.4229999999998</v>
      </c>
      <c r="GL183" s="438">
        <v>4346</v>
      </c>
      <c r="GM183" s="438">
        <v>0</v>
      </c>
      <c r="GN183" s="438">
        <v>0</v>
      </c>
      <c r="GO183" s="438">
        <v>0</v>
      </c>
      <c r="GP183" s="438">
        <v>3037359</v>
      </c>
      <c r="GQ183" s="438">
        <v>3037359</v>
      </c>
      <c r="GR183" s="438">
        <v>0</v>
      </c>
      <c r="GS183" s="438">
        <v>0</v>
      </c>
      <c r="GT183" s="438">
        <v>0</v>
      </c>
      <c r="HB183" s="438">
        <v>0</v>
      </c>
      <c r="HC183" s="437">
        <v>6.0754000000000002E-2</v>
      </c>
      <c r="HD183" s="438">
        <v>0</v>
      </c>
    </row>
    <row r="184" spans="1:212" x14ac:dyDescent="0.2">
      <c r="A184" s="438">
        <v>25836</v>
      </c>
      <c r="B184" s="442">
        <v>227806</v>
      </c>
      <c r="C184" s="438">
        <v>9</v>
      </c>
      <c r="D184" s="438">
        <v>2020</v>
      </c>
      <c r="E184" s="438">
        <v>5392</v>
      </c>
      <c r="F184" s="438">
        <v>0</v>
      </c>
      <c r="G184" s="438">
        <v>582.85199999999998</v>
      </c>
      <c r="H184" s="438">
        <v>417.56599999999997</v>
      </c>
      <c r="I184" s="438">
        <v>417.56599999999997</v>
      </c>
      <c r="J184" s="438">
        <v>582.85199999999998</v>
      </c>
      <c r="K184" s="438">
        <v>0</v>
      </c>
      <c r="L184" s="437">
        <v>6544</v>
      </c>
      <c r="M184" s="438">
        <v>0</v>
      </c>
      <c r="N184" s="438">
        <v>0</v>
      </c>
      <c r="P184" s="438">
        <v>574.46900000000005</v>
      </c>
      <c r="Q184" s="438">
        <v>0</v>
      </c>
      <c r="R184" s="438">
        <v>142231</v>
      </c>
      <c r="S184" s="437">
        <v>247.58699999999999</v>
      </c>
      <c r="U184" s="438">
        <v>0</v>
      </c>
      <c r="V184" s="438">
        <v>31.867000000000001</v>
      </c>
      <c r="W184" s="438">
        <v>20854</v>
      </c>
      <c r="X184" s="438">
        <v>20854</v>
      </c>
      <c r="Z184" s="438">
        <v>0</v>
      </c>
      <c r="AA184" s="438">
        <v>1</v>
      </c>
      <c r="AB184" s="438">
        <v>1</v>
      </c>
      <c r="AC184" s="438">
        <v>0</v>
      </c>
      <c r="AD184" s="438" t="s">
        <v>332</v>
      </c>
      <c r="AE184" s="438">
        <v>0</v>
      </c>
      <c r="AH184" s="438">
        <v>0</v>
      </c>
      <c r="AI184" s="438">
        <v>0</v>
      </c>
      <c r="AJ184" s="437">
        <v>5105</v>
      </c>
      <c r="AK184" s="438" t="s">
        <v>561</v>
      </c>
      <c r="AL184" s="438" t="s">
        <v>90</v>
      </c>
      <c r="AM184" s="438">
        <v>0</v>
      </c>
      <c r="AN184" s="438">
        <v>0</v>
      </c>
      <c r="AO184" s="438">
        <v>0</v>
      </c>
      <c r="AP184" s="438">
        <v>0</v>
      </c>
      <c r="AQ184" s="438">
        <v>0</v>
      </c>
      <c r="AR184" s="438">
        <v>0</v>
      </c>
      <c r="AS184" s="438">
        <v>0</v>
      </c>
      <c r="AT184" s="438">
        <v>0</v>
      </c>
      <c r="AU184" s="438">
        <v>0</v>
      </c>
      <c r="AV184" s="438">
        <v>0</v>
      </c>
      <c r="AW184" s="438">
        <v>9738119</v>
      </c>
      <c r="AX184" s="438">
        <v>9631344</v>
      </c>
      <c r="AY184" s="438">
        <v>0</v>
      </c>
      <c r="AZ184" s="438">
        <v>249006</v>
      </c>
      <c r="BA184" s="438">
        <v>0</v>
      </c>
      <c r="BB184" s="438">
        <v>0</v>
      </c>
      <c r="BC184" s="438">
        <v>0</v>
      </c>
      <c r="BD184" s="438">
        <v>0</v>
      </c>
      <c r="BE184" s="438">
        <v>0</v>
      </c>
      <c r="BF184" s="438">
        <v>8117851</v>
      </c>
      <c r="BG184" s="438">
        <v>0</v>
      </c>
      <c r="BH184" s="438">
        <v>388.27300000000002</v>
      </c>
      <c r="BI184" s="438">
        <v>106775</v>
      </c>
      <c r="BJ184" s="438">
        <v>12</v>
      </c>
      <c r="BK184" s="438">
        <v>0</v>
      </c>
      <c r="BL184" s="438">
        <v>0</v>
      </c>
      <c r="BM184" s="438">
        <v>0</v>
      </c>
      <c r="BN184" s="438">
        <v>0</v>
      </c>
      <c r="BO184" s="438">
        <v>0</v>
      </c>
      <c r="BP184" s="438">
        <v>0</v>
      </c>
      <c r="BQ184" s="437">
        <v>5392</v>
      </c>
      <c r="BR184" s="438">
        <v>1</v>
      </c>
      <c r="BS184" s="438">
        <v>0</v>
      </c>
      <c r="BT184" s="438">
        <v>0</v>
      </c>
      <c r="BU184" s="438">
        <v>0</v>
      </c>
      <c r="BV184" s="438">
        <v>0</v>
      </c>
      <c r="BW184" s="438">
        <v>0</v>
      </c>
      <c r="BX184" s="438">
        <v>0</v>
      </c>
      <c r="BY184" s="438">
        <v>0</v>
      </c>
      <c r="BZ184" s="438">
        <v>0</v>
      </c>
      <c r="CA184" s="438">
        <v>0</v>
      </c>
      <c r="CB184" s="438">
        <v>0</v>
      </c>
      <c r="CC184" s="438">
        <v>0</v>
      </c>
      <c r="CG184" s="438">
        <v>0</v>
      </c>
      <c r="CH184" s="438">
        <v>0</v>
      </c>
      <c r="CI184" s="438">
        <v>0</v>
      </c>
      <c r="CJ184" s="438">
        <v>4</v>
      </c>
      <c r="CK184" s="438">
        <v>0</v>
      </c>
      <c r="CL184" s="438">
        <v>0</v>
      </c>
      <c r="CN184" s="438">
        <v>0</v>
      </c>
      <c r="CO184" s="438">
        <v>1</v>
      </c>
      <c r="CP184" s="438">
        <v>2.3260000000000001</v>
      </c>
      <c r="CQ184" s="438">
        <v>0</v>
      </c>
      <c r="CR184" s="438">
        <v>582.85199999999998</v>
      </c>
      <c r="CS184" s="438">
        <v>0</v>
      </c>
      <c r="CT184" s="438">
        <v>0</v>
      </c>
      <c r="CU184" s="438">
        <v>0</v>
      </c>
      <c r="CV184" s="438">
        <v>0</v>
      </c>
      <c r="CW184" s="438">
        <v>0</v>
      </c>
      <c r="CX184" s="438">
        <v>0</v>
      </c>
      <c r="CY184" s="438">
        <v>0</v>
      </c>
      <c r="CZ184" s="438">
        <v>0</v>
      </c>
      <c r="DA184" s="438">
        <v>1</v>
      </c>
      <c r="DB184" s="438">
        <v>2732552</v>
      </c>
      <c r="DC184" s="438">
        <v>0</v>
      </c>
      <c r="DD184" s="438">
        <v>0</v>
      </c>
      <c r="DE184" s="438">
        <v>1107467</v>
      </c>
      <c r="DF184" s="438">
        <v>1144150</v>
      </c>
      <c r="DG184" s="438">
        <v>846.17</v>
      </c>
      <c r="DH184" s="438">
        <v>0</v>
      </c>
      <c r="DI184" s="438">
        <v>36683</v>
      </c>
      <c r="DK184" s="437">
        <v>5392</v>
      </c>
      <c r="DL184" s="438">
        <v>0</v>
      </c>
      <c r="DM184" s="438">
        <v>4442564</v>
      </c>
      <c r="DN184" s="438">
        <v>0</v>
      </c>
      <c r="DO184" s="438">
        <v>0</v>
      </c>
      <c r="DP184" s="438">
        <v>0</v>
      </c>
      <c r="DQ184" s="438">
        <v>0</v>
      </c>
      <c r="DR184" s="438">
        <v>0</v>
      </c>
      <c r="DS184" s="438">
        <v>0</v>
      </c>
      <c r="DT184" s="438">
        <v>0</v>
      </c>
      <c r="DU184" s="438">
        <v>0</v>
      </c>
      <c r="DV184" s="438">
        <v>0</v>
      </c>
      <c r="DW184" s="438">
        <v>0</v>
      </c>
      <c r="DX184" s="438">
        <v>0</v>
      </c>
      <c r="DY184" s="438">
        <v>0</v>
      </c>
      <c r="DZ184" s="438">
        <v>0</v>
      </c>
      <c r="EA184" s="438">
        <v>8.7999999999999995E-2</v>
      </c>
      <c r="EB184" s="438">
        <v>0</v>
      </c>
      <c r="EC184" s="438">
        <v>17.2</v>
      </c>
      <c r="ED184" s="438">
        <v>123812</v>
      </c>
      <c r="EE184" s="438">
        <v>0</v>
      </c>
      <c r="EF184" s="438">
        <v>0</v>
      </c>
      <c r="EG184" s="438">
        <v>0</v>
      </c>
      <c r="EH184" s="438">
        <v>104992</v>
      </c>
      <c r="EI184" s="438">
        <v>4213760</v>
      </c>
      <c r="EJ184" s="438">
        <v>160.97800000000001</v>
      </c>
      <c r="EK184" s="438">
        <v>2.7480000000000002</v>
      </c>
      <c r="EL184" s="438">
        <v>0</v>
      </c>
      <c r="EM184" s="438">
        <v>0</v>
      </c>
      <c r="EN184" s="438">
        <v>1.472</v>
      </c>
      <c r="EO184" s="438">
        <v>0</v>
      </c>
      <c r="EP184" s="438">
        <v>0</v>
      </c>
      <c r="EQ184" s="438">
        <v>165.286</v>
      </c>
      <c r="ER184" s="438">
        <v>0</v>
      </c>
      <c r="ES184" s="438">
        <v>16.044</v>
      </c>
      <c r="ET184" s="438">
        <v>0</v>
      </c>
      <c r="EU184" s="438">
        <v>249006</v>
      </c>
      <c r="EV184" s="438">
        <v>0</v>
      </c>
      <c r="EW184" s="438">
        <v>0</v>
      </c>
      <c r="EX184" s="438">
        <v>0</v>
      </c>
      <c r="EZ184" s="438">
        <v>8197889</v>
      </c>
      <c r="FA184" s="438">
        <v>0</v>
      </c>
      <c r="FB184" s="438">
        <v>8446895</v>
      </c>
      <c r="FC184" s="438">
        <v>0.97334900000000002</v>
      </c>
      <c r="FD184" s="438">
        <v>0</v>
      </c>
      <c r="FE184" s="438">
        <v>1167383</v>
      </c>
      <c r="FF184" s="438">
        <v>266072</v>
      </c>
      <c r="FG184" s="437">
        <v>5.7854999999999997E-2</v>
      </c>
      <c r="FH184" s="437">
        <v>5.2366000000000003E-2</v>
      </c>
      <c r="FI184" s="438">
        <v>0</v>
      </c>
      <c r="FJ184" s="438">
        <v>0</v>
      </c>
      <c r="FK184" s="438">
        <v>1590.3009999999999</v>
      </c>
      <c r="FL184" s="438">
        <v>9880350</v>
      </c>
      <c r="FM184" s="438">
        <v>0</v>
      </c>
      <c r="FN184" s="438">
        <v>0</v>
      </c>
      <c r="FO184" s="438">
        <v>0</v>
      </c>
      <c r="FP184" s="438">
        <v>0</v>
      </c>
      <c r="FQ184" s="438">
        <v>0</v>
      </c>
      <c r="FR184" s="438">
        <v>0</v>
      </c>
      <c r="FS184" s="438">
        <v>0</v>
      </c>
      <c r="FT184" s="438">
        <v>0</v>
      </c>
      <c r="FU184" s="438">
        <v>0</v>
      </c>
      <c r="FV184" s="438">
        <v>0</v>
      </c>
      <c r="FW184" s="438">
        <v>0</v>
      </c>
      <c r="FX184" s="438">
        <v>0</v>
      </c>
      <c r="FY184" s="438">
        <v>0</v>
      </c>
      <c r="FZ184" s="438">
        <v>0</v>
      </c>
      <c r="GA184" s="438">
        <v>0</v>
      </c>
      <c r="GB184" s="438">
        <v>0</v>
      </c>
      <c r="GC184" s="438">
        <v>0</v>
      </c>
      <c r="GD184" s="438">
        <v>0</v>
      </c>
      <c r="GF184" s="438">
        <v>0</v>
      </c>
      <c r="GG184" s="438">
        <v>0</v>
      </c>
      <c r="GH184" s="438">
        <v>0</v>
      </c>
      <c r="GI184" s="438">
        <v>0</v>
      </c>
      <c r="GJ184" s="438">
        <v>0</v>
      </c>
      <c r="GK184" s="438">
        <v>4688.9309999999996</v>
      </c>
      <c r="GL184" s="438">
        <v>63745</v>
      </c>
      <c r="GM184" s="438">
        <v>0</v>
      </c>
      <c r="GN184" s="438">
        <v>0</v>
      </c>
      <c r="GO184" s="438">
        <v>0</v>
      </c>
      <c r="GP184" s="438">
        <v>9880350</v>
      </c>
      <c r="GQ184" s="438">
        <v>9880350</v>
      </c>
      <c r="GR184" s="438">
        <v>0</v>
      </c>
      <c r="GS184" s="438">
        <v>0</v>
      </c>
      <c r="GT184" s="438">
        <v>0</v>
      </c>
      <c r="HB184" s="438">
        <v>0</v>
      </c>
      <c r="HC184" s="437">
        <v>6.0754000000000002E-2</v>
      </c>
      <c r="HD184" s="438">
        <v>0</v>
      </c>
    </row>
    <row r="185" spans="1:212" x14ac:dyDescent="0.2">
      <c r="A185" s="438">
        <v>25836</v>
      </c>
      <c r="B185" s="442">
        <v>227814</v>
      </c>
      <c r="C185" s="438">
        <v>9</v>
      </c>
      <c r="D185" s="438">
        <v>2020</v>
      </c>
      <c r="E185" s="438">
        <v>5392</v>
      </c>
      <c r="F185" s="438">
        <v>0</v>
      </c>
      <c r="G185" s="438">
        <v>354.81200000000001</v>
      </c>
      <c r="H185" s="438">
        <v>344.2</v>
      </c>
      <c r="I185" s="438">
        <v>344.2</v>
      </c>
      <c r="J185" s="438">
        <v>354.81200000000001</v>
      </c>
      <c r="K185" s="438">
        <v>0</v>
      </c>
      <c r="L185" s="437">
        <v>6544</v>
      </c>
      <c r="M185" s="438">
        <v>0</v>
      </c>
      <c r="N185" s="438">
        <v>0</v>
      </c>
      <c r="P185" s="438">
        <v>354.577</v>
      </c>
      <c r="Q185" s="438">
        <v>0</v>
      </c>
      <c r="R185" s="438">
        <v>87789</v>
      </c>
      <c r="S185" s="437">
        <v>247.58699999999999</v>
      </c>
      <c r="U185" s="438">
        <v>0</v>
      </c>
      <c r="V185" s="438">
        <v>26.495000000000001</v>
      </c>
      <c r="W185" s="438">
        <v>17338</v>
      </c>
      <c r="X185" s="438">
        <v>17338</v>
      </c>
      <c r="Z185" s="438">
        <v>0</v>
      </c>
      <c r="AA185" s="438">
        <v>1</v>
      </c>
      <c r="AB185" s="438">
        <v>1</v>
      </c>
      <c r="AC185" s="438">
        <v>0</v>
      </c>
      <c r="AD185" s="438" t="s">
        <v>332</v>
      </c>
      <c r="AE185" s="438">
        <v>0</v>
      </c>
      <c r="AH185" s="438">
        <v>0</v>
      </c>
      <c r="AI185" s="438">
        <v>0</v>
      </c>
      <c r="AJ185" s="437">
        <v>5105</v>
      </c>
      <c r="AK185" s="438" t="s">
        <v>561</v>
      </c>
      <c r="AL185" s="438" t="s">
        <v>99</v>
      </c>
      <c r="AM185" s="438">
        <v>0</v>
      </c>
      <c r="AN185" s="438">
        <v>0</v>
      </c>
      <c r="AO185" s="438">
        <v>0</v>
      </c>
      <c r="AP185" s="438">
        <v>0</v>
      </c>
      <c r="AQ185" s="438">
        <v>0</v>
      </c>
      <c r="AR185" s="438">
        <v>0</v>
      </c>
      <c r="AS185" s="438">
        <v>0</v>
      </c>
      <c r="AT185" s="438">
        <v>0</v>
      </c>
      <c r="AU185" s="438">
        <v>0</v>
      </c>
      <c r="AV185" s="438">
        <v>0</v>
      </c>
      <c r="AW185" s="438">
        <v>2753374</v>
      </c>
      <c r="AX185" s="438">
        <v>2723151</v>
      </c>
      <c r="AY185" s="438">
        <v>0</v>
      </c>
      <c r="AZ185" s="438">
        <v>117512</v>
      </c>
      <c r="BA185" s="438">
        <v>1</v>
      </c>
      <c r="BB185" s="438">
        <v>0</v>
      </c>
      <c r="BC185" s="438">
        <v>0</v>
      </c>
      <c r="BD185" s="438">
        <v>0</v>
      </c>
      <c r="BE185" s="438">
        <v>0</v>
      </c>
      <c r="BF185" s="438">
        <v>2334744</v>
      </c>
      <c r="BG185" s="438">
        <v>0</v>
      </c>
      <c r="BH185" s="438">
        <v>108.083</v>
      </c>
      <c r="BI185" s="438">
        <v>29723</v>
      </c>
      <c r="BJ185" s="438">
        <v>12</v>
      </c>
      <c r="BK185" s="438">
        <v>0</v>
      </c>
      <c r="BL185" s="438">
        <v>0</v>
      </c>
      <c r="BM185" s="438">
        <v>0</v>
      </c>
      <c r="BN185" s="438">
        <v>0</v>
      </c>
      <c r="BO185" s="438">
        <v>0</v>
      </c>
      <c r="BP185" s="438">
        <v>0</v>
      </c>
      <c r="BQ185" s="437">
        <v>5392</v>
      </c>
      <c r="BR185" s="438">
        <v>1</v>
      </c>
      <c r="BS185" s="438">
        <v>0</v>
      </c>
      <c r="BT185" s="438">
        <v>0</v>
      </c>
      <c r="BU185" s="438">
        <v>0</v>
      </c>
      <c r="BV185" s="438">
        <v>0</v>
      </c>
      <c r="BW185" s="438">
        <v>0</v>
      </c>
      <c r="BX185" s="438">
        <v>0</v>
      </c>
      <c r="BY185" s="438">
        <v>0</v>
      </c>
      <c r="BZ185" s="438">
        <v>0</v>
      </c>
      <c r="CA185" s="438">
        <v>0</v>
      </c>
      <c r="CB185" s="438">
        <v>0</v>
      </c>
      <c r="CC185" s="438">
        <v>0</v>
      </c>
      <c r="CG185" s="438">
        <v>0</v>
      </c>
      <c r="CH185" s="438">
        <v>500</v>
      </c>
      <c r="CI185" s="438">
        <v>0</v>
      </c>
      <c r="CJ185" s="438">
        <v>4</v>
      </c>
      <c r="CK185" s="438">
        <v>0</v>
      </c>
      <c r="CL185" s="438">
        <v>0</v>
      </c>
      <c r="CN185" s="438">
        <v>0</v>
      </c>
      <c r="CO185" s="438">
        <v>1</v>
      </c>
      <c r="CP185" s="438">
        <v>0</v>
      </c>
      <c r="CQ185" s="438">
        <v>0</v>
      </c>
      <c r="CR185" s="438">
        <v>354.81200000000001</v>
      </c>
      <c r="CS185" s="438">
        <v>0</v>
      </c>
      <c r="CT185" s="438">
        <v>0</v>
      </c>
      <c r="CU185" s="438">
        <v>0</v>
      </c>
      <c r="CV185" s="438">
        <v>0</v>
      </c>
      <c r="CW185" s="438">
        <v>0</v>
      </c>
      <c r="CX185" s="438">
        <v>0</v>
      </c>
      <c r="CY185" s="438">
        <v>0</v>
      </c>
      <c r="CZ185" s="438">
        <v>0</v>
      </c>
      <c r="DA185" s="438">
        <v>1</v>
      </c>
      <c r="DB185" s="438">
        <v>2252445</v>
      </c>
      <c r="DC185" s="438">
        <v>0</v>
      </c>
      <c r="DD185" s="438">
        <v>0</v>
      </c>
      <c r="DE185" s="438">
        <v>0</v>
      </c>
      <c r="DF185" s="438">
        <v>0</v>
      </c>
      <c r="DG185" s="438">
        <v>0</v>
      </c>
      <c r="DH185" s="438">
        <v>0</v>
      </c>
      <c r="DI185" s="438">
        <v>0</v>
      </c>
      <c r="DK185" s="437">
        <v>5392</v>
      </c>
      <c r="DL185" s="438">
        <v>0</v>
      </c>
      <c r="DM185" s="438">
        <v>37195</v>
      </c>
      <c r="DN185" s="438">
        <v>0</v>
      </c>
      <c r="DO185" s="438">
        <v>0</v>
      </c>
      <c r="DP185" s="438">
        <v>0</v>
      </c>
      <c r="DQ185" s="438">
        <v>0</v>
      </c>
      <c r="DR185" s="438">
        <v>0</v>
      </c>
      <c r="DS185" s="438">
        <v>0</v>
      </c>
      <c r="DT185" s="438">
        <v>0</v>
      </c>
      <c r="DU185" s="438">
        <v>0</v>
      </c>
      <c r="DV185" s="438">
        <v>0</v>
      </c>
      <c r="DW185" s="438">
        <v>0</v>
      </c>
      <c r="DX185" s="438">
        <v>0</v>
      </c>
      <c r="DY185" s="438">
        <v>0</v>
      </c>
      <c r="DZ185" s="438">
        <v>0</v>
      </c>
      <c r="EA185" s="438">
        <v>0</v>
      </c>
      <c r="EB185" s="438">
        <v>0</v>
      </c>
      <c r="EC185" s="438">
        <v>4.1079999999999997</v>
      </c>
      <c r="ED185" s="438">
        <v>29571</v>
      </c>
      <c r="EE185" s="438">
        <v>0</v>
      </c>
      <c r="EF185" s="438">
        <v>0</v>
      </c>
      <c r="EG185" s="438">
        <v>0</v>
      </c>
      <c r="EH185" s="438">
        <v>7624</v>
      </c>
      <c r="EI185" s="438">
        <v>0</v>
      </c>
      <c r="EJ185" s="438">
        <v>0</v>
      </c>
      <c r="EK185" s="438">
        <v>0</v>
      </c>
      <c r="EL185" s="438">
        <v>0</v>
      </c>
      <c r="EM185" s="438">
        <v>0</v>
      </c>
      <c r="EN185" s="438">
        <v>0.23300000000000001</v>
      </c>
      <c r="EO185" s="438">
        <v>0</v>
      </c>
      <c r="EP185" s="438">
        <v>0</v>
      </c>
      <c r="EQ185" s="438">
        <v>0.23300000000000001</v>
      </c>
      <c r="ER185" s="438">
        <v>0</v>
      </c>
      <c r="ES185" s="438">
        <v>1.165</v>
      </c>
      <c r="ET185" s="438">
        <v>500</v>
      </c>
      <c r="EU185" s="438">
        <v>117512</v>
      </c>
      <c r="EV185" s="438">
        <v>0</v>
      </c>
      <c r="EW185" s="438">
        <v>0</v>
      </c>
      <c r="EX185" s="438">
        <v>0</v>
      </c>
      <c r="EZ185" s="438">
        <v>2310881</v>
      </c>
      <c r="FA185" s="438">
        <v>0</v>
      </c>
      <c r="FB185" s="438">
        <v>2428393</v>
      </c>
      <c r="FC185" s="438">
        <v>0.97334900000000002</v>
      </c>
      <c r="FD185" s="438">
        <v>0</v>
      </c>
      <c r="FE185" s="438">
        <v>335746</v>
      </c>
      <c r="FF185" s="438">
        <v>76524</v>
      </c>
      <c r="FG185" s="437">
        <v>5.7854999999999997E-2</v>
      </c>
      <c r="FH185" s="437">
        <v>5.2366000000000003E-2</v>
      </c>
      <c r="FI185" s="438">
        <v>0</v>
      </c>
      <c r="FJ185" s="438">
        <v>0</v>
      </c>
      <c r="FK185" s="438">
        <v>457.38</v>
      </c>
      <c r="FL185" s="438">
        <v>2841163</v>
      </c>
      <c r="FM185" s="438">
        <v>0</v>
      </c>
      <c r="FN185" s="438">
        <v>0</v>
      </c>
      <c r="FO185" s="438">
        <v>0</v>
      </c>
      <c r="FP185" s="438">
        <v>0</v>
      </c>
      <c r="FQ185" s="438">
        <v>0</v>
      </c>
      <c r="FR185" s="438">
        <v>0</v>
      </c>
      <c r="FS185" s="438">
        <v>0</v>
      </c>
      <c r="FT185" s="438">
        <v>0</v>
      </c>
      <c r="FU185" s="438">
        <v>0</v>
      </c>
      <c r="FV185" s="438">
        <v>0</v>
      </c>
      <c r="FW185" s="438">
        <v>0</v>
      </c>
      <c r="FX185" s="438">
        <v>0</v>
      </c>
      <c r="FY185" s="438">
        <v>0</v>
      </c>
      <c r="FZ185" s="438">
        <v>0</v>
      </c>
      <c r="GA185" s="438">
        <v>0</v>
      </c>
      <c r="GB185" s="438">
        <v>91692</v>
      </c>
      <c r="GC185" s="438">
        <v>91692</v>
      </c>
      <c r="GD185" s="438">
        <v>10.379</v>
      </c>
      <c r="GF185" s="438">
        <v>0</v>
      </c>
      <c r="GG185" s="438">
        <v>0</v>
      </c>
      <c r="GH185" s="438">
        <v>0</v>
      </c>
      <c r="GI185" s="438">
        <v>0</v>
      </c>
      <c r="GJ185" s="438">
        <v>0</v>
      </c>
      <c r="GK185" s="438">
        <v>4964.0420000000004</v>
      </c>
      <c r="GL185" s="438">
        <v>7519</v>
      </c>
      <c r="GM185" s="438">
        <v>0</v>
      </c>
      <c r="GN185" s="438">
        <v>0</v>
      </c>
      <c r="GO185" s="438">
        <v>0</v>
      </c>
      <c r="GP185" s="438">
        <v>2840663</v>
      </c>
      <c r="GQ185" s="438">
        <v>2840663</v>
      </c>
      <c r="GR185" s="438">
        <v>0</v>
      </c>
      <c r="GS185" s="438">
        <v>0</v>
      </c>
      <c r="GT185" s="438">
        <v>0</v>
      </c>
      <c r="HB185" s="438">
        <v>0</v>
      </c>
      <c r="HC185" s="437">
        <v>6.0754000000000002E-2</v>
      </c>
      <c r="HD185" s="438">
        <v>0</v>
      </c>
    </row>
    <row r="186" spans="1:212" x14ac:dyDescent="0.2">
      <c r="A186" s="438">
        <v>25836</v>
      </c>
      <c r="B186" s="442">
        <v>227816</v>
      </c>
      <c r="C186" s="438">
        <v>9</v>
      </c>
      <c r="D186" s="438">
        <v>2020</v>
      </c>
      <c r="E186" s="438">
        <v>5392</v>
      </c>
      <c r="F186" s="438">
        <v>0</v>
      </c>
      <c r="G186" s="438">
        <v>3762.5920000000001</v>
      </c>
      <c r="H186" s="438">
        <v>3557.049</v>
      </c>
      <c r="I186" s="438">
        <v>3557.049</v>
      </c>
      <c r="J186" s="438">
        <v>3762.5920000000001</v>
      </c>
      <c r="K186" s="438">
        <v>0</v>
      </c>
      <c r="L186" s="437">
        <v>6544</v>
      </c>
      <c r="M186" s="438">
        <v>0</v>
      </c>
      <c r="N186" s="438">
        <v>0</v>
      </c>
      <c r="P186" s="438">
        <v>3768.136</v>
      </c>
      <c r="Q186" s="438">
        <v>0</v>
      </c>
      <c r="R186" s="438">
        <v>932941</v>
      </c>
      <c r="S186" s="437">
        <v>247.58699999999999</v>
      </c>
      <c r="U186" s="438">
        <v>0</v>
      </c>
      <c r="V186" s="438">
        <v>1497.4380000000001</v>
      </c>
      <c r="W186" s="438">
        <v>979923</v>
      </c>
      <c r="X186" s="438">
        <v>979923</v>
      </c>
      <c r="Z186" s="438">
        <v>0</v>
      </c>
      <c r="AA186" s="438">
        <v>1</v>
      </c>
      <c r="AB186" s="438">
        <v>1</v>
      </c>
      <c r="AC186" s="438">
        <v>0</v>
      </c>
      <c r="AD186" s="438" t="s">
        <v>332</v>
      </c>
      <c r="AE186" s="438">
        <v>0</v>
      </c>
      <c r="AH186" s="438">
        <v>0</v>
      </c>
      <c r="AI186" s="438">
        <v>0</v>
      </c>
      <c r="AJ186" s="437">
        <v>5105</v>
      </c>
      <c r="AK186" s="438" t="s">
        <v>561</v>
      </c>
      <c r="AL186" s="438" t="s">
        <v>91</v>
      </c>
      <c r="AM186" s="438">
        <v>0</v>
      </c>
      <c r="AN186" s="438">
        <v>0</v>
      </c>
      <c r="AO186" s="438">
        <v>0</v>
      </c>
      <c r="AP186" s="438">
        <v>0</v>
      </c>
      <c r="AQ186" s="438">
        <v>0</v>
      </c>
      <c r="AR186" s="438">
        <v>0</v>
      </c>
      <c r="AS186" s="438">
        <v>0</v>
      </c>
      <c r="AT186" s="438">
        <v>0</v>
      </c>
      <c r="AU186" s="438">
        <v>0</v>
      </c>
      <c r="AV186" s="438">
        <v>0</v>
      </c>
      <c r="AW186" s="438">
        <v>36080141</v>
      </c>
      <c r="AX186" s="438">
        <v>35772522</v>
      </c>
      <c r="AY186" s="438">
        <v>0</v>
      </c>
      <c r="AZ186" s="438">
        <v>1202726</v>
      </c>
      <c r="BA186" s="438">
        <v>75.667000000000002</v>
      </c>
      <c r="BB186" s="438">
        <v>147633</v>
      </c>
      <c r="BC186" s="438">
        <v>147633</v>
      </c>
      <c r="BD186" s="438">
        <v>188</v>
      </c>
      <c r="BE186" s="438">
        <v>0</v>
      </c>
      <c r="BF186" s="438">
        <v>30373618</v>
      </c>
      <c r="BG186" s="438">
        <v>0</v>
      </c>
      <c r="BH186" s="438">
        <v>981.03599999999994</v>
      </c>
      <c r="BI186" s="438">
        <v>269785</v>
      </c>
      <c r="BJ186" s="438">
        <v>12</v>
      </c>
      <c r="BK186" s="438">
        <v>0</v>
      </c>
      <c r="BL186" s="438">
        <v>0</v>
      </c>
      <c r="BM186" s="438">
        <v>0</v>
      </c>
      <c r="BN186" s="438">
        <v>0</v>
      </c>
      <c r="BO186" s="438">
        <v>0</v>
      </c>
      <c r="BP186" s="438">
        <v>0</v>
      </c>
      <c r="BQ186" s="437">
        <v>5392</v>
      </c>
      <c r="BR186" s="438">
        <v>1</v>
      </c>
      <c r="BS186" s="438">
        <v>0</v>
      </c>
      <c r="BT186" s="438">
        <v>0</v>
      </c>
      <c r="BU186" s="438">
        <v>0</v>
      </c>
      <c r="BV186" s="438">
        <v>0</v>
      </c>
      <c r="BW186" s="438">
        <v>0</v>
      </c>
      <c r="BX186" s="438">
        <v>0</v>
      </c>
      <c r="BY186" s="438">
        <v>0</v>
      </c>
      <c r="BZ186" s="438">
        <v>0</v>
      </c>
      <c r="CA186" s="438">
        <v>0</v>
      </c>
      <c r="CB186" s="438">
        <v>0</v>
      </c>
      <c r="CC186" s="438">
        <v>0</v>
      </c>
      <c r="CG186" s="438">
        <v>0</v>
      </c>
      <c r="CH186" s="438">
        <v>37834</v>
      </c>
      <c r="CI186" s="438">
        <v>0</v>
      </c>
      <c r="CJ186" s="438">
        <v>4</v>
      </c>
      <c r="CK186" s="438">
        <v>0</v>
      </c>
      <c r="CL186" s="438">
        <v>0</v>
      </c>
      <c r="CN186" s="438">
        <v>0</v>
      </c>
      <c r="CO186" s="438">
        <v>1</v>
      </c>
      <c r="CP186" s="438">
        <v>0</v>
      </c>
      <c r="CQ186" s="438">
        <v>0</v>
      </c>
      <c r="CR186" s="438">
        <v>3762.5920000000001</v>
      </c>
      <c r="CS186" s="438">
        <v>0</v>
      </c>
      <c r="CT186" s="438">
        <v>0</v>
      </c>
      <c r="CU186" s="438">
        <v>0</v>
      </c>
      <c r="CV186" s="438">
        <v>0</v>
      </c>
      <c r="CW186" s="438">
        <v>0</v>
      </c>
      <c r="CX186" s="438">
        <v>0</v>
      </c>
      <c r="CY186" s="438">
        <v>0</v>
      </c>
      <c r="CZ186" s="438">
        <v>0</v>
      </c>
      <c r="DA186" s="438">
        <v>1</v>
      </c>
      <c r="DB186" s="438">
        <v>23277329</v>
      </c>
      <c r="DC186" s="438">
        <v>0</v>
      </c>
      <c r="DD186" s="438">
        <v>75.667000000000002</v>
      </c>
      <c r="DE186" s="438">
        <v>3561245</v>
      </c>
      <c r="DF186" s="438">
        <v>3561245</v>
      </c>
      <c r="DG186" s="438">
        <v>2721</v>
      </c>
      <c r="DH186" s="438">
        <v>0</v>
      </c>
      <c r="DI186" s="438">
        <v>0</v>
      </c>
      <c r="DK186" s="437">
        <v>5392</v>
      </c>
      <c r="DL186" s="438">
        <v>0</v>
      </c>
      <c r="DM186" s="438">
        <v>2166869</v>
      </c>
      <c r="DN186" s="438">
        <v>0</v>
      </c>
      <c r="DO186" s="438">
        <v>0</v>
      </c>
      <c r="DP186" s="438">
        <v>0</v>
      </c>
      <c r="DQ186" s="438">
        <v>0</v>
      </c>
      <c r="DR186" s="438">
        <v>0</v>
      </c>
      <c r="DS186" s="438">
        <v>0</v>
      </c>
      <c r="DT186" s="438">
        <v>0</v>
      </c>
      <c r="DU186" s="438">
        <v>0</v>
      </c>
      <c r="DV186" s="438">
        <v>0</v>
      </c>
      <c r="DW186" s="438">
        <v>0</v>
      </c>
      <c r="DX186" s="438">
        <v>0</v>
      </c>
      <c r="DY186" s="438">
        <v>0</v>
      </c>
      <c r="DZ186" s="438">
        <v>0</v>
      </c>
      <c r="EA186" s="438">
        <v>0</v>
      </c>
      <c r="EB186" s="438">
        <v>0</v>
      </c>
      <c r="EC186" s="438">
        <v>63.17</v>
      </c>
      <c r="ED186" s="438">
        <v>454723</v>
      </c>
      <c r="EE186" s="438">
        <v>0</v>
      </c>
      <c r="EF186" s="438">
        <v>0</v>
      </c>
      <c r="EG186" s="438">
        <v>0</v>
      </c>
      <c r="EH186" s="438">
        <v>1712146</v>
      </c>
      <c r="EI186" s="438">
        <v>0</v>
      </c>
      <c r="EJ186" s="438">
        <v>0</v>
      </c>
      <c r="EK186" s="438">
        <v>68.328999999999994</v>
      </c>
      <c r="EL186" s="438">
        <v>0</v>
      </c>
      <c r="EM186" s="438">
        <v>11.278</v>
      </c>
      <c r="EN186" s="438">
        <v>4.5629999999999997</v>
      </c>
      <c r="EO186" s="438">
        <v>0</v>
      </c>
      <c r="EP186" s="438">
        <v>0</v>
      </c>
      <c r="EQ186" s="438">
        <v>84.17</v>
      </c>
      <c r="ER186" s="438">
        <v>0</v>
      </c>
      <c r="ES186" s="438">
        <v>261.63600000000002</v>
      </c>
      <c r="ET186" s="438">
        <v>37834</v>
      </c>
      <c r="EU186" s="438">
        <v>1202726</v>
      </c>
      <c r="EV186" s="438">
        <v>0</v>
      </c>
      <c r="EW186" s="438">
        <v>0</v>
      </c>
      <c r="EX186" s="438">
        <v>0</v>
      </c>
      <c r="EZ186" s="438">
        <v>30409128</v>
      </c>
      <c r="FA186" s="438">
        <v>0</v>
      </c>
      <c r="FB186" s="438">
        <v>31611854</v>
      </c>
      <c r="FC186" s="438">
        <v>0.97334900000000002</v>
      </c>
      <c r="FD186" s="438">
        <v>0</v>
      </c>
      <c r="FE186" s="438">
        <v>4367862</v>
      </c>
      <c r="FF186" s="438">
        <v>995532</v>
      </c>
      <c r="FG186" s="437">
        <v>5.7854999999999997E-2</v>
      </c>
      <c r="FH186" s="437">
        <v>5.2366000000000003E-2</v>
      </c>
      <c r="FI186" s="438">
        <v>0</v>
      </c>
      <c r="FJ186" s="438">
        <v>0</v>
      </c>
      <c r="FK186" s="438">
        <v>5950.2449999999999</v>
      </c>
      <c r="FL186" s="438">
        <v>37013082</v>
      </c>
      <c r="FM186" s="438">
        <v>0</v>
      </c>
      <c r="FN186" s="438">
        <v>0</v>
      </c>
      <c r="FO186" s="438">
        <v>136812</v>
      </c>
      <c r="FP186" s="438">
        <v>0</v>
      </c>
      <c r="FQ186" s="438">
        <v>136812</v>
      </c>
      <c r="FR186" s="438">
        <v>136812</v>
      </c>
      <c r="FS186" s="438">
        <v>0</v>
      </c>
      <c r="FT186" s="438">
        <v>0</v>
      </c>
      <c r="FU186" s="438">
        <v>0</v>
      </c>
      <c r="FV186" s="438">
        <v>0</v>
      </c>
      <c r="FW186" s="438">
        <v>0</v>
      </c>
      <c r="FX186" s="438">
        <v>0</v>
      </c>
      <c r="FY186" s="438">
        <v>0</v>
      </c>
      <c r="FZ186" s="438">
        <v>0</v>
      </c>
      <c r="GA186" s="438">
        <v>0</v>
      </c>
      <c r="GB186" s="438">
        <v>1072258</v>
      </c>
      <c r="GC186" s="438">
        <v>1072258</v>
      </c>
      <c r="GD186" s="438">
        <v>121.373</v>
      </c>
      <c r="GF186" s="438">
        <v>0</v>
      </c>
      <c r="GG186" s="438">
        <v>0</v>
      </c>
      <c r="GH186" s="438">
        <v>0</v>
      </c>
      <c r="GI186" s="438">
        <v>0</v>
      </c>
      <c r="GJ186" s="438">
        <v>0</v>
      </c>
      <c r="GK186" s="438">
        <v>4757.3789999999999</v>
      </c>
      <c r="GL186" s="438">
        <v>12367</v>
      </c>
      <c r="GM186" s="438">
        <v>0</v>
      </c>
      <c r="GN186" s="438">
        <v>0</v>
      </c>
      <c r="GO186" s="438">
        <v>0</v>
      </c>
      <c r="GP186" s="438">
        <v>36975248</v>
      </c>
      <c r="GQ186" s="438">
        <v>36975248</v>
      </c>
      <c r="GR186" s="438">
        <v>0</v>
      </c>
      <c r="GS186" s="438">
        <v>0</v>
      </c>
      <c r="GT186" s="438">
        <v>0</v>
      </c>
      <c r="HB186" s="438">
        <v>0</v>
      </c>
      <c r="HC186" s="437">
        <v>6.0754000000000002E-2</v>
      </c>
      <c r="HD186" s="438">
        <v>0</v>
      </c>
    </row>
    <row r="187" spans="1:212" x14ac:dyDescent="0.2">
      <c r="A187" s="438">
        <v>25836</v>
      </c>
      <c r="B187" s="442">
        <v>227817</v>
      </c>
      <c r="C187" s="438">
        <v>9</v>
      </c>
      <c r="D187" s="438">
        <v>2020</v>
      </c>
      <c r="E187" s="438">
        <v>5392</v>
      </c>
      <c r="F187" s="438">
        <v>0</v>
      </c>
      <c r="G187" s="438">
        <v>495.815</v>
      </c>
      <c r="H187" s="438">
        <v>480.81099999999998</v>
      </c>
      <c r="I187" s="438">
        <v>480.81099999999998</v>
      </c>
      <c r="J187" s="438">
        <v>495.815</v>
      </c>
      <c r="K187" s="438">
        <v>0</v>
      </c>
      <c r="L187" s="437">
        <v>6544</v>
      </c>
      <c r="M187" s="438">
        <v>0</v>
      </c>
      <c r="N187" s="438">
        <v>0</v>
      </c>
      <c r="P187" s="438">
        <v>499.46199999999999</v>
      </c>
      <c r="Q187" s="438">
        <v>0</v>
      </c>
      <c r="R187" s="438">
        <v>123660</v>
      </c>
      <c r="S187" s="437">
        <v>247.58699999999999</v>
      </c>
      <c r="U187" s="438">
        <v>0</v>
      </c>
      <c r="V187" s="438">
        <v>202.36500000000001</v>
      </c>
      <c r="W187" s="438">
        <v>132428</v>
      </c>
      <c r="X187" s="438">
        <v>132428</v>
      </c>
      <c r="Z187" s="438">
        <v>0</v>
      </c>
      <c r="AA187" s="438">
        <v>1</v>
      </c>
      <c r="AB187" s="438">
        <v>1</v>
      </c>
      <c r="AC187" s="438">
        <v>0</v>
      </c>
      <c r="AD187" s="438" t="s">
        <v>332</v>
      </c>
      <c r="AE187" s="438">
        <v>0</v>
      </c>
      <c r="AH187" s="438">
        <v>0</v>
      </c>
      <c r="AI187" s="438">
        <v>0</v>
      </c>
      <c r="AJ187" s="437">
        <v>5105</v>
      </c>
      <c r="AK187" s="438" t="s">
        <v>561</v>
      </c>
      <c r="AL187" s="438" t="s">
        <v>85</v>
      </c>
      <c r="AM187" s="438">
        <v>0</v>
      </c>
      <c r="AN187" s="438">
        <v>0</v>
      </c>
      <c r="AO187" s="438">
        <v>0</v>
      </c>
      <c r="AP187" s="438">
        <v>0</v>
      </c>
      <c r="AQ187" s="438">
        <v>0</v>
      </c>
      <c r="AR187" s="438">
        <v>0</v>
      </c>
      <c r="AS187" s="438">
        <v>0</v>
      </c>
      <c r="AT187" s="438">
        <v>0</v>
      </c>
      <c r="AU187" s="438">
        <v>0</v>
      </c>
      <c r="AV187" s="438">
        <v>0</v>
      </c>
      <c r="AW187" s="438">
        <v>4912918</v>
      </c>
      <c r="AX187" s="438">
        <v>4880614</v>
      </c>
      <c r="AY187" s="438">
        <v>0</v>
      </c>
      <c r="AZ187" s="438">
        <v>147715</v>
      </c>
      <c r="BA187" s="438">
        <v>14.083</v>
      </c>
      <c r="BB187" s="438">
        <v>7853</v>
      </c>
      <c r="BC187" s="438">
        <v>7853</v>
      </c>
      <c r="BD187" s="438">
        <v>10</v>
      </c>
      <c r="BE187" s="438">
        <v>0</v>
      </c>
      <c r="BF187" s="438">
        <v>4156509</v>
      </c>
      <c r="BG187" s="438">
        <v>0</v>
      </c>
      <c r="BH187" s="438">
        <v>87.474000000000004</v>
      </c>
      <c r="BI187" s="438">
        <v>24055</v>
      </c>
      <c r="BJ187" s="438">
        <v>12</v>
      </c>
      <c r="BK187" s="438">
        <v>0</v>
      </c>
      <c r="BL187" s="438">
        <v>0</v>
      </c>
      <c r="BM187" s="438">
        <v>0</v>
      </c>
      <c r="BN187" s="438">
        <v>0</v>
      </c>
      <c r="BO187" s="438">
        <v>0</v>
      </c>
      <c r="BP187" s="438">
        <v>0</v>
      </c>
      <c r="BQ187" s="437">
        <v>5392</v>
      </c>
      <c r="BR187" s="438">
        <v>1</v>
      </c>
      <c r="BS187" s="438">
        <v>0</v>
      </c>
      <c r="BT187" s="438">
        <v>0</v>
      </c>
      <c r="BU187" s="438">
        <v>0</v>
      </c>
      <c r="BV187" s="438">
        <v>0</v>
      </c>
      <c r="BW187" s="438">
        <v>0</v>
      </c>
      <c r="BX187" s="438">
        <v>0</v>
      </c>
      <c r="BY187" s="438">
        <v>0</v>
      </c>
      <c r="BZ187" s="438">
        <v>0</v>
      </c>
      <c r="CA187" s="438">
        <v>0</v>
      </c>
      <c r="CB187" s="438">
        <v>0</v>
      </c>
      <c r="CC187" s="438">
        <v>0</v>
      </c>
      <c r="CG187" s="438">
        <v>0</v>
      </c>
      <c r="CH187" s="438">
        <v>8249</v>
      </c>
      <c r="CI187" s="438">
        <v>0</v>
      </c>
      <c r="CJ187" s="438">
        <v>4</v>
      </c>
      <c r="CK187" s="438">
        <v>0</v>
      </c>
      <c r="CL187" s="438">
        <v>0</v>
      </c>
      <c r="CN187" s="438">
        <v>0</v>
      </c>
      <c r="CO187" s="438">
        <v>1</v>
      </c>
      <c r="CP187" s="438">
        <v>0</v>
      </c>
      <c r="CQ187" s="438">
        <v>4.83</v>
      </c>
      <c r="CR187" s="438">
        <v>495.815</v>
      </c>
      <c r="CS187" s="438">
        <v>0</v>
      </c>
      <c r="CT187" s="438">
        <v>0</v>
      </c>
      <c r="CU187" s="438">
        <v>0</v>
      </c>
      <c r="CV187" s="438">
        <v>0</v>
      </c>
      <c r="CW187" s="438">
        <v>0</v>
      </c>
      <c r="CX187" s="438">
        <v>0</v>
      </c>
      <c r="CY187" s="438">
        <v>0</v>
      </c>
      <c r="CZ187" s="438">
        <v>0</v>
      </c>
      <c r="DA187" s="438">
        <v>1</v>
      </c>
      <c r="DB187" s="438">
        <v>3146427</v>
      </c>
      <c r="DC187" s="438">
        <v>0</v>
      </c>
      <c r="DD187" s="438">
        <v>0</v>
      </c>
      <c r="DE187" s="438">
        <v>586997</v>
      </c>
      <c r="DF187" s="438">
        <v>586997</v>
      </c>
      <c r="DG187" s="438">
        <v>448.5</v>
      </c>
      <c r="DH187" s="438">
        <v>0</v>
      </c>
      <c r="DI187" s="438">
        <v>0</v>
      </c>
      <c r="DK187" s="437">
        <v>5392</v>
      </c>
      <c r="DL187" s="438">
        <v>0</v>
      </c>
      <c r="DM187" s="438">
        <v>289768</v>
      </c>
      <c r="DN187" s="438">
        <v>0</v>
      </c>
      <c r="DO187" s="438">
        <v>0</v>
      </c>
      <c r="DP187" s="438">
        <v>0</v>
      </c>
      <c r="DQ187" s="438">
        <v>0</v>
      </c>
      <c r="DR187" s="438">
        <v>0</v>
      </c>
      <c r="DS187" s="438">
        <v>0</v>
      </c>
      <c r="DT187" s="438">
        <v>0</v>
      </c>
      <c r="DU187" s="438">
        <v>0</v>
      </c>
      <c r="DV187" s="438">
        <v>0</v>
      </c>
      <c r="DW187" s="438">
        <v>0</v>
      </c>
      <c r="DX187" s="438">
        <v>0</v>
      </c>
      <c r="DY187" s="438">
        <v>0</v>
      </c>
      <c r="DZ187" s="438">
        <v>0</v>
      </c>
      <c r="EA187" s="438">
        <v>0</v>
      </c>
      <c r="EB187" s="438">
        <v>0</v>
      </c>
      <c r="EC187" s="438">
        <v>30.768999999999998</v>
      </c>
      <c r="ED187" s="438">
        <v>221488</v>
      </c>
      <c r="EE187" s="438">
        <v>0</v>
      </c>
      <c r="EF187" s="438">
        <v>0</v>
      </c>
      <c r="EG187" s="438">
        <v>0</v>
      </c>
      <c r="EH187" s="438">
        <v>68280</v>
      </c>
      <c r="EI187" s="438">
        <v>0</v>
      </c>
      <c r="EJ187" s="438">
        <v>0</v>
      </c>
      <c r="EK187" s="438">
        <v>2.0579999999999998</v>
      </c>
      <c r="EL187" s="438">
        <v>0</v>
      </c>
      <c r="EM187" s="438">
        <v>0</v>
      </c>
      <c r="EN187" s="438">
        <v>0.85199999999999998</v>
      </c>
      <c r="EO187" s="438">
        <v>0</v>
      </c>
      <c r="EP187" s="438">
        <v>0</v>
      </c>
      <c r="EQ187" s="438">
        <v>2.91</v>
      </c>
      <c r="ER187" s="438">
        <v>0</v>
      </c>
      <c r="ES187" s="438">
        <v>10.433999999999999</v>
      </c>
      <c r="ET187" s="438">
        <v>8249</v>
      </c>
      <c r="EU187" s="438">
        <v>147715</v>
      </c>
      <c r="EV187" s="438">
        <v>0</v>
      </c>
      <c r="EW187" s="438">
        <v>0</v>
      </c>
      <c r="EX187" s="438">
        <v>0</v>
      </c>
      <c r="EZ187" s="438">
        <v>4146656</v>
      </c>
      <c r="FA187" s="438">
        <v>0</v>
      </c>
      <c r="FB187" s="438">
        <v>4294371</v>
      </c>
      <c r="FC187" s="438">
        <v>0.97334900000000002</v>
      </c>
      <c r="FD187" s="438">
        <v>0</v>
      </c>
      <c r="FE187" s="438">
        <v>597724</v>
      </c>
      <c r="FF187" s="438">
        <v>136234</v>
      </c>
      <c r="FG187" s="437">
        <v>5.7854999999999997E-2</v>
      </c>
      <c r="FH187" s="437">
        <v>5.2366000000000003E-2</v>
      </c>
      <c r="FI187" s="438">
        <v>0</v>
      </c>
      <c r="FJ187" s="438">
        <v>0</v>
      </c>
      <c r="FK187" s="438">
        <v>814.26700000000005</v>
      </c>
      <c r="FL187" s="438">
        <v>5036578</v>
      </c>
      <c r="FM187" s="438">
        <v>0</v>
      </c>
      <c r="FN187" s="438">
        <v>0</v>
      </c>
      <c r="FO187" s="438">
        <v>0</v>
      </c>
      <c r="FP187" s="438">
        <v>0</v>
      </c>
      <c r="FQ187" s="438">
        <v>0</v>
      </c>
      <c r="FR187" s="438">
        <v>0</v>
      </c>
      <c r="FS187" s="438">
        <v>0</v>
      </c>
      <c r="FT187" s="438">
        <v>0</v>
      </c>
      <c r="FU187" s="438">
        <v>0</v>
      </c>
      <c r="FV187" s="438">
        <v>0</v>
      </c>
      <c r="FW187" s="438">
        <v>0</v>
      </c>
      <c r="FX187" s="438">
        <v>0</v>
      </c>
      <c r="FY187" s="438">
        <v>0</v>
      </c>
      <c r="FZ187" s="438">
        <v>0</v>
      </c>
      <c r="GA187" s="438">
        <v>0</v>
      </c>
      <c r="GB187" s="438">
        <v>106843</v>
      </c>
      <c r="GC187" s="438">
        <v>106843</v>
      </c>
      <c r="GD187" s="438">
        <v>12.093999999999999</v>
      </c>
      <c r="GF187" s="438">
        <v>0</v>
      </c>
      <c r="GG187" s="438">
        <v>0</v>
      </c>
      <c r="GH187" s="438">
        <v>0</v>
      </c>
      <c r="GI187" s="438">
        <v>0</v>
      </c>
      <c r="GJ187" s="438">
        <v>0</v>
      </c>
      <c r="GK187" s="438">
        <v>4835.2860000000001</v>
      </c>
      <c r="GL187" s="438">
        <v>5791</v>
      </c>
      <c r="GM187" s="438">
        <v>0</v>
      </c>
      <c r="GN187" s="438">
        <v>0</v>
      </c>
      <c r="GO187" s="438">
        <v>0</v>
      </c>
      <c r="GP187" s="438">
        <v>5028329</v>
      </c>
      <c r="GQ187" s="438">
        <v>5028329</v>
      </c>
      <c r="GR187" s="438">
        <v>0</v>
      </c>
      <c r="GS187" s="438">
        <v>0</v>
      </c>
      <c r="GT187" s="438">
        <v>0</v>
      </c>
      <c r="HB187" s="438">
        <v>0</v>
      </c>
      <c r="HC187" s="437">
        <v>6.0754000000000002E-2</v>
      </c>
      <c r="HD187" s="438">
        <v>0</v>
      </c>
    </row>
    <row r="188" spans="1:212" x14ac:dyDescent="0.2">
      <c r="A188" s="438">
        <v>25836</v>
      </c>
      <c r="B188" s="442">
        <v>227819</v>
      </c>
      <c r="C188" s="438">
        <v>9</v>
      </c>
      <c r="D188" s="438">
        <v>2020</v>
      </c>
      <c r="E188" s="438">
        <v>5392</v>
      </c>
      <c r="F188" s="438">
        <v>0</v>
      </c>
      <c r="G188" s="438">
        <v>261.58999999999997</v>
      </c>
      <c r="H188" s="438">
        <v>253.52099999999999</v>
      </c>
      <c r="I188" s="438">
        <v>253.52099999999999</v>
      </c>
      <c r="J188" s="438">
        <v>261.58999999999997</v>
      </c>
      <c r="K188" s="438">
        <v>0</v>
      </c>
      <c r="L188" s="437">
        <v>6544</v>
      </c>
      <c r="M188" s="438">
        <v>0</v>
      </c>
      <c r="N188" s="438">
        <v>0</v>
      </c>
      <c r="P188" s="438">
        <v>260.815</v>
      </c>
      <c r="Q188" s="438">
        <v>0</v>
      </c>
      <c r="R188" s="438">
        <v>64574</v>
      </c>
      <c r="S188" s="437">
        <v>247.58699999999999</v>
      </c>
      <c r="U188" s="438">
        <v>0</v>
      </c>
      <c r="V188" s="438">
        <v>55.695</v>
      </c>
      <c r="W188" s="438">
        <v>36447</v>
      </c>
      <c r="X188" s="438">
        <v>36447</v>
      </c>
      <c r="Z188" s="438">
        <v>0</v>
      </c>
      <c r="AA188" s="438">
        <v>1</v>
      </c>
      <c r="AB188" s="438">
        <v>1</v>
      </c>
      <c r="AC188" s="438">
        <v>0</v>
      </c>
      <c r="AD188" s="438" t="s">
        <v>332</v>
      </c>
      <c r="AE188" s="438">
        <v>0</v>
      </c>
      <c r="AH188" s="438">
        <v>0</v>
      </c>
      <c r="AI188" s="438">
        <v>0</v>
      </c>
      <c r="AJ188" s="437">
        <v>5105</v>
      </c>
      <c r="AK188" s="438" t="s">
        <v>561</v>
      </c>
      <c r="AL188" s="438" t="s">
        <v>92</v>
      </c>
      <c r="AM188" s="438">
        <v>0</v>
      </c>
      <c r="AN188" s="438">
        <v>0</v>
      </c>
      <c r="AO188" s="438">
        <v>0</v>
      </c>
      <c r="AP188" s="438">
        <v>0</v>
      </c>
      <c r="AQ188" s="438">
        <v>0</v>
      </c>
      <c r="AR188" s="438">
        <v>0</v>
      </c>
      <c r="AS188" s="438">
        <v>0</v>
      </c>
      <c r="AT188" s="438">
        <v>0</v>
      </c>
      <c r="AU188" s="438">
        <v>0</v>
      </c>
      <c r="AV188" s="438">
        <v>0</v>
      </c>
      <c r="AW188" s="438">
        <v>2399361</v>
      </c>
      <c r="AX188" s="438">
        <v>2399361</v>
      </c>
      <c r="AY188" s="438">
        <v>0</v>
      </c>
      <c r="AZ188" s="438">
        <v>64574</v>
      </c>
      <c r="BA188" s="438">
        <v>0</v>
      </c>
      <c r="BB188" s="438">
        <v>9162</v>
      </c>
      <c r="BC188" s="438">
        <v>9162</v>
      </c>
      <c r="BD188" s="438">
        <v>11.667</v>
      </c>
      <c r="BE188" s="438">
        <v>0</v>
      </c>
      <c r="BF188" s="438">
        <v>2039189</v>
      </c>
      <c r="BG188" s="438">
        <v>0</v>
      </c>
      <c r="BH188" s="438">
        <v>0</v>
      </c>
      <c r="BI188" s="438">
        <v>0</v>
      </c>
      <c r="BJ188" s="438">
        <v>12</v>
      </c>
      <c r="BK188" s="438">
        <v>0</v>
      </c>
      <c r="BL188" s="438">
        <v>0</v>
      </c>
      <c r="BM188" s="438">
        <v>0</v>
      </c>
      <c r="BN188" s="438">
        <v>0</v>
      </c>
      <c r="BO188" s="438">
        <v>0</v>
      </c>
      <c r="BP188" s="438">
        <v>0</v>
      </c>
      <c r="BQ188" s="437">
        <v>5392</v>
      </c>
      <c r="BR188" s="438">
        <v>1</v>
      </c>
      <c r="BS188" s="438">
        <v>0</v>
      </c>
      <c r="BT188" s="438">
        <v>0</v>
      </c>
      <c r="BU188" s="438">
        <v>0</v>
      </c>
      <c r="BV188" s="438">
        <v>0</v>
      </c>
      <c r="BW188" s="438">
        <v>0</v>
      </c>
      <c r="BX188" s="438">
        <v>0</v>
      </c>
      <c r="BY188" s="438">
        <v>0</v>
      </c>
      <c r="BZ188" s="438">
        <v>0</v>
      </c>
      <c r="CA188" s="438">
        <v>0</v>
      </c>
      <c r="CB188" s="438">
        <v>0</v>
      </c>
      <c r="CC188" s="438">
        <v>0</v>
      </c>
      <c r="CG188" s="438">
        <v>0</v>
      </c>
      <c r="CH188" s="438">
        <v>0</v>
      </c>
      <c r="CI188" s="438">
        <v>0</v>
      </c>
      <c r="CJ188" s="438">
        <v>4</v>
      </c>
      <c r="CK188" s="438">
        <v>0</v>
      </c>
      <c r="CL188" s="438">
        <v>0</v>
      </c>
      <c r="CN188" s="438">
        <v>0</v>
      </c>
      <c r="CO188" s="438">
        <v>1</v>
      </c>
      <c r="CP188" s="438">
        <v>0</v>
      </c>
      <c r="CQ188" s="438">
        <v>0</v>
      </c>
      <c r="CR188" s="438">
        <v>261.58999999999997</v>
      </c>
      <c r="CS188" s="438">
        <v>0</v>
      </c>
      <c r="CT188" s="438">
        <v>0</v>
      </c>
      <c r="CU188" s="438">
        <v>0</v>
      </c>
      <c r="CV188" s="438">
        <v>0</v>
      </c>
      <c r="CW188" s="438">
        <v>0</v>
      </c>
      <c r="CX188" s="438">
        <v>0</v>
      </c>
      <c r="CY188" s="438">
        <v>0</v>
      </c>
      <c r="CZ188" s="438">
        <v>0</v>
      </c>
      <c r="DA188" s="438">
        <v>1</v>
      </c>
      <c r="DB188" s="438">
        <v>1659041</v>
      </c>
      <c r="DC188" s="438">
        <v>0</v>
      </c>
      <c r="DD188" s="438">
        <v>0</v>
      </c>
      <c r="DE188" s="438">
        <v>220965</v>
      </c>
      <c r="DF188" s="438">
        <v>220965</v>
      </c>
      <c r="DG188" s="438">
        <v>168.83</v>
      </c>
      <c r="DH188" s="438">
        <v>0</v>
      </c>
      <c r="DI188" s="438">
        <v>0</v>
      </c>
      <c r="DK188" s="437">
        <v>5392</v>
      </c>
      <c r="DL188" s="438">
        <v>0</v>
      </c>
      <c r="DM188" s="438">
        <v>169408</v>
      </c>
      <c r="DN188" s="438">
        <v>0</v>
      </c>
      <c r="DO188" s="438">
        <v>0</v>
      </c>
      <c r="DP188" s="438">
        <v>0</v>
      </c>
      <c r="DQ188" s="438">
        <v>0</v>
      </c>
      <c r="DR188" s="438">
        <v>0</v>
      </c>
      <c r="DS188" s="438">
        <v>0</v>
      </c>
      <c r="DT188" s="438">
        <v>0</v>
      </c>
      <c r="DU188" s="438">
        <v>0</v>
      </c>
      <c r="DV188" s="438">
        <v>0</v>
      </c>
      <c r="DW188" s="438">
        <v>0</v>
      </c>
      <c r="DX188" s="438">
        <v>0</v>
      </c>
      <c r="DY188" s="438">
        <v>0</v>
      </c>
      <c r="DZ188" s="438">
        <v>0</v>
      </c>
      <c r="EA188" s="438">
        <v>0</v>
      </c>
      <c r="EB188" s="438">
        <v>0</v>
      </c>
      <c r="EC188" s="438">
        <v>0.115</v>
      </c>
      <c r="ED188" s="438">
        <v>828</v>
      </c>
      <c r="EE188" s="438">
        <v>0</v>
      </c>
      <c r="EF188" s="438">
        <v>0</v>
      </c>
      <c r="EG188" s="438">
        <v>0</v>
      </c>
      <c r="EH188" s="438">
        <v>168580</v>
      </c>
      <c r="EI188" s="438">
        <v>0</v>
      </c>
      <c r="EJ188" s="438">
        <v>0</v>
      </c>
      <c r="EK188" s="438">
        <v>7.2919999999999998</v>
      </c>
      <c r="EL188" s="438">
        <v>0</v>
      </c>
      <c r="EM188" s="438">
        <v>0</v>
      </c>
      <c r="EN188" s="438">
        <v>0.77700000000000002</v>
      </c>
      <c r="EO188" s="438">
        <v>0</v>
      </c>
      <c r="EP188" s="438">
        <v>0</v>
      </c>
      <c r="EQ188" s="438">
        <v>8.0690000000000008</v>
      </c>
      <c r="ER188" s="438">
        <v>0</v>
      </c>
      <c r="ES188" s="438">
        <v>25.760999999999999</v>
      </c>
      <c r="ET188" s="438">
        <v>0</v>
      </c>
      <c r="EU188" s="438">
        <v>64574</v>
      </c>
      <c r="EV188" s="438">
        <v>0</v>
      </c>
      <c r="EW188" s="438">
        <v>0</v>
      </c>
      <c r="EX188" s="438">
        <v>0</v>
      </c>
      <c r="EZ188" s="438">
        <v>2039279</v>
      </c>
      <c r="FA188" s="438">
        <v>0</v>
      </c>
      <c r="FB188" s="438">
        <v>2103853</v>
      </c>
      <c r="FC188" s="438">
        <v>0.97334900000000002</v>
      </c>
      <c r="FD188" s="438">
        <v>0</v>
      </c>
      <c r="FE188" s="438">
        <v>293245</v>
      </c>
      <c r="FF188" s="438">
        <v>66837</v>
      </c>
      <c r="FG188" s="437">
        <v>5.7854999999999997E-2</v>
      </c>
      <c r="FH188" s="437">
        <v>5.2366000000000003E-2</v>
      </c>
      <c r="FI188" s="438">
        <v>0</v>
      </c>
      <c r="FJ188" s="438">
        <v>0</v>
      </c>
      <c r="FK188" s="438">
        <v>399.48099999999999</v>
      </c>
      <c r="FL188" s="438">
        <v>2463935</v>
      </c>
      <c r="FM188" s="438">
        <v>0</v>
      </c>
      <c r="FN188" s="438">
        <v>0</v>
      </c>
      <c r="FO188" s="438">
        <v>8830</v>
      </c>
      <c r="FP188" s="438">
        <v>0</v>
      </c>
      <c r="FQ188" s="438">
        <v>8830</v>
      </c>
      <c r="FR188" s="438">
        <v>8830</v>
      </c>
      <c r="FS188" s="438">
        <v>0</v>
      </c>
      <c r="FT188" s="438">
        <v>0</v>
      </c>
      <c r="FU188" s="438">
        <v>0</v>
      </c>
      <c r="FV188" s="438">
        <v>0</v>
      </c>
      <c r="FW188" s="438">
        <v>0</v>
      </c>
      <c r="FX188" s="438">
        <v>0</v>
      </c>
      <c r="FY188" s="438">
        <v>0</v>
      </c>
      <c r="FZ188" s="438">
        <v>0</v>
      </c>
      <c r="GA188" s="438">
        <v>0</v>
      </c>
      <c r="GB188" s="438">
        <v>0</v>
      </c>
      <c r="GC188" s="438">
        <v>0</v>
      </c>
      <c r="GD188" s="438">
        <v>0</v>
      </c>
      <c r="GF188" s="438">
        <v>0</v>
      </c>
      <c r="GG188" s="438">
        <v>0</v>
      </c>
      <c r="GH188" s="438">
        <v>0</v>
      </c>
      <c r="GI188" s="438">
        <v>0</v>
      </c>
      <c r="GJ188" s="438">
        <v>0</v>
      </c>
      <c r="GK188" s="438">
        <v>4713.9409999999998</v>
      </c>
      <c r="GL188" s="438">
        <v>7417</v>
      </c>
      <c r="GM188" s="438">
        <v>0</v>
      </c>
      <c r="GN188" s="438">
        <v>7195</v>
      </c>
      <c r="GO188" s="438">
        <v>0</v>
      </c>
      <c r="GP188" s="438">
        <v>2463935</v>
      </c>
      <c r="GQ188" s="438">
        <v>2463935</v>
      </c>
      <c r="GR188" s="438">
        <v>0</v>
      </c>
      <c r="GS188" s="438">
        <v>0</v>
      </c>
      <c r="GT188" s="438">
        <v>0</v>
      </c>
      <c r="HB188" s="438">
        <v>0</v>
      </c>
      <c r="HC188" s="437">
        <v>6.0754000000000002E-2</v>
      </c>
      <c r="HD188" s="438">
        <v>0</v>
      </c>
    </row>
    <row r="189" spans="1:212" x14ac:dyDescent="0.2">
      <c r="A189" s="438">
        <v>25836</v>
      </c>
      <c r="B189" s="442">
        <v>227821</v>
      </c>
      <c r="C189" s="438">
        <v>9</v>
      </c>
      <c r="D189" s="438">
        <v>2020</v>
      </c>
      <c r="E189" s="438">
        <v>5392</v>
      </c>
      <c r="F189" s="438">
        <v>0</v>
      </c>
      <c r="G189" s="438">
        <v>479.45499999999998</v>
      </c>
      <c r="H189" s="438">
        <v>462.66300000000001</v>
      </c>
      <c r="I189" s="438">
        <v>462.66300000000001</v>
      </c>
      <c r="J189" s="438">
        <v>479.45499999999998</v>
      </c>
      <c r="K189" s="438">
        <v>0</v>
      </c>
      <c r="L189" s="437">
        <v>6544</v>
      </c>
      <c r="M189" s="438">
        <v>0</v>
      </c>
      <c r="N189" s="438">
        <v>0</v>
      </c>
      <c r="P189" s="438">
        <v>473.40800000000002</v>
      </c>
      <c r="Q189" s="438">
        <v>0</v>
      </c>
      <c r="R189" s="438">
        <v>117210</v>
      </c>
      <c r="S189" s="437">
        <v>247.58699999999999</v>
      </c>
      <c r="U189" s="438">
        <v>0</v>
      </c>
      <c r="V189" s="438">
        <v>7.7370000000000001</v>
      </c>
      <c r="W189" s="438">
        <v>5063</v>
      </c>
      <c r="X189" s="438">
        <v>5063</v>
      </c>
      <c r="Z189" s="438">
        <v>0</v>
      </c>
      <c r="AA189" s="438">
        <v>1</v>
      </c>
      <c r="AB189" s="438">
        <v>1</v>
      </c>
      <c r="AC189" s="438">
        <v>0</v>
      </c>
      <c r="AD189" s="438" t="s">
        <v>332</v>
      </c>
      <c r="AE189" s="438">
        <v>0</v>
      </c>
      <c r="AH189" s="438">
        <v>0</v>
      </c>
      <c r="AI189" s="438">
        <v>0</v>
      </c>
      <c r="AJ189" s="437">
        <v>5105</v>
      </c>
      <c r="AK189" s="438" t="s">
        <v>561</v>
      </c>
      <c r="AL189" s="438" t="s">
        <v>72</v>
      </c>
      <c r="AM189" s="438">
        <v>0</v>
      </c>
      <c r="AN189" s="438">
        <v>0</v>
      </c>
      <c r="AO189" s="438">
        <v>0</v>
      </c>
      <c r="AP189" s="438">
        <v>0</v>
      </c>
      <c r="AQ189" s="438">
        <v>0</v>
      </c>
      <c r="AR189" s="438">
        <v>0</v>
      </c>
      <c r="AS189" s="438">
        <v>0</v>
      </c>
      <c r="AT189" s="438">
        <v>0</v>
      </c>
      <c r="AU189" s="438">
        <v>0</v>
      </c>
      <c r="AV189" s="438">
        <v>0</v>
      </c>
      <c r="AW189" s="438">
        <v>4026401</v>
      </c>
      <c r="AX189" s="438">
        <v>4018818</v>
      </c>
      <c r="AY189" s="438">
        <v>0</v>
      </c>
      <c r="AZ189" s="438">
        <v>117210</v>
      </c>
      <c r="BA189" s="438">
        <v>8.3330000000000002</v>
      </c>
      <c r="BB189" s="438">
        <v>0</v>
      </c>
      <c r="BC189" s="438">
        <v>0</v>
      </c>
      <c r="BD189" s="438">
        <v>0</v>
      </c>
      <c r="BE189" s="438">
        <v>0</v>
      </c>
      <c r="BF189" s="438">
        <v>3435350</v>
      </c>
      <c r="BG189" s="438">
        <v>0</v>
      </c>
      <c r="BH189" s="438">
        <v>0</v>
      </c>
      <c r="BI189" s="438">
        <v>0</v>
      </c>
      <c r="BJ189" s="438">
        <v>12</v>
      </c>
      <c r="BK189" s="438">
        <v>0</v>
      </c>
      <c r="BL189" s="438">
        <v>0</v>
      </c>
      <c r="BM189" s="438">
        <v>0</v>
      </c>
      <c r="BN189" s="438">
        <v>0</v>
      </c>
      <c r="BO189" s="438">
        <v>0</v>
      </c>
      <c r="BP189" s="438">
        <v>0</v>
      </c>
      <c r="BQ189" s="437">
        <v>5392</v>
      </c>
      <c r="BR189" s="438">
        <v>1</v>
      </c>
      <c r="BS189" s="438">
        <v>0</v>
      </c>
      <c r="BT189" s="438">
        <v>0</v>
      </c>
      <c r="BU189" s="438">
        <v>0</v>
      </c>
      <c r="BV189" s="438">
        <v>0</v>
      </c>
      <c r="BW189" s="438">
        <v>0</v>
      </c>
      <c r="BX189" s="438">
        <v>0</v>
      </c>
      <c r="BY189" s="438">
        <v>0</v>
      </c>
      <c r="BZ189" s="438">
        <v>0</v>
      </c>
      <c r="CA189" s="438">
        <v>0</v>
      </c>
      <c r="CB189" s="438">
        <v>0</v>
      </c>
      <c r="CC189" s="438">
        <v>0</v>
      </c>
      <c r="CG189" s="438">
        <v>0</v>
      </c>
      <c r="CH189" s="438">
        <v>7583</v>
      </c>
      <c r="CI189" s="438">
        <v>0</v>
      </c>
      <c r="CJ189" s="438">
        <v>4</v>
      </c>
      <c r="CK189" s="438">
        <v>0</v>
      </c>
      <c r="CL189" s="438">
        <v>0</v>
      </c>
      <c r="CN189" s="438">
        <v>0</v>
      </c>
      <c r="CO189" s="438">
        <v>1</v>
      </c>
      <c r="CP189" s="438">
        <v>0</v>
      </c>
      <c r="CQ189" s="438">
        <v>13.667</v>
      </c>
      <c r="CR189" s="438">
        <v>479.45499999999998</v>
      </c>
      <c r="CS189" s="438">
        <v>0</v>
      </c>
      <c r="CT189" s="438">
        <v>0</v>
      </c>
      <c r="CU189" s="438">
        <v>0</v>
      </c>
      <c r="CV189" s="438">
        <v>0</v>
      </c>
      <c r="CW189" s="438">
        <v>0</v>
      </c>
      <c r="CX189" s="438">
        <v>0</v>
      </c>
      <c r="CY189" s="438">
        <v>0</v>
      </c>
      <c r="CZ189" s="438">
        <v>0</v>
      </c>
      <c r="DA189" s="438">
        <v>1</v>
      </c>
      <c r="DB189" s="438">
        <v>3027667</v>
      </c>
      <c r="DC189" s="438">
        <v>0</v>
      </c>
      <c r="DD189" s="438">
        <v>22</v>
      </c>
      <c r="DE189" s="438">
        <v>138078</v>
      </c>
      <c r="DF189" s="438">
        <v>138078</v>
      </c>
      <c r="DG189" s="438">
        <v>105.5</v>
      </c>
      <c r="DH189" s="438">
        <v>0</v>
      </c>
      <c r="DI189" s="438">
        <v>0</v>
      </c>
      <c r="DK189" s="437">
        <v>5392</v>
      </c>
      <c r="DL189" s="438">
        <v>0</v>
      </c>
      <c r="DM189" s="438">
        <v>358603</v>
      </c>
      <c r="DN189" s="438">
        <v>0</v>
      </c>
      <c r="DO189" s="438">
        <v>0</v>
      </c>
      <c r="DP189" s="438">
        <v>0</v>
      </c>
      <c r="DQ189" s="438">
        <v>0</v>
      </c>
      <c r="DR189" s="438">
        <v>0</v>
      </c>
      <c r="DS189" s="438">
        <v>0</v>
      </c>
      <c r="DT189" s="438">
        <v>0</v>
      </c>
      <c r="DU189" s="438">
        <v>0</v>
      </c>
      <c r="DV189" s="438">
        <v>0</v>
      </c>
      <c r="DW189" s="438">
        <v>0</v>
      </c>
      <c r="DX189" s="438">
        <v>0</v>
      </c>
      <c r="DY189" s="438">
        <v>0</v>
      </c>
      <c r="DZ189" s="438">
        <v>0</v>
      </c>
      <c r="EA189" s="438">
        <v>0</v>
      </c>
      <c r="EB189" s="438">
        <v>0</v>
      </c>
      <c r="EC189" s="438">
        <v>2.7480000000000002</v>
      </c>
      <c r="ED189" s="438">
        <v>19781</v>
      </c>
      <c r="EE189" s="438">
        <v>0</v>
      </c>
      <c r="EF189" s="438">
        <v>0</v>
      </c>
      <c r="EG189" s="438">
        <v>0</v>
      </c>
      <c r="EH189" s="438">
        <v>338822</v>
      </c>
      <c r="EI189" s="438">
        <v>0</v>
      </c>
      <c r="EJ189" s="438">
        <v>0</v>
      </c>
      <c r="EK189" s="438">
        <v>14.51</v>
      </c>
      <c r="EL189" s="438">
        <v>0</v>
      </c>
      <c r="EM189" s="438">
        <v>1.5820000000000001</v>
      </c>
      <c r="EN189" s="438">
        <v>0.7</v>
      </c>
      <c r="EO189" s="438">
        <v>0</v>
      </c>
      <c r="EP189" s="438">
        <v>0</v>
      </c>
      <c r="EQ189" s="438">
        <v>16.792000000000002</v>
      </c>
      <c r="ER189" s="438">
        <v>0</v>
      </c>
      <c r="ES189" s="438">
        <v>51.776000000000003</v>
      </c>
      <c r="ET189" s="438">
        <v>7583</v>
      </c>
      <c r="EU189" s="438">
        <v>117210</v>
      </c>
      <c r="EV189" s="438">
        <v>0</v>
      </c>
      <c r="EW189" s="438">
        <v>0</v>
      </c>
      <c r="EX189" s="438">
        <v>0</v>
      </c>
      <c r="EZ189" s="438">
        <v>3412201</v>
      </c>
      <c r="FA189" s="438">
        <v>0</v>
      </c>
      <c r="FB189" s="438">
        <v>3529411</v>
      </c>
      <c r="FC189" s="438">
        <v>0.97334900000000002</v>
      </c>
      <c r="FD189" s="438">
        <v>0</v>
      </c>
      <c r="FE189" s="438">
        <v>494019</v>
      </c>
      <c r="FF189" s="438">
        <v>112598</v>
      </c>
      <c r="FG189" s="437">
        <v>5.7854999999999997E-2</v>
      </c>
      <c r="FH189" s="437">
        <v>5.2366000000000003E-2</v>
      </c>
      <c r="FI189" s="438">
        <v>0</v>
      </c>
      <c r="FJ189" s="438">
        <v>0</v>
      </c>
      <c r="FK189" s="438">
        <v>672.99099999999999</v>
      </c>
      <c r="FL189" s="438">
        <v>4143611</v>
      </c>
      <c r="FM189" s="438">
        <v>0</v>
      </c>
      <c r="FN189" s="438">
        <v>0</v>
      </c>
      <c r="FO189" s="438">
        <v>0</v>
      </c>
      <c r="FP189" s="438">
        <v>0</v>
      </c>
      <c r="FQ189" s="438">
        <v>0</v>
      </c>
      <c r="FR189" s="438">
        <v>0</v>
      </c>
      <c r="FS189" s="438">
        <v>0</v>
      </c>
      <c r="FT189" s="438">
        <v>0</v>
      </c>
      <c r="FU189" s="438">
        <v>0</v>
      </c>
      <c r="FV189" s="438">
        <v>0</v>
      </c>
      <c r="FW189" s="438">
        <v>0</v>
      </c>
      <c r="FX189" s="438">
        <v>0</v>
      </c>
      <c r="FY189" s="438">
        <v>0</v>
      </c>
      <c r="FZ189" s="438">
        <v>0</v>
      </c>
      <c r="GA189" s="438">
        <v>0</v>
      </c>
      <c r="GB189" s="438">
        <v>0</v>
      </c>
      <c r="GC189" s="438">
        <v>0</v>
      </c>
      <c r="GD189" s="438">
        <v>0</v>
      </c>
      <c r="GF189" s="438">
        <v>0</v>
      </c>
      <c r="GG189" s="438">
        <v>0</v>
      </c>
      <c r="GH189" s="438">
        <v>0</v>
      </c>
      <c r="GI189" s="438">
        <v>0</v>
      </c>
      <c r="GJ189" s="438">
        <v>0</v>
      </c>
      <c r="GK189" s="438">
        <v>4791.75</v>
      </c>
      <c r="GL189" s="438">
        <v>6630</v>
      </c>
      <c r="GM189" s="438">
        <v>0</v>
      </c>
      <c r="GN189" s="438">
        <v>0</v>
      </c>
      <c r="GO189" s="438">
        <v>0</v>
      </c>
      <c r="GP189" s="438">
        <v>4136028</v>
      </c>
      <c r="GQ189" s="438">
        <v>4136028</v>
      </c>
      <c r="GR189" s="438">
        <v>0</v>
      </c>
      <c r="GS189" s="438">
        <v>0</v>
      </c>
      <c r="GT189" s="438">
        <v>0</v>
      </c>
      <c r="HB189" s="438">
        <v>0</v>
      </c>
      <c r="HC189" s="437">
        <v>6.0754000000000002E-2</v>
      </c>
      <c r="HD189" s="438">
        <v>0</v>
      </c>
    </row>
    <row r="190" spans="1:212" x14ac:dyDescent="0.2">
      <c r="A190" s="438">
        <v>25836</v>
      </c>
      <c r="B190" s="442">
        <v>227824</v>
      </c>
      <c r="C190" s="438">
        <v>9</v>
      </c>
      <c r="D190" s="438">
        <v>2020</v>
      </c>
      <c r="E190" s="438">
        <v>5392</v>
      </c>
      <c r="F190" s="438">
        <v>0</v>
      </c>
      <c r="G190" s="438">
        <v>849.38699999999994</v>
      </c>
      <c r="H190" s="438">
        <v>840.22500000000002</v>
      </c>
      <c r="I190" s="438">
        <v>840.22500000000002</v>
      </c>
      <c r="J190" s="438">
        <v>849.38699999999994</v>
      </c>
      <c r="K190" s="438">
        <v>0</v>
      </c>
      <c r="L190" s="437">
        <v>6544</v>
      </c>
      <c r="M190" s="438">
        <v>0</v>
      </c>
      <c r="N190" s="438">
        <v>0</v>
      </c>
      <c r="P190" s="438">
        <v>854.44299999999998</v>
      </c>
      <c r="Q190" s="438">
        <v>0</v>
      </c>
      <c r="R190" s="438">
        <v>211549</v>
      </c>
      <c r="S190" s="437">
        <v>247.58699999999999</v>
      </c>
      <c r="U190" s="438">
        <v>0</v>
      </c>
      <c r="V190" s="438">
        <v>273.46199999999999</v>
      </c>
      <c r="W190" s="438">
        <v>178954</v>
      </c>
      <c r="X190" s="438">
        <v>178954</v>
      </c>
      <c r="Z190" s="438">
        <v>0</v>
      </c>
      <c r="AA190" s="438">
        <v>1</v>
      </c>
      <c r="AB190" s="438">
        <v>1</v>
      </c>
      <c r="AC190" s="438">
        <v>0</v>
      </c>
      <c r="AD190" s="438" t="s">
        <v>332</v>
      </c>
      <c r="AE190" s="438">
        <v>0</v>
      </c>
      <c r="AH190" s="438">
        <v>0</v>
      </c>
      <c r="AI190" s="438">
        <v>0</v>
      </c>
      <c r="AJ190" s="437">
        <v>5105</v>
      </c>
      <c r="AK190" s="438" t="s">
        <v>561</v>
      </c>
      <c r="AL190" s="438" t="s">
        <v>553</v>
      </c>
      <c r="AM190" s="438">
        <v>0</v>
      </c>
      <c r="AN190" s="438">
        <v>0</v>
      </c>
      <c r="AO190" s="438">
        <v>0</v>
      </c>
      <c r="AP190" s="438">
        <v>0</v>
      </c>
      <c r="AQ190" s="438">
        <v>0</v>
      </c>
      <c r="AR190" s="438">
        <v>0</v>
      </c>
      <c r="AS190" s="438">
        <v>0</v>
      </c>
      <c r="AT190" s="438">
        <v>0</v>
      </c>
      <c r="AU190" s="438">
        <v>0</v>
      </c>
      <c r="AV190" s="438">
        <v>0</v>
      </c>
      <c r="AW190" s="438">
        <v>7751300</v>
      </c>
      <c r="AX190" s="438">
        <v>7658558</v>
      </c>
      <c r="AY190" s="438">
        <v>0</v>
      </c>
      <c r="AZ190" s="438">
        <v>304291</v>
      </c>
      <c r="BA190" s="438">
        <v>0</v>
      </c>
      <c r="BB190" s="438">
        <v>0</v>
      </c>
      <c r="BC190" s="438">
        <v>0</v>
      </c>
      <c r="BD190" s="438">
        <v>0</v>
      </c>
      <c r="BE190" s="438">
        <v>0</v>
      </c>
      <c r="BF190" s="438">
        <v>6488908</v>
      </c>
      <c r="BG190" s="438">
        <v>0</v>
      </c>
      <c r="BH190" s="438">
        <v>337.24200000000002</v>
      </c>
      <c r="BI190" s="438">
        <v>92742</v>
      </c>
      <c r="BJ190" s="438">
        <v>12</v>
      </c>
      <c r="BK190" s="438">
        <v>0</v>
      </c>
      <c r="BL190" s="438">
        <v>0</v>
      </c>
      <c r="BM190" s="438">
        <v>0</v>
      </c>
      <c r="BN190" s="438">
        <v>0</v>
      </c>
      <c r="BO190" s="438">
        <v>0</v>
      </c>
      <c r="BP190" s="438">
        <v>0</v>
      </c>
      <c r="BQ190" s="437">
        <v>5392</v>
      </c>
      <c r="BR190" s="438">
        <v>1</v>
      </c>
      <c r="BS190" s="438">
        <v>0</v>
      </c>
      <c r="BT190" s="438">
        <v>0</v>
      </c>
      <c r="BU190" s="438">
        <v>0</v>
      </c>
      <c r="BV190" s="438">
        <v>0</v>
      </c>
      <c r="BW190" s="438">
        <v>0</v>
      </c>
      <c r="BX190" s="438">
        <v>0</v>
      </c>
      <c r="BY190" s="438">
        <v>0</v>
      </c>
      <c r="BZ190" s="438">
        <v>0</v>
      </c>
      <c r="CA190" s="438">
        <v>0</v>
      </c>
      <c r="CB190" s="438">
        <v>0</v>
      </c>
      <c r="CC190" s="438">
        <v>0</v>
      </c>
      <c r="CG190" s="438">
        <v>0</v>
      </c>
      <c r="CH190" s="438">
        <v>0</v>
      </c>
      <c r="CI190" s="438">
        <v>0</v>
      </c>
      <c r="CJ190" s="438">
        <v>4</v>
      </c>
      <c r="CK190" s="438">
        <v>0</v>
      </c>
      <c r="CL190" s="438">
        <v>0</v>
      </c>
      <c r="CN190" s="438">
        <v>0</v>
      </c>
      <c r="CO190" s="438">
        <v>1</v>
      </c>
      <c r="CP190" s="438">
        <v>0</v>
      </c>
      <c r="CQ190" s="438">
        <v>0</v>
      </c>
      <c r="CR190" s="438">
        <v>849.38699999999994</v>
      </c>
      <c r="CS190" s="438">
        <v>0</v>
      </c>
      <c r="CT190" s="438">
        <v>0</v>
      </c>
      <c r="CU190" s="438">
        <v>0</v>
      </c>
      <c r="CV190" s="438">
        <v>0</v>
      </c>
      <c r="CW190" s="438">
        <v>0</v>
      </c>
      <c r="CX190" s="438">
        <v>0</v>
      </c>
      <c r="CY190" s="438">
        <v>0</v>
      </c>
      <c r="CZ190" s="438">
        <v>0</v>
      </c>
      <c r="DA190" s="438">
        <v>1</v>
      </c>
      <c r="DB190" s="438">
        <v>5498432</v>
      </c>
      <c r="DC190" s="438">
        <v>0</v>
      </c>
      <c r="DD190" s="438">
        <v>0</v>
      </c>
      <c r="DE190" s="438">
        <v>646979</v>
      </c>
      <c r="DF190" s="438">
        <v>646979</v>
      </c>
      <c r="DG190" s="438">
        <v>494.33</v>
      </c>
      <c r="DH190" s="438">
        <v>0</v>
      </c>
      <c r="DI190" s="438">
        <v>0</v>
      </c>
      <c r="DK190" s="437">
        <v>5392</v>
      </c>
      <c r="DL190" s="438">
        <v>0</v>
      </c>
      <c r="DM190" s="438">
        <v>342211</v>
      </c>
      <c r="DN190" s="438">
        <v>0</v>
      </c>
      <c r="DO190" s="438">
        <v>0</v>
      </c>
      <c r="DP190" s="438">
        <v>0</v>
      </c>
      <c r="DQ190" s="438">
        <v>0</v>
      </c>
      <c r="DR190" s="438">
        <v>0</v>
      </c>
      <c r="DS190" s="438">
        <v>0</v>
      </c>
      <c r="DT190" s="438">
        <v>0</v>
      </c>
      <c r="DU190" s="438">
        <v>0</v>
      </c>
      <c r="DV190" s="438">
        <v>0</v>
      </c>
      <c r="DW190" s="438">
        <v>0</v>
      </c>
      <c r="DX190" s="438">
        <v>0</v>
      </c>
      <c r="DY190" s="438">
        <v>0</v>
      </c>
      <c r="DZ190" s="438">
        <v>0</v>
      </c>
      <c r="EA190" s="438">
        <v>1.9E-2</v>
      </c>
      <c r="EB190" s="438">
        <v>0</v>
      </c>
      <c r="EC190" s="438">
        <v>21.257999999999999</v>
      </c>
      <c r="ED190" s="438">
        <v>153024</v>
      </c>
      <c r="EE190" s="438">
        <v>0</v>
      </c>
      <c r="EF190" s="438">
        <v>0</v>
      </c>
      <c r="EG190" s="438">
        <v>0</v>
      </c>
      <c r="EH190" s="438">
        <v>189187</v>
      </c>
      <c r="EI190" s="438">
        <v>0</v>
      </c>
      <c r="EJ190" s="438">
        <v>0</v>
      </c>
      <c r="EK190" s="438">
        <v>8.4499999999999993</v>
      </c>
      <c r="EL190" s="438">
        <v>0</v>
      </c>
      <c r="EM190" s="438">
        <v>0</v>
      </c>
      <c r="EN190" s="438">
        <v>0.69299999999999995</v>
      </c>
      <c r="EO190" s="438">
        <v>0</v>
      </c>
      <c r="EP190" s="438">
        <v>0</v>
      </c>
      <c r="EQ190" s="438">
        <v>9.1620000000000008</v>
      </c>
      <c r="ER190" s="438">
        <v>0</v>
      </c>
      <c r="ES190" s="438">
        <v>28.91</v>
      </c>
      <c r="ET190" s="438">
        <v>0</v>
      </c>
      <c r="EU190" s="438">
        <v>304291</v>
      </c>
      <c r="EV190" s="438">
        <v>0</v>
      </c>
      <c r="EW190" s="438">
        <v>0</v>
      </c>
      <c r="EX190" s="438">
        <v>0</v>
      </c>
      <c r="EZ190" s="438">
        <v>6512742</v>
      </c>
      <c r="FA190" s="438">
        <v>0</v>
      </c>
      <c r="FB190" s="438">
        <v>6817033</v>
      </c>
      <c r="FC190" s="438">
        <v>0.97334900000000002</v>
      </c>
      <c r="FD190" s="438">
        <v>0</v>
      </c>
      <c r="FE190" s="438">
        <v>933134</v>
      </c>
      <c r="FF190" s="438">
        <v>212682</v>
      </c>
      <c r="FG190" s="437">
        <v>5.7854999999999997E-2</v>
      </c>
      <c r="FH190" s="437">
        <v>5.2366000000000003E-2</v>
      </c>
      <c r="FI190" s="438">
        <v>0</v>
      </c>
      <c r="FJ190" s="438">
        <v>0</v>
      </c>
      <c r="FK190" s="438">
        <v>1271.1880000000001</v>
      </c>
      <c r="FL190" s="438">
        <v>7962849</v>
      </c>
      <c r="FM190" s="438">
        <v>0</v>
      </c>
      <c r="FN190" s="438">
        <v>0</v>
      </c>
      <c r="FO190" s="438">
        <v>57715</v>
      </c>
      <c r="FP190" s="438">
        <v>0</v>
      </c>
      <c r="FQ190" s="438">
        <v>57715</v>
      </c>
      <c r="FR190" s="438">
        <v>57715</v>
      </c>
      <c r="FS190" s="438">
        <v>0</v>
      </c>
      <c r="FT190" s="438">
        <v>0</v>
      </c>
      <c r="FU190" s="438">
        <v>0</v>
      </c>
      <c r="FV190" s="438">
        <v>0</v>
      </c>
      <c r="FW190" s="438">
        <v>0</v>
      </c>
      <c r="FX190" s="438">
        <v>0</v>
      </c>
      <c r="FY190" s="438">
        <v>0</v>
      </c>
      <c r="FZ190" s="438">
        <v>0</v>
      </c>
      <c r="GA190" s="438">
        <v>0</v>
      </c>
      <c r="GB190" s="438">
        <v>0</v>
      </c>
      <c r="GC190" s="438">
        <v>0</v>
      </c>
      <c r="GD190" s="438">
        <v>0</v>
      </c>
      <c r="GF190" s="438">
        <v>0</v>
      </c>
      <c r="GG190" s="438">
        <v>0</v>
      </c>
      <c r="GH190" s="438">
        <v>0</v>
      </c>
      <c r="GI190" s="438">
        <v>0</v>
      </c>
      <c r="GJ190" s="438">
        <v>0</v>
      </c>
      <c r="GK190" s="438">
        <v>4694.4880000000003</v>
      </c>
      <c r="GL190" s="438">
        <v>0</v>
      </c>
      <c r="GM190" s="438">
        <v>0</v>
      </c>
      <c r="GN190" s="438">
        <v>13619</v>
      </c>
      <c r="GO190" s="438">
        <v>0</v>
      </c>
      <c r="GP190" s="438">
        <v>7962849</v>
      </c>
      <c r="GQ190" s="438">
        <v>7962849</v>
      </c>
      <c r="GR190" s="438">
        <v>0</v>
      </c>
      <c r="GS190" s="438">
        <v>0</v>
      </c>
      <c r="GT190" s="438">
        <v>0</v>
      </c>
      <c r="HB190" s="438">
        <v>0</v>
      </c>
      <c r="HC190" s="437">
        <v>6.0754000000000002E-2</v>
      </c>
      <c r="HD190" s="438">
        <v>0</v>
      </c>
    </row>
    <row r="191" spans="1:212" x14ac:dyDescent="0.2">
      <c r="A191" s="438">
        <v>25836</v>
      </c>
      <c r="B191" s="442">
        <v>227825</v>
      </c>
      <c r="C191" s="438">
        <v>9</v>
      </c>
      <c r="D191" s="438">
        <v>2020</v>
      </c>
      <c r="E191" s="438">
        <v>5392</v>
      </c>
      <c r="F191" s="438">
        <v>0</v>
      </c>
      <c r="G191" s="438">
        <v>1472.873</v>
      </c>
      <c r="H191" s="438">
        <v>1445.913</v>
      </c>
      <c r="I191" s="438">
        <v>1445.913</v>
      </c>
      <c r="J191" s="438">
        <v>1472.873</v>
      </c>
      <c r="K191" s="438">
        <v>0</v>
      </c>
      <c r="L191" s="437">
        <v>6544</v>
      </c>
      <c r="M191" s="438">
        <v>0</v>
      </c>
      <c r="N191" s="438">
        <v>0</v>
      </c>
      <c r="P191" s="438">
        <v>1468.1669999999999</v>
      </c>
      <c r="Q191" s="438">
        <v>0</v>
      </c>
      <c r="R191" s="438">
        <v>363499</v>
      </c>
      <c r="S191" s="437">
        <v>247.58699999999999</v>
      </c>
      <c r="U191" s="438">
        <v>0</v>
      </c>
      <c r="V191" s="438">
        <v>805.40300000000002</v>
      </c>
      <c r="W191" s="438">
        <v>527056</v>
      </c>
      <c r="X191" s="438">
        <v>527056</v>
      </c>
      <c r="Z191" s="438">
        <v>0</v>
      </c>
      <c r="AA191" s="438">
        <v>1</v>
      </c>
      <c r="AB191" s="438">
        <v>1</v>
      </c>
      <c r="AC191" s="438">
        <v>0</v>
      </c>
      <c r="AD191" s="438" t="s">
        <v>332</v>
      </c>
      <c r="AE191" s="438">
        <v>0</v>
      </c>
      <c r="AH191" s="438">
        <v>0</v>
      </c>
      <c r="AI191" s="438">
        <v>0</v>
      </c>
      <c r="AJ191" s="437">
        <v>5105</v>
      </c>
      <c r="AK191" s="438" t="s">
        <v>561</v>
      </c>
      <c r="AL191" s="438" t="s">
        <v>128</v>
      </c>
      <c r="AM191" s="438">
        <v>0</v>
      </c>
      <c r="AN191" s="438">
        <v>0</v>
      </c>
      <c r="AO191" s="438">
        <v>0</v>
      </c>
      <c r="AP191" s="438">
        <v>0</v>
      </c>
      <c r="AQ191" s="438">
        <v>0</v>
      </c>
      <c r="AR191" s="438">
        <v>0</v>
      </c>
      <c r="AS191" s="438">
        <v>0</v>
      </c>
      <c r="AT191" s="438">
        <v>0</v>
      </c>
      <c r="AU191" s="438">
        <v>0</v>
      </c>
      <c r="AV191" s="438">
        <v>0</v>
      </c>
      <c r="AW191" s="438">
        <v>14409829</v>
      </c>
      <c r="AX191" s="438">
        <v>14293367</v>
      </c>
      <c r="AY191" s="438">
        <v>0</v>
      </c>
      <c r="AZ191" s="438">
        <v>479961</v>
      </c>
      <c r="BA191" s="438">
        <v>0</v>
      </c>
      <c r="BB191" s="438">
        <v>0</v>
      </c>
      <c r="BC191" s="438">
        <v>0</v>
      </c>
      <c r="BD191" s="438">
        <v>0</v>
      </c>
      <c r="BE191" s="438">
        <v>0</v>
      </c>
      <c r="BF191" s="438">
        <v>12122183</v>
      </c>
      <c r="BG191" s="438">
        <v>0</v>
      </c>
      <c r="BH191" s="438">
        <v>423.49900000000002</v>
      </c>
      <c r="BI191" s="438">
        <v>116462</v>
      </c>
      <c r="BJ191" s="438">
        <v>12</v>
      </c>
      <c r="BK191" s="438">
        <v>0</v>
      </c>
      <c r="BL191" s="438">
        <v>0</v>
      </c>
      <c r="BM191" s="438">
        <v>0</v>
      </c>
      <c r="BN191" s="438">
        <v>0</v>
      </c>
      <c r="BO191" s="438">
        <v>0</v>
      </c>
      <c r="BP191" s="438">
        <v>0</v>
      </c>
      <c r="BQ191" s="437">
        <v>5392</v>
      </c>
      <c r="BR191" s="438">
        <v>1</v>
      </c>
      <c r="BS191" s="438">
        <v>0</v>
      </c>
      <c r="BT191" s="438">
        <v>0</v>
      </c>
      <c r="BU191" s="438">
        <v>0</v>
      </c>
      <c r="BV191" s="438">
        <v>0</v>
      </c>
      <c r="BW191" s="438">
        <v>0</v>
      </c>
      <c r="BX191" s="438">
        <v>0</v>
      </c>
      <c r="BY191" s="438">
        <v>0</v>
      </c>
      <c r="BZ191" s="438">
        <v>0</v>
      </c>
      <c r="CA191" s="438">
        <v>0</v>
      </c>
      <c r="CB191" s="438">
        <v>0</v>
      </c>
      <c r="CC191" s="438">
        <v>0</v>
      </c>
      <c r="CG191" s="438">
        <v>0</v>
      </c>
      <c r="CH191" s="438">
        <v>0</v>
      </c>
      <c r="CI191" s="438">
        <v>0</v>
      </c>
      <c r="CJ191" s="438">
        <v>5</v>
      </c>
      <c r="CK191" s="438">
        <v>0</v>
      </c>
      <c r="CL191" s="438">
        <v>0</v>
      </c>
      <c r="CN191" s="438">
        <v>0</v>
      </c>
      <c r="CO191" s="438">
        <v>1</v>
      </c>
      <c r="CP191" s="438">
        <v>4.5999999999999999E-2</v>
      </c>
      <c r="CQ191" s="438">
        <v>0</v>
      </c>
      <c r="CR191" s="438">
        <v>1472.873</v>
      </c>
      <c r="CS191" s="438">
        <v>0</v>
      </c>
      <c r="CT191" s="438">
        <v>0</v>
      </c>
      <c r="CU191" s="438">
        <v>0</v>
      </c>
      <c r="CV191" s="438">
        <v>0</v>
      </c>
      <c r="CW191" s="438">
        <v>0</v>
      </c>
      <c r="CX191" s="438">
        <v>0</v>
      </c>
      <c r="CY191" s="438">
        <v>0</v>
      </c>
      <c r="CZ191" s="438">
        <v>0</v>
      </c>
      <c r="DA191" s="438">
        <v>1</v>
      </c>
      <c r="DB191" s="438">
        <v>9462055</v>
      </c>
      <c r="DC191" s="438">
        <v>0</v>
      </c>
      <c r="DD191" s="438">
        <v>0</v>
      </c>
      <c r="DE191" s="438">
        <v>1348286</v>
      </c>
      <c r="DF191" s="438">
        <v>1349011</v>
      </c>
      <c r="DG191" s="438">
        <v>1030.17</v>
      </c>
      <c r="DH191" s="438">
        <v>0</v>
      </c>
      <c r="DI191" s="438">
        <v>725</v>
      </c>
      <c r="DK191" s="437">
        <v>5392</v>
      </c>
      <c r="DL191" s="438">
        <v>0</v>
      </c>
      <c r="DM191" s="438">
        <v>1104768</v>
      </c>
      <c r="DN191" s="438">
        <v>0</v>
      </c>
      <c r="DO191" s="438">
        <v>0</v>
      </c>
      <c r="DP191" s="438">
        <v>0</v>
      </c>
      <c r="DQ191" s="438">
        <v>0</v>
      </c>
      <c r="DR191" s="438">
        <v>0</v>
      </c>
      <c r="DS191" s="438">
        <v>0</v>
      </c>
      <c r="DT191" s="438">
        <v>0</v>
      </c>
      <c r="DU191" s="438">
        <v>0</v>
      </c>
      <c r="DV191" s="438">
        <v>0</v>
      </c>
      <c r="DW191" s="438">
        <v>0</v>
      </c>
      <c r="DX191" s="438">
        <v>0</v>
      </c>
      <c r="DY191" s="438">
        <v>0</v>
      </c>
      <c r="DZ191" s="438">
        <v>0</v>
      </c>
      <c r="EA191" s="438">
        <v>0</v>
      </c>
      <c r="EB191" s="438">
        <v>0</v>
      </c>
      <c r="EC191" s="438">
        <v>80.685000000000002</v>
      </c>
      <c r="ED191" s="438">
        <v>580803</v>
      </c>
      <c r="EE191" s="438">
        <v>0</v>
      </c>
      <c r="EF191" s="438">
        <v>0</v>
      </c>
      <c r="EG191" s="438">
        <v>0</v>
      </c>
      <c r="EH191" s="438">
        <v>523965</v>
      </c>
      <c r="EI191" s="438">
        <v>0</v>
      </c>
      <c r="EJ191" s="438">
        <v>0</v>
      </c>
      <c r="EK191" s="438">
        <v>20.837</v>
      </c>
      <c r="EL191" s="438">
        <v>0</v>
      </c>
      <c r="EM191" s="438">
        <v>3.359</v>
      </c>
      <c r="EN191" s="438">
        <v>1.496</v>
      </c>
      <c r="EO191" s="438">
        <v>0</v>
      </c>
      <c r="EP191" s="438">
        <v>0</v>
      </c>
      <c r="EQ191" s="438">
        <v>25.692</v>
      </c>
      <c r="ER191" s="438">
        <v>0</v>
      </c>
      <c r="ES191" s="438">
        <v>80.067999999999998</v>
      </c>
      <c r="ET191" s="438">
        <v>0</v>
      </c>
      <c r="EU191" s="438">
        <v>479961</v>
      </c>
      <c r="EV191" s="438">
        <v>0</v>
      </c>
      <c r="EW191" s="438">
        <v>0</v>
      </c>
      <c r="EX191" s="438">
        <v>0</v>
      </c>
      <c r="EZ191" s="438">
        <v>12152824</v>
      </c>
      <c r="FA191" s="438">
        <v>0</v>
      </c>
      <c r="FB191" s="438">
        <v>12632785</v>
      </c>
      <c r="FC191" s="438">
        <v>0.97334900000000002</v>
      </c>
      <c r="FD191" s="438">
        <v>0</v>
      </c>
      <c r="FE191" s="438">
        <v>1743224</v>
      </c>
      <c r="FF191" s="438">
        <v>397319</v>
      </c>
      <c r="FG191" s="437">
        <v>5.7854999999999997E-2</v>
      </c>
      <c r="FH191" s="437">
        <v>5.2366000000000003E-2</v>
      </c>
      <c r="FI191" s="438">
        <v>0</v>
      </c>
      <c r="FJ191" s="438">
        <v>0</v>
      </c>
      <c r="FK191" s="438">
        <v>2374.7570000000001</v>
      </c>
      <c r="FL191" s="438">
        <v>14773328</v>
      </c>
      <c r="FM191" s="438">
        <v>0</v>
      </c>
      <c r="FN191" s="438">
        <v>0</v>
      </c>
      <c r="FO191" s="438">
        <v>62231</v>
      </c>
      <c r="FP191" s="438">
        <v>0</v>
      </c>
      <c r="FQ191" s="438">
        <v>62231</v>
      </c>
      <c r="FR191" s="438">
        <v>62231</v>
      </c>
      <c r="FS191" s="438">
        <v>0</v>
      </c>
      <c r="FT191" s="438">
        <v>0</v>
      </c>
      <c r="FU191" s="438">
        <v>0</v>
      </c>
      <c r="FV191" s="438">
        <v>0</v>
      </c>
      <c r="FW191" s="438">
        <v>0</v>
      </c>
      <c r="FX191" s="438">
        <v>0</v>
      </c>
      <c r="FY191" s="438">
        <v>0</v>
      </c>
      <c r="FZ191" s="438">
        <v>0</v>
      </c>
      <c r="GA191" s="438">
        <v>0</v>
      </c>
      <c r="GB191" s="438">
        <v>11202</v>
      </c>
      <c r="GC191" s="438">
        <v>11202</v>
      </c>
      <c r="GD191" s="438">
        <v>1.268</v>
      </c>
      <c r="GF191" s="438">
        <v>0</v>
      </c>
      <c r="GG191" s="438">
        <v>0</v>
      </c>
      <c r="GH191" s="438">
        <v>0</v>
      </c>
      <c r="GI191" s="438">
        <v>0</v>
      </c>
      <c r="GJ191" s="438">
        <v>0</v>
      </c>
      <c r="GK191" s="438">
        <v>4604.6369999999997</v>
      </c>
      <c r="GL191" s="438">
        <v>0</v>
      </c>
      <c r="GM191" s="438">
        <v>0</v>
      </c>
      <c r="GN191" s="438">
        <v>0</v>
      </c>
      <c r="GO191" s="438">
        <v>0</v>
      </c>
      <c r="GP191" s="438">
        <v>14773328</v>
      </c>
      <c r="GQ191" s="438">
        <v>14773328</v>
      </c>
      <c r="GR191" s="438">
        <v>0</v>
      </c>
      <c r="GS191" s="438">
        <v>0</v>
      </c>
      <c r="GT191" s="438">
        <v>0</v>
      </c>
      <c r="HB191" s="438">
        <v>0</v>
      </c>
      <c r="HC191" s="437">
        <v>6.0754000000000002E-2</v>
      </c>
      <c r="HD191" s="438">
        <v>0</v>
      </c>
    </row>
    <row r="192" spans="1:212" x14ac:dyDescent="0.2">
      <c r="A192" s="438">
        <v>25836</v>
      </c>
      <c r="B192" s="442">
        <v>227826</v>
      </c>
      <c r="C192" s="438">
        <v>9</v>
      </c>
      <c r="D192" s="438">
        <v>2020</v>
      </c>
      <c r="E192" s="438">
        <v>5392</v>
      </c>
      <c r="F192" s="438">
        <v>0</v>
      </c>
      <c r="G192" s="438">
        <v>357.89699999999999</v>
      </c>
      <c r="H192" s="438">
        <v>349.78</v>
      </c>
      <c r="I192" s="438">
        <v>349.78</v>
      </c>
      <c r="J192" s="438">
        <v>357.89699999999999</v>
      </c>
      <c r="K192" s="438">
        <v>0</v>
      </c>
      <c r="L192" s="437">
        <v>6544</v>
      </c>
      <c r="M192" s="438">
        <v>0</v>
      </c>
      <c r="N192" s="438">
        <v>0</v>
      </c>
      <c r="P192" s="438">
        <v>357.75299999999999</v>
      </c>
      <c r="Q192" s="438">
        <v>0</v>
      </c>
      <c r="R192" s="438">
        <v>88575</v>
      </c>
      <c r="S192" s="437">
        <v>247.58699999999999</v>
      </c>
      <c r="U192" s="438">
        <v>0</v>
      </c>
      <c r="V192" s="438">
        <v>76.242000000000004</v>
      </c>
      <c r="W192" s="438">
        <v>49893</v>
      </c>
      <c r="X192" s="438">
        <v>49893</v>
      </c>
      <c r="Z192" s="438">
        <v>0</v>
      </c>
      <c r="AA192" s="438">
        <v>1</v>
      </c>
      <c r="AB192" s="438">
        <v>1</v>
      </c>
      <c r="AC192" s="438">
        <v>0</v>
      </c>
      <c r="AD192" s="438" t="s">
        <v>332</v>
      </c>
      <c r="AE192" s="438">
        <v>0</v>
      </c>
      <c r="AH192" s="438">
        <v>0</v>
      </c>
      <c r="AI192" s="438">
        <v>0</v>
      </c>
      <c r="AJ192" s="437">
        <v>5105</v>
      </c>
      <c r="AK192" s="438" t="s">
        <v>561</v>
      </c>
      <c r="AL192" s="438" t="s">
        <v>384</v>
      </c>
      <c r="AM192" s="438">
        <v>0</v>
      </c>
      <c r="AN192" s="438">
        <v>0</v>
      </c>
      <c r="AO192" s="438">
        <v>0</v>
      </c>
      <c r="AP192" s="438">
        <v>0</v>
      </c>
      <c r="AQ192" s="438">
        <v>0</v>
      </c>
      <c r="AR192" s="438">
        <v>0</v>
      </c>
      <c r="AS192" s="438">
        <v>0</v>
      </c>
      <c r="AT192" s="438">
        <v>0</v>
      </c>
      <c r="AU192" s="438">
        <v>0</v>
      </c>
      <c r="AV192" s="438">
        <v>0</v>
      </c>
      <c r="AW192" s="438">
        <v>3222489</v>
      </c>
      <c r="AX192" s="438">
        <v>3222489</v>
      </c>
      <c r="AY192" s="438">
        <v>0</v>
      </c>
      <c r="AZ192" s="438">
        <v>88575</v>
      </c>
      <c r="BA192" s="438">
        <v>0</v>
      </c>
      <c r="BB192" s="438">
        <v>0</v>
      </c>
      <c r="BC192" s="438">
        <v>0</v>
      </c>
      <c r="BD192" s="438">
        <v>0</v>
      </c>
      <c r="BE192" s="438">
        <v>0</v>
      </c>
      <c r="BF192" s="438">
        <v>2750142</v>
      </c>
      <c r="BG192" s="438">
        <v>0</v>
      </c>
      <c r="BH192" s="438">
        <v>0</v>
      </c>
      <c r="BI192" s="438">
        <v>0</v>
      </c>
      <c r="BJ192" s="438">
        <v>12</v>
      </c>
      <c r="BK192" s="438">
        <v>0</v>
      </c>
      <c r="BL192" s="438">
        <v>0</v>
      </c>
      <c r="BM192" s="438">
        <v>0</v>
      </c>
      <c r="BN192" s="438">
        <v>0</v>
      </c>
      <c r="BO192" s="438">
        <v>0</v>
      </c>
      <c r="BP192" s="438">
        <v>0</v>
      </c>
      <c r="BQ192" s="437">
        <v>5392</v>
      </c>
      <c r="BR192" s="438">
        <v>1</v>
      </c>
      <c r="BS192" s="438">
        <v>0</v>
      </c>
      <c r="BT192" s="438">
        <v>0</v>
      </c>
      <c r="BU192" s="438">
        <v>0</v>
      </c>
      <c r="BV192" s="438">
        <v>0</v>
      </c>
      <c r="BW192" s="438">
        <v>0</v>
      </c>
      <c r="BX192" s="438">
        <v>0</v>
      </c>
      <c r="BY192" s="438">
        <v>0</v>
      </c>
      <c r="BZ192" s="438">
        <v>0</v>
      </c>
      <c r="CA192" s="438">
        <v>0</v>
      </c>
      <c r="CB192" s="438">
        <v>0</v>
      </c>
      <c r="CC192" s="438">
        <v>0</v>
      </c>
      <c r="CG192" s="438">
        <v>0</v>
      </c>
      <c r="CH192" s="438">
        <v>0</v>
      </c>
      <c r="CI192" s="438">
        <v>0</v>
      </c>
      <c r="CJ192" s="438">
        <v>4</v>
      </c>
      <c r="CK192" s="438">
        <v>0</v>
      </c>
      <c r="CL192" s="438">
        <v>0</v>
      </c>
      <c r="CN192" s="438">
        <v>0</v>
      </c>
      <c r="CO192" s="438">
        <v>1</v>
      </c>
      <c r="CP192" s="438">
        <v>0</v>
      </c>
      <c r="CQ192" s="438">
        <v>0</v>
      </c>
      <c r="CR192" s="438">
        <v>357.89699999999999</v>
      </c>
      <c r="CS192" s="438">
        <v>0</v>
      </c>
      <c r="CT192" s="438">
        <v>0</v>
      </c>
      <c r="CU192" s="438">
        <v>0</v>
      </c>
      <c r="CV192" s="438">
        <v>0</v>
      </c>
      <c r="CW192" s="438">
        <v>0</v>
      </c>
      <c r="CX192" s="438">
        <v>0</v>
      </c>
      <c r="CY192" s="438">
        <v>0</v>
      </c>
      <c r="CZ192" s="438">
        <v>0</v>
      </c>
      <c r="DA192" s="438">
        <v>1</v>
      </c>
      <c r="DB192" s="438">
        <v>2288960</v>
      </c>
      <c r="DC192" s="438">
        <v>0</v>
      </c>
      <c r="DD192" s="438">
        <v>0</v>
      </c>
      <c r="DE192" s="438">
        <v>300147</v>
      </c>
      <c r="DF192" s="438">
        <v>300147</v>
      </c>
      <c r="DG192" s="438">
        <v>229.33</v>
      </c>
      <c r="DH192" s="438">
        <v>0</v>
      </c>
      <c r="DI192" s="438">
        <v>0</v>
      </c>
      <c r="DK192" s="437">
        <v>5392</v>
      </c>
      <c r="DL192" s="438">
        <v>0</v>
      </c>
      <c r="DM192" s="438">
        <v>186442</v>
      </c>
      <c r="DN192" s="438">
        <v>0</v>
      </c>
      <c r="DO192" s="438">
        <v>0</v>
      </c>
      <c r="DP192" s="438">
        <v>0</v>
      </c>
      <c r="DQ192" s="438">
        <v>0</v>
      </c>
      <c r="DR192" s="438">
        <v>0</v>
      </c>
      <c r="DS192" s="438">
        <v>0</v>
      </c>
      <c r="DT192" s="438">
        <v>0</v>
      </c>
      <c r="DU192" s="438">
        <v>0</v>
      </c>
      <c r="DV192" s="438">
        <v>0</v>
      </c>
      <c r="DW192" s="438">
        <v>0</v>
      </c>
      <c r="DX192" s="438">
        <v>0</v>
      </c>
      <c r="DY192" s="438">
        <v>0</v>
      </c>
      <c r="DZ192" s="438">
        <v>0</v>
      </c>
      <c r="EA192" s="438">
        <v>0</v>
      </c>
      <c r="EB192" s="438">
        <v>0</v>
      </c>
      <c r="EC192" s="438">
        <v>2.3450000000000002</v>
      </c>
      <c r="ED192" s="438">
        <v>16880</v>
      </c>
      <c r="EE192" s="438">
        <v>0</v>
      </c>
      <c r="EF192" s="438">
        <v>0</v>
      </c>
      <c r="EG192" s="438">
        <v>0</v>
      </c>
      <c r="EH192" s="438">
        <v>169562</v>
      </c>
      <c r="EI192" s="438">
        <v>0</v>
      </c>
      <c r="EJ192" s="438">
        <v>0</v>
      </c>
      <c r="EK192" s="438">
        <v>7.3369999999999997</v>
      </c>
      <c r="EL192" s="438">
        <v>0</v>
      </c>
      <c r="EM192" s="438">
        <v>0</v>
      </c>
      <c r="EN192" s="438">
        <v>0.78</v>
      </c>
      <c r="EO192" s="438">
        <v>0</v>
      </c>
      <c r="EP192" s="438">
        <v>0</v>
      </c>
      <c r="EQ192" s="438">
        <v>8.1170000000000009</v>
      </c>
      <c r="ER192" s="438">
        <v>0</v>
      </c>
      <c r="ES192" s="438">
        <v>25.911000000000001</v>
      </c>
      <c r="ET192" s="438">
        <v>0</v>
      </c>
      <c r="EU192" s="438">
        <v>88575</v>
      </c>
      <c r="EV192" s="438">
        <v>0</v>
      </c>
      <c r="EW192" s="438">
        <v>0</v>
      </c>
      <c r="EX192" s="438">
        <v>0</v>
      </c>
      <c r="EZ192" s="438">
        <v>2736867</v>
      </c>
      <c r="FA192" s="438">
        <v>0</v>
      </c>
      <c r="FB192" s="438">
        <v>2825442</v>
      </c>
      <c r="FC192" s="438">
        <v>0.97334900000000002</v>
      </c>
      <c r="FD192" s="438">
        <v>0</v>
      </c>
      <c r="FE192" s="438">
        <v>395483</v>
      </c>
      <c r="FF192" s="438">
        <v>90139</v>
      </c>
      <c r="FG192" s="437">
        <v>5.7854999999999997E-2</v>
      </c>
      <c r="FH192" s="437">
        <v>5.2366000000000003E-2</v>
      </c>
      <c r="FI192" s="438">
        <v>0</v>
      </c>
      <c r="FJ192" s="438">
        <v>0</v>
      </c>
      <c r="FK192" s="438">
        <v>538.75800000000004</v>
      </c>
      <c r="FL192" s="438">
        <v>3311064</v>
      </c>
      <c r="FM192" s="438">
        <v>0</v>
      </c>
      <c r="FN192" s="438">
        <v>0</v>
      </c>
      <c r="FO192" s="438">
        <v>0</v>
      </c>
      <c r="FP192" s="438">
        <v>0</v>
      </c>
      <c r="FQ192" s="438">
        <v>0</v>
      </c>
      <c r="FR192" s="438">
        <v>0</v>
      </c>
      <c r="FS192" s="438">
        <v>0</v>
      </c>
      <c r="FT192" s="438">
        <v>0</v>
      </c>
      <c r="FU192" s="438">
        <v>0</v>
      </c>
      <c r="FV192" s="438">
        <v>0</v>
      </c>
      <c r="FW192" s="438">
        <v>0</v>
      </c>
      <c r="FX192" s="438">
        <v>0</v>
      </c>
      <c r="FY192" s="438">
        <v>0</v>
      </c>
      <c r="FZ192" s="438">
        <v>0</v>
      </c>
      <c r="GA192" s="438">
        <v>0</v>
      </c>
      <c r="GB192" s="438">
        <v>0</v>
      </c>
      <c r="GC192" s="438">
        <v>0</v>
      </c>
      <c r="GD192" s="438">
        <v>0</v>
      </c>
      <c r="GF192" s="438">
        <v>0</v>
      </c>
      <c r="GG192" s="438">
        <v>0</v>
      </c>
      <c r="GH192" s="438">
        <v>0</v>
      </c>
      <c r="GI192" s="438">
        <v>0</v>
      </c>
      <c r="GJ192" s="438">
        <v>0</v>
      </c>
      <c r="GK192" s="438">
        <v>4604.6369999999997</v>
      </c>
      <c r="GL192" s="438">
        <v>0</v>
      </c>
      <c r="GM192" s="438">
        <v>0</v>
      </c>
      <c r="GN192" s="438">
        <v>0</v>
      </c>
      <c r="GO192" s="438">
        <v>0</v>
      </c>
      <c r="GP192" s="438">
        <v>3311064</v>
      </c>
      <c r="GQ192" s="438">
        <v>3311064</v>
      </c>
      <c r="GR192" s="438">
        <v>0</v>
      </c>
      <c r="GS192" s="438">
        <v>0</v>
      </c>
      <c r="GT192" s="438">
        <v>0</v>
      </c>
      <c r="HB192" s="438">
        <v>0</v>
      </c>
      <c r="HC192" s="437">
        <v>6.0754000000000002E-2</v>
      </c>
      <c r="HD192" s="438">
        <v>0</v>
      </c>
    </row>
    <row r="193" spans="1:212" x14ac:dyDescent="0.2">
      <c r="A193" s="438">
        <v>25836</v>
      </c>
      <c r="B193" s="442">
        <v>227827</v>
      </c>
      <c r="C193" s="438">
        <v>9</v>
      </c>
      <c r="D193" s="438">
        <v>2020</v>
      </c>
      <c r="E193" s="438">
        <v>5392</v>
      </c>
      <c r="F193" s="438">
        <v>0</v>
      </c>
      <c r="G193" s="438">
        <v>213.22300000000001</v>
      </c>
      <c r="H193" s="438">
        <v>202.62299999999999</v>
      </c>
      <c r="I193" s="438">
        <v>202.62299999999999</v>
      </c>
      <c r="J193" s="438">
        <v>213.22300000000001</v>
      </c>
      <c r="K193" s="438">
        <v>0</v>
      </c>
      <c r="L193" s="437">
        <v>6544</v>
      </c>
      <c r="M193" s="438">
        <v>0</v>
      </c>
      <c r="N193" s="438">
        <v>0</v>
      </c>
      <c r="P193" s="438">
        <v>215.666</v>
      </c>
      <c r="Q193" s="438">
        <v>0</v>
      </c>
      <c r="R193" s="438">
        <v>53396</v>
      </c>
      <c r="S193" s="437">
        <v>247.58699999999999</v>
      </c>
      <c r="U193" s="438">
        <v>0</v>
      </c>
      <c r="V193" s="438">
        <v>0.192</v>
      </c>
      <c r="W193" s="438">
        <v>126</v>
      </c>
      <c r="X193" s="438">
        <v>126</v>
      </c>
      <c r="Z193" s="438">
        <v>0</v>
      </c>
      <c r="AA193" s="438">
        <v>1</v>
      </c>
      <c r="AB193" s="438">
        <v>1</v>
      </c>
      <c r="AC193" s="438">
        <v>0</v>
      </c>
      <c r="AD193" s="438" t="s">
        <v>332</v>
      </c>
      <c r="AE193" s="438">
        <v>0</v>
      </c>
      <c r="AH193" s="438">
        <v>0</v>
      </c>
      <c r="AI193" s="438">
        <v>0</v>
      </c>
      <c r="AJ193" s="437">
        <v>5105</v>
      </c>
      <c r="AK193" s="438" t="s">
        <v>561</v>
      </c>
      <c r="AL193" s="438" t="s">
        <v>385</v>
      </c>
      <c r="AM193" s="438">
        <v>0</v>
      </c>
      <c r="AN193" s="438">
        <v>0</v>
      </c>
      <c r="AO193" s="438">
        <v>0</v>
      </c>
      <c r="AP193" s="438">
        <v>0</v>
      </c>
      <c r="AQ193" s="438">
        <v>0</v>
      </c>
      <c r="AR193" s="438">
        <v>0</v>
      </c>
      <c r="AS193" s="438">
        <v>0</v>
      </c>
      <c r="AT193" s="438">
        <v>0</v>
      </c>
      <c r="AU193" s="438">
        <v>0</v>
      </c>
      <c r="AV193" s="438">
        <v>0</v>
      </c>
      <c r="AW193" s="438">
        <v>1947619</v>
      </c>
      <c r="AX193" s="438">
        <v>1920425</v>
      </c>
      <c r="AY193" s="438">
        <v>0</v>
      </c>
      <c r="AZ193" s="438">
        <v>80590</v>
      </c>
      <c r="BA193" s="438">
        <v>0</v>
      </c>
      <c r="BB193" s="438">
        <v>0</v>
      </c>
      <c r="BC193" s="438">
        <v>0</v>
      </c>
      <c r="BD193" s="438">
        <v>0</v>
      </c>
      <c r="BE193" s="438">
        <v>0</v>
      </c>
      <c r="BF193" s="438">
        <v>1638138</v>
      </c>
      <c r="BG193" s="438">
        <v>0</v>
      </c>
      <c r="BH193" s="438">
        <v>98.888000000000005</v>
      </c>
      <c r="BI193" s="438">
        <v>27194</v>
      </c>
      <c r="BJ193" s="438">
        <v>12</v>
      </c>
      <c r="BK193" s="438">
        <v>0</v>
      </c>
      <c r="BL193" s="438">
        <v>0</v>
      </c>
      <c r="BM193" s="438">
        <v>0</v>
      </c>
      <c r="BN193" s="438">
        <v>0</v>
      </c>
      <c r="BO193" s="438">
        <v>0</v>
      </c>
      <c r="BP193" s="438">
        <v>0</v>
      </c>
      <c r="BQ193" s="437">
        <v>5392</v>
      </c>
      <c r="BR193" s="438">
        <v>1</v>
      </c>
      <c r="BS193" s="438">
        <v>0</v>
      </c>
      <c r="BT193" s="438">
        <v>0</v>
      </c>
      <c r="BU193" s="438">
        <v>0</v>
      </c>
      <c r="BV193" s="438">
        <v>0</v>
      </c>
      <c r="BW193" s="438">
        <v>0</v>
      </c>
      <c r="BX193" s="438">
        <v>0</v>
      </c>
      <c r="BY193" s="438">
        <v>0</v>
      </c>
      <c r="BZ193" s="438">
        <v>0</v>
      </c>
      <c r="CA193" s="438">
        <v>0</v>
      </c>
      <c r="CB193" s="438">
        <v>0</v>
      </c>
      <c r="CC193" s="438">
        <v>0</v>
      </c>
      <c r="CG193" s="438">
        <v>0</v>
      </c>
      <c r="CH193" s="438">
        <v>0</v>
      </c>
      <c r="CI193" s="438">
        <v>0</v>
      </c>
      <c r="CJ193" s="438">
        <v>4</v>
      </c>
      <c r="CK193" s="438">
        <v>0</v>
      </c>
      <c r="CL193" s="438">
        <v>0</v>
      </c>
      <c r="CN193" s="438">
        <v>0</v>
      </c>
      <c r="CO193" s="438">
        <v>1</v>
      </c>
      <c r="CP193" s="438">
        <v>0.17100000000000001</v>
      </c>
      <c r="CQ193" s="438">
        <v>0</v>
      </c>
      <c r="CR193" s="438">
        <v>213.22300000000001</v>
      </c>
      <c r="CS193" s="438">
        <v>0</v>
      </c>
      <c r="CT193" s="438">
        <v>0</v>
      </c>
      <c r="CU193" s="438">
        <v>0</v>
      </c>
      <c r="CV193" s="438">
        <v>0</v>
      </c>
      <c r="CW193" s="438">
        <v>0</v>
      </c>
      <c r="CX193" s="438">
        <v>0</v>
      </c>
      <c r="CY193" s="438">
        <v>0</v>
      </c>
      <c r="CZ193" s="438">
        <v>0</v>
      </c>
      <c r="DA193" s="438">
        <v>1</v>
      </c>
      <c r="DB193" s="438">
        <v>1325965</v>
      </c>
      <c r="DC193" s="438">
        <v>0</v>
      </c>
      <c r="DD193" s="438">
        <v>0</v>
      </c>
      <c r="DE193" s="438">
        <v>254994</v>
      </c>
      <c r="DF193" s="438">
        <v>257691</v>
      </c>
      <c r="DG193" s="438">
        <v>194.83</v>
      </c>
      <c r="DH193" s="438">
        <v>0</v>
      </c>
      <c r="DI193" s="438">
        <v>2697</v>
      </c>
      <c r="DK193" s="437">
        <v>5392</v>
      </c>
      <c r="DL193" s="438">
        <v>0</v>
      </c>
      <c r="DM193" s="438">
        <v>5564</v>
      </c>
      <c r="DN193" s="438">
        <v>0</v>
      </c>
      <c r="DO193" s="438">
        <v>0</v>
      </c>
      <c r="DP193" s="438">
        <v>0</v>
      </c>
      <c r="DQ193" s="438">
        <v>0</v>
      </c>
      <c r="DR193" s="438">
        <v>0</v>
      </c>
      <c r="DS193" s="438">
        <v>0</v>
      </c>
      <c r="DT193" s="438">
        <v>0</v>
      </c>
      <c r="DU193" s="438">
        <v>0</v>
      </c>
      <c r="DV193" s="438">
        <v>0</v>
      </c>
      <c r="DW193" s="438">
        <v>0</v>
      </c>
      <c r="DX193" s="438">
        <v>0</v>
      </c>
      <c r="DY193" s="438">
        <v>0</v>
      </c>
      <c r="DZ193" s="438">
        <v>0</v>
      </c>
      <c r="EA193" s="438">
        <v>0</v>
      </c>
      <c r="EB193" s="438">
        <v>0</v>
      </c>
      <c r="EC193" s="438">
        <v>0.77300000000000002</v>
      </c>
      <c r="ED193" s="438">
        <v>5564</v>
      </c>
      <c r="EE193" s="438">
        <v>0</v>
      </c>
      <c r="EF193" s="438">
        <v>0</v>
      </c>
      <c r="EG193" s="438">
        <v>0</v>
      </c>
      <c r="EH193" s="438">
        <v>0</v>
      </c>
      <c r="EI193" s="438">
        <v>0</v>
      </c>
      <c r="EJ193" s="438">
        <v>0</v>
      </c>
      <c r="EK193" s="438">
        <v>0</v>
      </c>
      <c r="EL193" s="438">
        <v>0</v>
      </c>
      <c r="EM193" s="438">
        <v>0</v>
      </c>
      <c r="EN193" s="438">
        <v>0</v>
      </c>
      <c r="EO193" s="438">
        <v>0</v>
      </c>
      <c r="EP193" s="438">
        <v>0</v>
      </c>
      <c r="EQ193" s="438">
        <v>0</v>
      </c>
      <c r="ER193" s="438">
        <v>0</v>
      </c>
      <c r="ES193" s="438">
        <v>0</v>
      </c>
      <c r="ET193" s="438">
        <v>0</v>
      </c>
      <c r="EU193" s="438">
        <v>80590</v>
      </c>
      <c r="EV193" s="438">
        <v>0</v>
      </c>
      <c r="EW193" s="438">
        <v>0</v>
      </c>
      <c r="EX193" s="438">
        <v>0</v>
      </c>
      <c r="EZ193" s="438">
        <v>1631162</v>
      </c>
      <c r="FA193" s="438">
        <v>0</v>
      </c>
      <c r="FB193" s="438">
        <v>1711752</v>
      </c>
      <c r="FC193" s="438">
        <v>0.97334900000000002</v>
      </c>
      <c r="FD193" s="438">
        <v>0</v>
      </c>
      <c r="FE193" s="438">
        <v>235571</v>
      </c>
      <c r="FF193" s="438">
        <v>53692</v>
      </c>
      <c r="FG193" s="437">
        <v>5.7854999999999997E-2</v>
      </c>
      <c r="FH193" s="437">
        <v>5.2366000000000003E-2</v>
      </c>
      <c r="FI193" s="438">
        <v>0</v>
      </c>
      <c r="FJ193" s="438">
        <v>0</v>
      </c>
      <c r="FK193" s="438">
        <v>320.91399999999999</v>
      </c>
      <c r="FL193" s="438">
        <v>2001015</v>
      </c>
      <c r="FM193" s="438">
        <v>0</v>
      </c>
      <c r="FN193" s="438">
        <v>0</v>
      </c>
      <c r="FO193" s="438">
        <v>1567</v>
      </c>
      <c r="FP193" s="438">
        <v>0</v>
      </c>
      <c r="FQ193" s="438">
        <v>1567</v>
      </c>
      <c r="FR193" s="438">
        <v>1567</v>
      </c>
      <c r="FS193" s="438">
        <v>0</v>
      </c>
      <c r="FT193" s="438">
        <v>0</v>
      </c>
      <c r="FU193" s="438">
        <v>0</v>
      </c>
      <c r="FV193" s="438">
        <v>0</v>
      </c>
      <c r="FW193" s="438">
        <v>0</v>
      </c>
      <c r="FX193" s="438">
        <v>0</v>
      </c>
      <c r="FY193" s="438">
        <v>0</v>
      </c>
      <c r="FZ193" s="438">
        <v>0</v>
      </c>
      <c r="GA193" s="438">
        <v>0</v>
      </c>
      <c r="GB193" s="438">
        <v>93645</v>
      </c>
      <c r="GC193" s="438">
        <v>93645</v>
      </c>
      <c r="GD193" s="438">
        <v>10.6</v>
      </c>
      <c r="GF193" s="438">
        <v>0</v>
      </c>
      <c r="GG193" s="438">
        <v>0</v>
      </c>
      <c r="GH193" s="438">
        <v>0</v>
      </c>
      <c r="GI193" s="438">
        <v>0</v>
      </c>
      <c r="GJ193" s="438">
        <v>0</v>
      </c>
      <c r="GK193" s="438">
        <v>4604.6369999999997</v>
      </c>
      <c r="GL193" s="438">
        <v>0</v>
      </c>
      <c r="GM193" s="438">
        <v>0</v>
      </c>
      <c r="GN193" s="438">
        <v>0</v>
      </c>
      <c r="GO193" s="438">
        <v>0</v>
      </c>
      <c r="GP193" s="438">
        <v>2001015</v>
      </c>
      <c r="GQ193" s="438">
        <v>2001015</v>
      </c>
      <c r="GR193" s="438">
        <v>0</v>
      </c>
      <c r="GS193" s="438">
        <v>0</v>
      </c>
      <c r="GT193" s="438">
        <v>0</v>
      </c>
      <c r="HB193" s="438">
        <v>0</v>
      </c>
      <c r="HC193" s="437">
        <v>0</v>
      </c>
      <c r="HD193" s="438">
        <v>0</v>
      </c>
    </row>
    <row r="194" spans="1:212" x14ac:dyDescent="0.2">
      <c r="A194" s="438">
        <v>25836</v>
      </c>
      <c r="B194" s="442">
        <v>227828</v>
      </c>
      <c r="C194" s="438">
        <v>9</v>
      </c>
      <c r="D194" s="438">
        <v>2020</v>
      </c>
      <c r="E194" s="438">
        <v>5392</v>
      </c>
      <c r="F194" s="438">
        <v>0</v>
      </c>
      <c r="G194" s="438">
        <v>54.527999999999999</v>
      </c>
      <c r="H194" s="438">
        <v>54.04</v>
      </c>
      <c r="I194" s="438">
        <v>54.04</v>
      </c>
      <c r="J194" s="438">
        <v>54.527999999999999</v>
      </c>
      <c r="K194" s="438">
        <v>0</v>
      </c>
      <c r="L194" s="437">
        <v>6544</v>
      </c>
      <c r="M194" s="438">
        <v>0</v>
      </c>
      <c r="N194" s="438">
        <v>0</v>
      </c>
      <c r="P194" s="438">
        <v>56.328000000000003</v>
      </c>
      <c r="Q194" s="438">
        <v>0</v>
      </c>
      <c r="R194" s="438">
        <v>13946</v>
      </c>
      <c r="S194" s="437">
        <v>247.58699999999999</v>
      </c>
      <c r="U194" s="438">
        <v>0</v>
      </c>
      <c r="V194" s="438">
        <v>13.858000000000001</v>
      </c>
      <c r="W194" s="438">
        <v>9069</v>
      </c>
      <c r="X194" s="438">
        <v>9069</v>
      </c>
      <c r="Z194" s="438">
        <v>0</v>
      </c>
      <c r="AA194" s="438">
        <v>1</v>
      </c>
      <c r="AB194" s="438">
        <v>1</v>
      </c>
      <c r="AC194" s="438">
        <v>0</v>
      </c>
      <c r="AD194" s="438" t="s">
        <v>332</v>
      </c>
      <c r="AE194" s="438">
        <v>0</v>
      </c>
      <c r="AH194" s="438">
        <v>0</v>
      </c>
      <c r="AI194" s="438">
        <v>0</v>
      </c>
      <c r="AJ194" s="437">
        <v>5105</v>
      </c>
      <c r="AK194" s="438" t="s">
        <v>561</v>
      </c>
      <c r="AL194" s="438" t="s">
        <v>393</v>
      </c>
      <c r="AM194" s="438">
        <v>0</v>
      </c>
      <c r="AN194" s="438">
        <v>0</v>
      </c>
      <c r="AO194" s="438">
        <v>0</v>
      </c>
      <c r="AP194" s="438">
        <v>0</v>
      </c>
      <c r="AQ194" s="438">
        <v>0</v>
      </c>
      <c r="AR194" s="438">
        <v>0</v>
      </c>
      <c r="AS194" s="438">
        <v>0</v>
      </c>
      <c r="AT194" s="438">
        <v>0</v>
      </c>
      <c r="AU194" s="438">
        <v>0</v>
      </c>
      <c r="AV194" s="438">
        <v>0</v>
      </c>
      <c r="AW194" s="438">
        <v>935584</v>
      </c>
      <c r="AX194" s="438">
        <v>920589</v>
      </c>
      <c r="AY194" s="438">
        <v>0</v>
      </c>
      <c r="AZ194" s="438">
        <v>28941</v>
      </c>
      <c r="BA194" s="438">
        <v>0</v>
      </c>
      <c r="BB194" s="438">
        <v>0</v>
      </c>
      <c r="BC194" s="438">
        <v>0</v>
      </c>
      <c r="BD194" s="438">
        <v>0</v>
      </c>
      <c r="BE194" s="438">
        <v>0</v>
      </c>
      <c r="BF194" s="438">
        <v>771208</v>
      </c>
      <c r="BG194" s="438">
        <v>0</v>
      </c>
      <c r="BH194" s="438">
        <v>162</v>
      </c>
      <c r="BI194" s="438">
        <v>14995</v>
      </c>
      <c r="BJ194" s="438">
        <v>12</v>
      </c>
      <c r="BK194" s="438">
        <v>0</v>
      </c>
      <c r="BL194" s="438">
        <v>0</v>
      </c>
      <c r="BM194" s="438">
        <v>0</v>
      </c>
      <c r="BN194" s="438">
        <v>0</v>
      </c>
      <c r="BO194" s="438">
        <v>0</v>
      </c>
      <c r="BP194" s="438">
        <v>0</v>
      </c>
      <c r="BQ194" s="437">
        <v>5392</v>
      </c>
      <c r="BR194" s="438">
        <v>1</v>
      </c>
      <c r="BS194" s="438">
        <v>0</v>
      </c>
      <c r="BT194" s="438">
        <v>0</v>
      </c>
      <c r="BU194" s="438">
        <v>0</v>
      </c>
      <c r="BV194" s="438">
        <v>0</v>
      </c>
      <c r="BW194" s="438">
        <v>0</v>
      </c>
      <c r="BX194" s="438">
        <v>0</v>
      </c>
      <c r="BY194" s="438">
        <v>0</v>
      </c>
      <c r="BZ194" s="438">
        <v>0</v>
      </c>
      <c r="CA194" s="438">
        <v>0</v>
      </c>
      <c r="CB194" s="438">
        <v>0</v>
      </c>
      <c r="CC194" s="438">
        <v>0</v>
      </c>
      <c r="CG194" s="438">
        <v>0</v>
      </c>
      <c r="CH194" s="438">
        <v>0</v>
      </c>
      <c r="CI194" s="438">
        <v>0</v>
      </c>
      <c r="CJ194" s="438">
        <v>4</v>
      </c>
      <c r="CK194" s="438">
        <v>0</v>
      </c>
      <c r="CL194" s="438">
        <v>0</v>
      </c>
      <c r="CN194" s="438">
        <v>0</v>
      </c>
      <c r="CO194" s="438">
        <v>1</v>
      </c>
      <c r="CP194" s="438">
        <v>0.11899999999999999</v>
      </c>
      <c r="CQ194" s="438">
        <v>0</v>
      </c>
      <c r="CR194" s="438">
        <v>54.527999999999999</v>
      </c>
      <c r="CS194" s="438">
        <v>0</v>
      </c>
      <c r="CT194" s="438">
        <v>0</v>
      </c>
      <c r="CU194" s="438">
        <v>0</v>
      </c>
      <c r="CV194" s="438">
        <v>0</v>
      </c>
      <c r="CW194" s="438">
        <v>0</v>
      </c>
      <c r="CX194" s="438">
        <v>0</v>
      </c>
      <c r="CY194" s="438">
        <v>0</v>
      </c>
      <c r="CZ194" s="438">
        <v>0</v>
      </c>
      <c r="DA194" s="438">
        <v>1</v>
      </c>
      <c r="DB194" s="438">
        <v>353638</v>
      </c>
      <c r="DC194" s="438">
        <v>0</v>
      </c>
      <c r="DD194" s="438">
        <v>0</v>
      </c>
      <c r="DE194" s="438">
        <v>391986</v>
      </c>
      <c r="DF194" s="438">
        <v>393863</v>
      </c>
      <c r="DG194" s="438">
        <v>299.5</v>
      </c>
      <c r="DH194" s="438">
        <v>0</v>
      </c>
      <c r="DI194" s="438">
        <v>1877</v>
      </c>
      <c r="DK194" s="437">
        <v>5392</v>
      </c>
      <c r="DL194" s="438">
        <v>0</v>
      </c>
      <c r="DM194" s="438">
        <v>31443</v>
      </c>
      <c r="DN194" s="438">
        <v>0</v>
      </c>
      <c r="DO194" s="438">
        <v>0</v>
      </c>
      <c r="DP194" s="438">
        <v>0</v>
      </c>
      <c r="DQ194" s="438">
        <v>0</v>
      </c>
      <c r="DR194" s="438">
        <v>0</v>
      </c>
      <c r="DS194" s="438">
        <v>0</v>
      </c>
      <c r="DT194" s="438">
        <v>0</v>
      </c>
      <c r="DU194" s="438">
        <v>0</v>
      </c>
      <c r="DV194" s="438">
        <v>0</v>
      </c>
      <c r="DW194" s="438">
        <v>0</v>
      </c>
      <c r="DX194" s="438">
        <v>0</v>
      </c>
      <c r="DY194" s="438">
        <v>0</v>
      </c>
      <c r="DZ194" s="438">
        <v>0</v>
      </c>
      <c r="EA194" s="438">
        <v>0</v>
      </c>
      <c r="EB194" s="438">
        <v>0</v>
      </c>
      <c r="EC194" s="438">
        <v>4.3680000000000003</v>
      </c>
      <c r="ED194" s="438">
        <v>31443</v>
      </c>
      <c r="EE194" s="438">
        <v>0</v>
      </c>
      <c r="EF194" s="438">
        <v>0</v>
      </c>
      <c r="EG194" s="438">
        <v>0</v>
      </c>
      <c r="EH194" s="438">
        <v>0</v>
      </c>
      <c r="EI194" s="438">
        <v>0</v>
      </c>
      <c r="EJ194" s="438">
        <v>0</v>
      </c>
      <c r="EK194" s="438">
        <v>0</v>
      </c>
      <c r="EL194" s="438">
        <v>0</v>
      </c>
      <c r="EM194" s="438">
        <v>0</v>
      </c>
      <c r="EN194" s="438">
        <v>0</v>
      </c>
      <c r="EO194" s="438">
        <v>0</v>
      </c>
      <c r="EP194" s="438">
        <v>0</v>
      </c>
      <c r="EQ194" s="438">
        <v>0</v>
      </c>
      <c r="ER194" s="438">
        <v>0</v>
      </c>
      <c r="ES194" s="438">
        <v>0</v>
      </c>
      <c r="ET194" s="438">
        <v>0</v>
      </c>
      <c r="EU194" s="438">
        <v>28941</v>
      </c>
      <c r="EV194" s="438">
        <v>0</v>
      </c>
      <c r="EW194" s="438">
        <v>0</v>
      </c>
      <c r="EX194" s="438">
        <v>0</v>
      </c>
      <c r="EZ194" s="438">
        <v>784409</v>
      </c>
      <c r="FA194" s="438">
        <v>0</v>
      </c>
      <c r="FB194" s="438">
        <v>813350</v>
      </c>
      <c r="FC194" s="438">
        <v>0.97334900000000002</v>
      </c>
      <c r="FD194" s="438">
        <v>0</v>
      </c>
      <c r="FE194" s="438">
        <v>110903</v>
      </c>
      <c r="FF194" s="438">
        <v>25277</v>
      </c>
      <c r="FG194" s="437">
        <v>5.7854999999999997E-2</v>
      </c>
      <c r="FH194" s="437">
        <v>5.2366000000000003E-2</v>
      </c>
      <c r="FI194" s="438">
        <v>0</v>
      </c>
      <c r="FJ194" s="438">
        <v>0</v>
      </c>
      <c r="FK194" s="438">
        <v>151.08099999999999</v>
      </c>
      <c r="FL194" s="438">
        <v>949530</v>
      </c>
      <c r="FM194" s="438">
        <v>0</v>
      </c>
      <c r="FN194" s="438">
        <v>0</v>
      </c>
      <c r="FO194" s="438">
        <v>6031</v>
      </c>
      <c r="FP194" s="438">
        <v>0</v>
      </c>
      <c r="FQ194" s="438">
        <v>6031</v>
      </c>
      <c r="FR194" s="438">
        <v>6031</v>
      </c>
      <c r="FS194" s="438">
        <v>0</v>
      </c>
      <c r="FT194" s="438">
        <v>0</v>
      </c>
      <c r="FU194" s="438">
        <v>0</v>
      </c>
      <c r="FV194" s="438">
        <v>0</v>
      </c>
      <c r="FW194" s="438">
        <v>0</v>
      </c>
      <c r="FX194" s="438">
        <v>0</v>
      </c>
      <c r="FY194" s="438">
        <v>0</v>
      </c>
      <c r="FZ194" s="438">
        <v>0</v>
      </c>
      <c r="GA194" s="438">
        <v>0</v>
      </c>
      <c r="GB194" s="438">
        <v>4311</v>
      </c>
      <c r="GC194" s="438">
        <v>4311</v>
      </c>
      <c r="GD194" s="438">
        <v>0.48799999999999999</v>
      </c>
      <c r="GF194" s="438">
        <v>0</v>
      </c>
      <c r="GG194" s="438">
        <v>0</v>
      </c>
      <c r="GH194" s="438">
        <v>0</v>
      </c>
      <c r="GI194" s="438">
        <v>0</v>
      </c>
      <c r="GJ194" s="438">
        <v>0</v>
      </c>
      <c r="GK194" s="438">
        <v>4604.6369999999997</v>
      </c>
      <c r="GL194" s="438">
        <v>0</v>
      </c>
      <c r="GM194" s="438">
        <v>0</v>
      </c>
      <c r="GN194" s="438">
        <v>0</v>
      </c>
      <c r="GO194" s="438">
        <v>0</v>
      </c>
      <c r="GP194" s="438">
        <v>949530</v>
      </c>
      <c r="GQ194" s="438">
        <v>949530</v>
      </c>
      <c r="GR194" s="438">
        <v>0</v>
      </c>
      <c r="GS194" s="438">
        <v>0</v>
      </c>
      <c r="GT194" s="438">
        <v>0</v>
      </c>
      <c r="HB194" s="438">
        <v>0</v>
      </c>
      <c r="HC194" s="437">
        <v>0</v>
      </c>
      <c r="HD194" s="438">
        <v>0</v>
      </c>
    </row>
    <row r="195" spans="1:212" x14ac:dyDescent="0.2">
      <c r="A195" s="438">
        <v>25836</v>
      </c>
      <c r="B195" s="442">
        <v>227829</v>
      </c>
      <c r="C195" s="438">
        <v>9</v>
      </c>
      <c r="D195" s="438">
        <v>2020</v>
      </c>
      <c r="E195" s="438">
        <v>5392</v>
      </c>
      <c r="F195" s="438">
        <v>0</v>
      </c>
      <c r="G195" s="438">
        <v>443.61</v>
      </c>
      <c r="H195" s="438">
        <v>436.99299999999999</v>
      </c>
      <c r="I195" s="438">
        <v>436.99299999999999</v>
      </c>
      <c r="J195" s="438">
        <v>443.61</v>
      </c>
      <c r="K195" s="438">
        <v>0</v>
      </c>
      <c r="L195" s="437">
        <v>6544</v>
      </c>
      <c r="M195" s="438">
        <v>0</v>
      </c>
      <c r="N195" s="438">
        <v>0</v>
      </c>
      <c r="P195" s="438">
        <v>443.47800000000001</v>
      </c>
      <c r="Q195" s="438">
        <v>0</v>
      </c>
      <c r="R195" s="438">
        <v>109799</v>
      </c>
      <c r="S195" s="437">
        <v>247.58699999999999</v>
      </c>
      <c r="U195" s="438">
        <v>0</v>
      </c>
      <c r="V195" s="438">
        <v>6.5179999999999998</v>
      </c>
      <c r="W195" s="438">
        <v>4265</v>
      </c>
      <c r="X195" s="438">
        <v>4265</v>
      </c>
      <c r="Z195" s="438">
        <v>0</v>
      </c>
      <c r="AA195" s="438">
        <v>1</v>
      </c>
      <c r="AB195" s="438">
        <v>1</v>
      </c>
      <c r="AC195" s="438">
        <v>0</v>
      </c>
      <c r="AD195" s="438" t="s">
        <v>332</v>
      </c>
      <c r="AE195" s="438">
        <v>0</v>
      </c>
      <c r="AH195" s="438">
        <v>0</v>
      </c>
      <c r="AI195" s="438">
        <v>0</v>
      </c>
      <c r="AJ195" s="437">
        <v>5105</v>
      </c>
      <c r="AK195" s="438" t="s">
        <v>561</v>
      </c>
      <c r="AL195" s="438" t="s">
        <v>555</v>
      </c>
      <c r="AM195" s="438">
        <v>0</v>
      </c>
      <c r="AN195" s="438">
        <v>0</v>
      </c>
      <c r="AO195" s="438">
        <v>0</v>
      </c>
      <c r="AP195" s="438">
        <v>0</v>
      </c>
      <c r="AQ195" s="438">
        <v>0</v>
      </c>
      <c r="AR195" s="438">
        <v>0</v>
      </c>
      <c r="AS195" s="438">
        <v>0</v>
      </c>
      <c r="AT195" s="438">
        <v>0</v>
      </c>
      <c r="AU195" s="438">
        <v>0</v>
      </c>
      <c r="AV195" s="438">
        <v>0</v>
      </c>
      <c r="AW195" s="438">
        <v>3442382</v>
      </c>
      <c r="AX195" s="438">
        <v>3442382</v>
      </c>
      <c r="AY195" s="438">
        <v>0</v>
      </c>
      <c r="AZ195" s="438">
        <v>109799</v>
      </c>
      <c r="BA195" s="438">
        <v>0</v>
      </c>
      <c r="BB195" s="438">
        <v>0</v>
      </c>
      <c r="BC195" s="438">
        <v>0</v>
      </c>
      <c r="BD195" s="438">
        <v>0</v>
      </c>
      <c r="BE195" s="438">
        <v>0</v>
      </c>
      <c r="BF195" s="438">
        <v>2950412</v>
      </c>
      <c r="BG195" s="438">
        <v>0</v>
      </c>
      <c r="BH195" s="438">
        <v>0</v>
      </c>
      <c r="BI195" s="438">
        <v>0</v>
      </c>
      <c r="BJ195" s="438">
        <v>12</v>
      </c>
      <c r="BK195" s="438">
        <v>0</v>
      </c>
      <c r="BL195" s="438">
        <v>0</v>
      </c>
      <c r="BM195" s="438">
        <v>0</v>
      </c>
      <c r="BN195" s="438">
        <v>0</v>
      </c>
      <c r="BO195" s="438">
        <v>0</v>
      </c>
      <c r="BP195" s="438">
        <v>0</v>
      </c>
      <c r="BQ195" s="437">
        <v>5392</v>
      </c>
      <c r="BR195" s="438">
        <v>1</v>
      </c>
      <c r="BS195" s="438">
        <v>0</v>
      </c>
      <c r="BT195" s="438">
        <v>0</v>
      </c>
      <c r="BU195" s="438">
        <v>0</v>
      </c>
      <c r="BV195" s="438">
        <v>0</v>
      </c>
      <c r="BW195" s="438">
        <v>0</v>
      </c>
      <c r="BX195" s="438">
        <v>0</v>
      </c>
      <c r="BY195" s="438">
        <v>0</v>
      </c>
      <c r="BZ195" s="438">
        <v>0</v>
      </c>
      <c r="CA195" s="438">
        <v>0</v>
      </c>
      <c r="CB195" s="438">
        <v>0</v>
      </c>
      <c r="CC195" s="438">
        <v>0</v>
      </c>
      <c r="CG195" s="438">
        <v>0</v>
      </c>
      <c r="CH195" s="438">
        <v>0</v>
      </c>
      <c r="CI195" s="438">
        <v>0</v>
      </c>
      <c r="CJ195" s="438">
        <v>4</v>
      </c>
      <c r="CK195" s="438">
        <v>0</v>
      </c>
      <c r="CL195" s="438">
        <v>0</v>
      </c>
      <c r="CN195" s="438">
        <v>0</v>
      </c>
      <c r="CO195" s="438">
        <v>1</v>
      </c>
      <c r="CP195" s="438">
        <v>0</v>
      </c>
      <c r="CQ195" s="438">
        <v>0</v>
      </c>
      <c r="CR195" s="438">
        <v>443.61</v>
      </c>
      <c r="CS195" s="438">
        <v>0</v>
      </c>
      <c r="CT195" s="438">
        <v>0</v>
      </c>
      <c r="CU195" s="438">
        <v>0</v>
      </c>
      <c r="CV195" s="438">
        <v>0</v>
      </c>
      <c r="CW195" s="438">
        <v>0</v>
      </c>
      <c r="CX195" s="438">
        <v>0</v>
      </c>
      <c r="CY195" s="438">
        <v>0</v>
      </c>
      <c r="CZ195" s="438">
        <v>0</v>
      </c>
      <c r="DA195" s="438">
        <v>1</v>
      </c>
      <c r="DB195" s="438">
        <v>2859682</v>
      </c>
      <c r="DC195" s="438">
        <v>0</v>
      </c>
      <c r="DD195" s="438">
        <v>0</v>
      </c>
      <c r="DE195" s="438">
        <v>0</v>
      </c>
      <c r="DF195" s="438">
        <v>0</v>
      </c>
      <c r="DG195" s="438">
        <v>0</v>
      </c>
      <c r="DH195" s="438">
        <v>0</v>
      </c>
      <c r="DI195" s="438">
        <v>0</v>
      </c>
      <c r="DK195" s="437">
        <v>5392</v>
      </c>
      <c r="DL195" s="438">
        <v>0</v>
      </c>
      <c r="DM195" s="438">
        <v>167248</v>
      </c>
      <c r="DN195" s="438">
        <v>0</v>
      </c>
      <c r="DO195" s="438">
        <v>0</v>
      </c>
      <c r="DP195" s="438">
        <v>0</v>
      </c>
      <c r="DQ195" s="438">
        <v>0</v>
      </c>
      <c r="DR195" s="438">
        <v>0</v>
      </c>
      <c r="DS195" s="438">
        <v>0</v>
      </c>
      <c r="DT195" s="438">
        <v>0</v>
      </c>
      <c r="DU195" s="438">
        <v>0</v>
      </c>
      <c r="DV195" s="438">
        <v>0</v>
      </c>
      <c r="DW195" s="438">
        <v>0</v>
      </c>
      <c r="DX195" s="438">
        <v>0</v>
      </c>
      <c r="DY195" s="438">
        <v>0</v>
      </c>
      <c r="DZ195" s="438">
        <v>0</v>
      </c>
      <c r="EA195" s="438">
        <v>0</v>
      </c>
      <c r="EB195" s="438">
        <v>0</v>
      </c>
      <c r="EC195" s="438">
        <v>4.3949999999999996</v>
      </c>
      <c r="ED195" s="438">
        <v>31637</v>
      </c>
      <c r="EE195" s="438">
        <v>0</v>
      </c>
      <c r="EF195" s="438">
        <v>0</v>
      </c>
      <c r="EG195" s="438">
        <v>0</v>
      </c>
      <c r="EH195" s="438">
        <v>135611</v>
      </c>
      <c r="EI195" s="438">
        <v>0</v>
      </c>
      <c r="EJ195" s="438">
        <v>0</v>
      </c>
      <c r="EK195" s="438">
        <v>6.1509999999999998</v>
      </c>
      <c r="EL195" s="438">
        <v>0</v>
      </c>
      <c r="EM195" s="438">
        <v>0.03</v>
      </c>
      <c r="EN195" s="438">
        <v>0.436</v>
      </c>
      <c r="EO195" s="438">
        <v>0</v>
      </c>
      <c r="EP195" s="438">
        <v>0</v>
      </c>
      <c r="EQ195" s="438">
        <v>6.617</v>
      </c>
      <c r="ER195" s="438">
        <v>0</v>
      </c>
      <c r="ES195" s="438">
        <v>20.722999999999999</v>
      </c>
      <c r="ET195" s="438">
        <v>0</v>
      </c>
      <c r="EU195" s="438">
        <v>109799</v>
      </c>
      <c r="EV195" s="438">
        <v>0</v>
      </c>
      <c r="EW195" s="438">
        <v>0</v>
      </c>
      <c r="EX195" s="438">
        <v>0</v>
      </c>
      <c r="EZ195" s="438">
        <v>2921396</v>
      </c>
      <c r="FA195" s="438">
        <v>0</v>
      </c>
      <c r="FB195" s="438">
        <v>3031195</v>
      </c>
      <c r="FC195" s="438">
        <v>0.97334900000000002</v>
      </c>
      <c r="FD195" s="438">
        <v>0</v>
      </c>
      <c r="FE195" s="438">
        <v>424283</v>
      </c>
      <c r="FF195" s="438">
        <v>96703</v>
      </c>
      <c r="FG195" s="437">
        <v>5.7854999999999997E-2</v>
      </c>
      <c r="FH195" s="437">
        <v>5.2366000000000003E-2</v>
      </c>
      <c r="FI195" s="438">
        <v>0</v>
      </c>
      <c r="FJ195" s="438">
        <v>0</v>
      </c>
      <c r="FK195" s="438">
        <v>577.99099999999999</v>
      </c>
      <c r="FL195" s="438">
        <v>3552181</v>
      </c>
      <c r="FM195" s="438">
        <v>0</v>
      </c>
      <c r="FN195" s="438">
        <v>0</v>
      </c>
      <c r="FO195" s="438">
        <v>0</v>
      </c>
      <c r="FP195" s="438">
        <v>0</v>
      </c>
      <c r="FQ195" s="438">
        <v>0</v>
      </c>
      <c r="FR195" s="438">
        <v>0</v>
      </c>
      <c r="FS195" s="438">
        <v>0</v>
      </c>
      <c r="FT195" s="438">
        <v>0</v>
      </c>
      <c r="FU195" s="438">
        <v>0</v>
      </c>
      <c r="FV195" s="438">
        <v>0</v>
      </c>
      <c r="FW195" s="438">
        <v>0</v>
      </c>
      <c r="FX195" s="438">
        <v>0</v>
      </c>
      <c r="FY195" s="438">
        <v>0</v>
      </c>
      <c r="FZ195" s="438">
        <v>0</v>
      </c>
      <c r="GA195" s="438">
        <v>0</v>
      </c>
      <c r="GB195" s="438">
        <v>0</v>
      </c>
      <c r="GC195" s="438">
        <v>0</v>
      </c>
      <c r="GD195" s="438">
        <v>0</v>
      </c>
      <c r="GF195" s="438">
        <v>0</v>
      </c>
      <c r="GG195" s="438">
        <v>0</v>
      </c>
      <c r="GH195" s="438">
        <v>0</v>
      </c>
      <c r="GI195" s="438">
        <v>0</v>
      </c>
      <c r="GJ195" s="438">
        <v>0</v>
      </c>
      <c r="GK195" s="438">
        <v>4604.6369999999997</v>
      </c>
      <c r="GL195" s="438">
        <v>0</v>
      </c>
      <c r="GM195" s="438">
        <v>0</v>
      </c>
      <c r="GN195" s="438">
        <v>0</v>
      </c>
      <c r="GO195" s="438">
        <v>0</v>
      </c>
      <c r="GP195" s="438">
        <v>3552181</v>
      </c>
      <c r="GQ195" s="438">
        <v>3552181</v>
      </c>
      <c r="GR195" s="438">
        <v>0</v>
      </c>
      <c r="GS195" s="438">
        <v>0</v>
      </c>
      <c r="GT195" s="438">
        <v>0</v>
      </c>
      <c r="HB195" s="438">
        <v>0</v>
      </c>
      <c r="HC195" s="437">
        <v>0</v>
      </c>
      <c r="HD195" s="438">
        <v>0</v>
      </c>
    </row>
    <row r="196" spans="1:212" x14ac:dyDescent="0.2">
      <c r="A196" s="438">
        <v>25836</v>
      </c>
      <c r="B196" s="442">
        <v>234801</v>
      </c>
      <c r="C196" s="438">
        <v>9</v>
      </c>
      <c r="D196" s="438">
        <v>2020</v>
      </c>
      <c r="E196" s="438">
        <v>5392</v>
      </c>
      <c r="F196" s="438">
        <v>0</v>
      </c>
      <c r="G196" s="438">
        <v>67.099999999999994</v>
      </c>
      <c r="H196" s="438">
        <v>63.768000000000001</v>
      </c>
      <c r="I196" s="438">
        <v>63.768000000000001</v>
      </c>
      <c r="J196" s="438">
        <v>67.099999999999994</v>
      </c>
      <c r="K196" s="438">
        <v>0</v>
      </c>
      <c r="L196" s="437">
        <v>6544</v>
      </c>
      <c r="M196" s="438">
        <v>0</v>
      </c>
      <c r="N196" s="438">
        <v>0</v>
      </c>
      <c r="P196" s="438">
        <v>74.183000000000007</v>
      </c>
      <c r="Q196" s="438">
        <v>0</v>
      </c>
      <c r="R196" s="438">
        <v>18367</v>
      </c>
      <c r="S196" s="437">
        <v>247.58699999999999</v>
      </c>
      <c r="U196" s="438">
        <v>0</v>
      </c>
      <c r="V196" s="438">
        <v>0</v>
      </c>
      <c r="W196" s="438">
        <v>0</v>
      </c>
      <c r="X196" s="438">
        <v>0</v>
      </c>
      <c r="Z196" s="438">
        <v>0</v>
      </c>
      <c r="AA196" s="438">
        <v>1</v>
      </c>
      <c r="AB196" s="438">
        <v>1</v>
      </c>
      <c r="AC196" s="438">
        <v>0</v>
      </c>
      <c r="AD196" s="438" t="s">
        <v>332</v>
      </c>
      <c r="AE196" s="438">
        <v>0</v>
      </c>
      <c r="AH196" s="438">
        <v>0</v>
      </c>
      <c r="AI196" s="438">
        <v>0</v>
      </c>
      <c r="AJ196" s="437">
        <v>5105</v>
      </c>
      <c r="AK196" s="438" t="s">
        <v>561</v>
      </c>
      <c r="AL196" s="438" t="s">
        <v>86</v>
      </c>
      <c r="AM196" s="438">
        <v>0</v>
      </c>
      <c r="AN196" s="438">
        <v>0</v>
      </c>
      <c r="AO196" s="438">
        <v>0</v>
      </c>
      <c r="AP196" s="438">
        <v>0</v>
      </c>
      <c r="AQ196" s="438">
        <v>0</v>
      </c>
      <c r="AR196" s="438">
        <v>0</v>
      </c>
      <c r="AS196" s="438">
        <v>0</v>
      </c>
      <c r="AT196" s="438">
        <v>0</v>
      </c>
      <c r="AU196" s="438">
        <v>0</v>
      </c>
      <c r="AV196" s="438">
        <v>0</v>
      </c>
      <c r="AW196" s="438">
        <v>781158</v>
      </c>
      <c r="AX196" s="438">
        <v>760205</v>
      </c>
      <c r="AY196" s="438">
        <v>0</v>
      </c>
      <c r="AZ196" s="438">
        <v>36820</v>
      </c>
      <c r="BA196" s="438">
        <v>5</v>
      </c>
      <c r="BB196" s="438">
        <v>0</v>
      </c>
      <c r="BC196" s="438">
        <v>0</v>
      </c>
      <c r="BD196" s="438">
        <v>0</v>
      </c>
      <c r="BE196" s="438">
        <v>0</v>
      </c>
      <c r="BF196" s="438">
        <v>646675</v>
      </c>
      <c r="BG196" s="438">
        <v>0</v>
      </c>
      <c r="BH196" s="438">
        <v>74.88</v>
      </c>
      <c r="BI196" s="438">
        <v>18453</v>
      </c>
      <c r="BJ196" s="438">
        <v>12</v>
      </c>
      <c r="BK196" s="438">
        <v>0</v>
      </c>
      <c r="BL196" s="438">
        <v>0</v>
      </c>
      <c r="BM196" s="438">
        <v>0</v>
      </c>
      <c r="BN196" s="438">
        <v>0</v>
      </c>
      <c r="BO196" s="438">
        <v>0</v>
      </c>
      <c r="BP196" s="438">
        <v>0</v>
      </c>
      <c r="BQ196" s="437">
        <v>5392</v>
      </c>
      <c r="BR196" s="438">
        <v>1</v>
      </c>
      <c r="BS196" s="438">
        <v>0</v>
      </c>
      <c r="BT196" s="438">
        <v>0</v>
      </c>
      <c r="BU196" s="438">
        <v>0</v>
      </c>
      <c r="BV196" s="438">
        <v>0</v>
      </c>
      <c r="BW196" s="438">
        <v>0</v>
      </c>
      <c r="BX196" s="438">
        <v>0</v>
      </c>
      <c r="BY196" s="438">
        <v>0</v>
      </c>
      <c r="BZ196" s="438">
        <v>0</v>
      </c>
      <c r="CA196" s="438">
        <v>0</v>
      </c>
      <c r="CB196" s="438">
        <v>0</v>
      </c>
      <c r="CC196" s="438">
        <v>0</v>
      </c>
      <c r="CG196" s="438">
        <v>0</v>
      </c>
      <c r="CH196" s="438">
        <v>2500</v>
      </c>
      <c r="CI196" s="438">
        <v>0</v>
      </c>
      <c r="CJ196" s="438">
        <v>4</v>
      </c>
      <c r="CK196" s="438">
        <v>0</v>
      </c>
      <c r="CL196" s="438">
        <v>0</v>
      </c>
      <c r="CN196" s="438">
        <v>0</v>
      </c>
      <c r="CO196" s="438">
        <v>1</v>
      </c>
      <c r="CP196" s="438">
        <v>0.69899999999999995</v>
      </c>
      <c r="CQ196" s="438">
        <v>0</v>
      </c>
      <c r="CR196" s="438">
        <v>67.099999999999994</v>
      </c>
      <c r="CS196" s="438">
        <v>0</v>
      </c>
      <c r="CT196" s="438">
        <v>0</v>
      </c>
      <c r="CU196" s="438">
        <v>0</v>
      </c>
      <c r="CV196" s="438">
        <v>0</v>
      </c>
      <c r="CW196" s="438">
        <v>0</v>
      </c>
      <c r="CX196" s="438">
        <v>0</v>
      </c>
      <c r="CY196" s="438">
        <v>0</v>
      </c>
      <c r="CZ196" s="438">
        <v>0</v>
      </c>
      <c r="DA196" s="438">
        <v>1</v>
      </c>
      <c r="DB196" s="438">
        <v>417298</v>
      </c>
      <c r="DC196" s="438">
        <v>0</v>
      </c>
      <c r="DD196" s="438">
        <v>5</v>
      </c>
      <c r="DE196" s="438">
        <v>128262</v>
      </c>
      <c r="DF196" s="438">
        <v>139286</v>
      </c>
      <c r="DG196" s="438">
        <v>98</v>
      </c>
      <c r="DH196" s="438">
        <v>0</v>
      </c>
      <c r="DI196" s="438">
        <v>11024</v>
      </c>
      <c r="DK196" s="437">
        <v>5392</v>
      </c>
      <c r="DL196" s="438">
        <v>0</v>
      </c>
      <c r="DM196" s="438">
        <v>107797</v>
      </c>
      <c r="DN196" s="438">
        <v>0</v>
      </c>
      <c r="DO196" s="438">
        <v>0</v>
      </c>
      <c r="DP196" s="438">
        <v>0</v>
      </c>
      <c r="DQ196" s="438">
        <v>0</v>
      </c>
      <c r="DR196" s="438">
        <v>0</v>
      </c>
      <c r="DS196" s="438">
        <v>0</v>
      </c>
      <c r="DT196" s="438">
        <v>0</v>
      </c>
      <c r="DU196" s="438">
        <v>0</v>
      </c>
      <c r="DV196" s="438">
        <v>0</v>
      </c>
      <c r="DW196" s="438">
        <v>0</v>
      </c>
      <c r="DX196" s="438">
        <v>0</v>
      </c>
      <c r="DY196" s="438">
        <v>0</v>
      </c>
      <c r="DZ196" s="438">
        <v>0</v>
      </c>
      <c r="EA196" s="438">
        <v>3.7999999999999999E-2</v>
      </c>
      <c r="EB196" s="438">
        <v>0</v>
      </c>
      <c r="EC196" s="438">
        <v>4.5670000000000002</v>
      </c>
      <c r="ED196" s="438">
        <v>32875</v>
      </c>
      <c r="EE196" s="438">
        <v>0</v>
      </c>
      <c r="EF196" s="438">
        <v>0</v>
      </c>
      <c r="EG196" s="438">
        <v>0</v>
      </c>
      <c r="EH196" s="438">
        <v>38878</v>
      </c>
      <c r="EI196" s="438">
        <v>36044</v>
      </c>
      <c r="EJ196" s="438">
        <v>1.377</v>
      </c>
      <c r="EK196" s="438">
        <v>1.917</v>
      </c>
      <c r="EL196" s="438">
        <v>0</v>
      </c>
      <c r="EM196" s="438">
        <v>0</v>
      </c>
      <c r="EN196" s="438">
        <v>0</v>
      </c>
      <c r="EO196" s="438">
        <v>0</v>
      </c>
      <c r="EP196" s="438">
        <v>0</v>
      </c>
      <c r="EQ196" s="438">
        <v>3.3319999999999999</v>
      </c>
      <c r="ER196" s="438">
        <v>0</v>
      </c>
      <c r="ES196" s="438">
        <v>5.9409999999999998</v>
      </c>
      <c r="ET196" s="438">
        <v>2500</v>
      </c>
      <c r="EU196" s="438">
        <v>36820</v>
      </c>
      <c r="EV196" s="438">
        <v>0</v>
      </c>
      <c r="EW196" s="438">
        <v>0</v>
      </c>
      <c r="EX196" s="438">
        <v>0</v>
      </c>
      <c r="EZ196" s="438">
        <v>646014</v>
      </c>
      <c r="FA196" s="438">
        <v>0</v>
      </c>
      <c r="FB196" s="438">
        <v>682834</v>
      </c>
      <c r="FC196" s="438">
        <v>0.97334900000000002</v>
      </c>
      <c r="FD196" s="438">
        <v>0</v>
      </c>
      <c r="FE196" s="438">
        <v>92995</v>
      </c>
      <c r="FF196" s="438">
        <v>21196</v>
      </c>
      <c r="FG196" s="437">
        <v>5.7854999999999997E-2</v>
      </c>
      <c r="FH196" s="437">
        <v>5.2366000000000003E-2</v>
      </c>
      <c r="FI196" s="438">
        <v>0</v>
      </c>
      <c r="FJ196" s="438">
        <v>0</v>
      </c>
      <c r="FK196" s="438">
        <v>126.685</v>
      </c>
      <c r="FL196" s="438">
        <v>799525</v>
      </c>
      <c r="FM196" s="438">
        <v>0</v>
      </c>
      <c r="FN196" s="438">
        <v>0</v>
      </c>
      <c r="FO196" s="438">
        <v>0</v>
      </c>
      <c r="FP196" s="438">
        <v>0</v>
      </c>
      <c r="FQ196" s="438">
        <v>0</v>
      </c>
      <c r="FR196" s="438">
        <v>0</v>
      </c>
      <c r="FS196" s="438">
        <v>0</v>
      </c>
      <c r="FT196" s="438">
        <v>0</v>
      </c>
      <c r="FU196" s="438">
        <v>0</v>
      </c>
      <c r="FV196" s="438">
        <v>0</v>
      </c>
      <c r="FW196" s="438">
        <v>0</v>
      </c>
      <c r="FX196" s="438">
        <v>0</v>
      </c>
      <c r="FY196" s="438">
        <v>0</v>
      </c>
      <c r="FZ196" s="438">
        <v>0</v>
      </c>
      <c r="GA196" s="438">
        <v>0</v>
      </c>
      <c r="GB196" s="438">
        <v>0</v>
      </c>
      <c r="GC196" s="438">
        <v>0</v>
      </c>
      <c r="GD196" s="438">
        <v>0</v>
      </c>
      <c r="GF196" s="438">
        <v>0</v>
      </c>
      <c r="GG196" s="438">
        <v>0</v>
      </c>
      <c r="GH196" s="438">
        <v>0</v>
      </c>
      <c r="GI196" s="438">
        <v>0</v>
      </c>
      <c r="GJ196" s="438">
        <v>0</v>
      </c>
      <c r="GK196" s="438">
        <v>4666.6989999999996</v>
      </c>
      <c r="GL196" s="438">
        <v>4897</v>
      </c>
      <c r="GM196" s="438">
        <v>0</v>
      </c>
      <c r="GN196" s="438">
        <v>0</v>
      </c>
      <c r="GO196" s="438">
        <v>0</v>
      </c>
      <c r="GP196" s="438">
        <v>797025</v>
      </c>
      <c r="GQ196" s="438">
        <v>797025</v>
      </c>
      <c r="GR196" s="438">
        <v>0</v>
      </c>
      <c r="GS196" s="438">
        <v>0</v>
      </c>
      <c r="GT196" s="438">
        <v>0</v>
      </c>
      <c r="HB196" s="438">
        <v>0</v>
      </c>
      <c r="HC196" s="437">
        <v>6.0754000000000002E-2</v>
      </c>
      <c r="HD196" s="438">
        <v>0</v>
      </c>
    </row>
    <row r="197" spans="1:212" x14ac:dyDescent="0.2">
      <c r="A197" s="438">
        <v>25836</v>
      </c>
      <c r="B197" s="442">
        <v>236801</v>
      </c>
      <c r="C197" s="438">
        <v>9</v>
      </c>
      <c r="D197" s="438">
        <v>2020</v>
      </c>
      <c r="E197" s="438">
        <v>5392</v>
      </c>
      <c r="F197" s="438">
        <v>0</v>
      </c>
      <c r="G197" s="438">
        <v>117.18300000000001</v>
      </c>
      <c r="H197" s="438">
        <v>5.3090000000000002</v>
      </c>
      <c r="I197" s="438">
        <v>5.3090000000000002</v>
      </c>
      <c r="J197" s="438">
        <v>117.18300000000001</v>
      </c>
      <c r="K197" s="438">
        <v>0</v>
      </c>
      <c r="L197" s="437">
        <v>6544</v>
      </c>
      <c r="M197" s="438">
        <v>0</v>
      </c>
      <c r="N197" s="438">
        <v>0</v>
      </c>
      <c r="P197" s="438">
        <v>114.11799999999999</v>
      </c>
      <c r="Q197" s="438">
        <v>0</v>
      </c>
      <c r="R197" s="438">
        <v>28254</v>
      </c>
      <c r="S197" s="437">
        <v>247.58699999999999</v>
      </c>
      <c r="U197" s="438">
        <v>0</v>
      </c>
      <c r="V197" s="438">
        <v>7.3849999999999998</v>
      </c>
      <c r="W197" s="438">
        <v>4833</v>
      </c>
      <c r="X197" s="438">
        <v>4833</v>
      </c>
      <c r="Z197" s="438">
        <v>0</v>
      </c>
      <c r="AA197" s="438">
        <v>1</v>
      </c>
      <c r="AB197" s="438">
        <v>1</v>
      </c>
      <c r="AC197" s="438">
        <v>0</v>
      </c>
      <c r="AD197" s="438" t="s">
        <v>332</v>
      </c>
      <c r="AE197" s="438">
        <v>0</v>
      </c>
      <c r="AH197" s="438">
        <v>0</v>
      </c>
      <c r="AI197" s="438">
        <v>0</v>
      </c>
      <c r="AJ197" s="437">
        <v>5105</v>
      </c>
      <c r="AK197" s="438" t="s">
        <v>561</v>
      </c>
      <c r="AL197" s="438" t="s">
        <v>87</v>
      </c>
      <c r="AM197" s="438">
        <v>0</v>
      </c>
      <c r="AN197" s="438">
        <v>0</v>
      </c>
      <c r="AO197" s="438">
        <v>0</v>
      </c>
      <c r="AP197" s="438">
        <v>0</v>
      </c>
      <c r="AQ197" s="438">
        <v>0</v>
      </c>
      <c r="AR197" s="438">
        <v>0</v>
      </c>
      <c r="AS197" s="438">
        <v>0</v>
      </c>
      <c r="AT197" s="438">
        <v>0</v>
      </c>
      <c r="AU197" s="438">
        <v>0</v>
      </c>
      <c r="AV197" s="438">
        <v>0</v>
      </c>
      <c r="AW197" s="438">
        <v>1876602</v>
      </c>
      <c r="AX197" s="438">
        <v>1798671</v>
      </c>
      <c r="AY197" s="438">
        <v>0</v>
      </c>
      <c r="AZ197" s="438">
        <v>59601</v>
      </c>
      <c r="BA197" s="438">
        <v>91.167000000000002</v>
      </c>
      <c r="BB197" s="438">
        <v>0</v>
      </c>
      <c r="BC197" s="438">
        <v>0</v>
      </c>
      <c r="BD197" s="438">
        <v>0</v>
      </c>
      <c r="BE197" s="438">
        <v>0</v>
      </c>
      <c r="BF197" s="438">
        <v>1517428</v>
      </c>
      <c r="BG197" s="438">
        <v>0</v>
      </c>
      <c r="BH197" s="438">
        <v>113.989</v>
      </c>
      <c r="BI197" s="438">
        <v>31347</v>
      </c>
      <c r="BJ197" s="438">
        <v>12</v>
      </c>
      <c r="BK197" s="438">
        <v>0</v>
      </c>
      <c r="BL197" s="438">
        <v>0</v>
      </c>
      <c r="BM197" s="438">
        <v>0</v>
      </c>
      <c r="BN197" s="438">
        <v>0</v>
      </c>
      <c r="BO197" s="438">
        <v>0</v>
      </c>
      <c r="BP197" s="438">
        <v>0</v>
      </c>
      <c r="BQ197" s="437">
        <v>5392</v>
      </c>
      <c r="BR197" s="438">
        <v>1</v>
      </c>
      <c r="BS197" s="438">
        <v>0</v>
      </c>
      <c r="BT197" s="438">
        <v>0</v>
      </c>
      <c r="BU197" s="438">
        <v>0</v>
      </c>
      <c r="BV197" s="438">
        <v>0</v>
      </c>
      <c r="BW197" s="438">
        <v>0</v>
      </c>
      <c r="BX197" s="438">
        <v>0</v>
      </c>
      <c r="BY197" s="438">
        <v>0</v>
      </c>
      <c r="BZ197" s="438">
        <v>0</v>
      </c>
      <c r="CA197" s="438">
        <v>0</v>
      </c>
      <c r="CB197" s="438">
        <v>0</v>
      </c>
      <c r="CC197" s="438">
        <v>0</v>
      </c>
      <c r="CG197" s="438">
        <v>0</v>
      </c>
      <c r="CH197" s="438">
        <v>46584</v>
      </c>
      <c r="CI197" s="438">
        <v>0</v>
      </c>
      <c r="CJ197" s="438">
        <v>4</v>
      </c>
      <c r="CK197" s="438">
        <v>0</v>
      </c>
      <c r="CL197" s="438">
        <v>0</v>
      </c>
      <c r="CN197" s="438">
        <v>0</v>
      </c>
      <c r="CO197" s="438">
        <v>1</v>
      </c>
      <c r="CP197" s="438">
        <v>0</v>
      </c>
      <c r="CQ197" s="438">
        <v>4</v>
      </c>
      <c r="CR197" s="438">
        <v>117.18300000000001</v>
      </c>
      <c r="CS197" s="438">
        <v>0</v>
      </c>
      <c r="CT197" s="438">
        <v>0</v>
      </c>
      <c r="CU197" s="438">
        <v>0</v>
      </c>
      <c r="CV197" s="438">
        <v>0</v>
      </c>
      <c r="CW197" s="438">
        <v>0</v>
      </c>
      <c r="CX197" s="438">
        <v>0</v>
      </c>
      <c r="CY197" s="438">
        <v>0</v>
      </c>
      <c r="CZ197" s="438">
        <v>0</v>
      </c>
      <c r="DA197" s="438">
        <v>1</v>
      </c>
      <c r="DB197" s="438">
        <v>34742</v>
      </c>
      <c r="DC197" s="438">
        <v>0</v>
      </c>
      <c r="DD197" s="438">
        <v>95.167000000000002</v>
      </c>
      <c r="DE197" s="438">
        <v>143314</v>
      </c>
      <c r="DF197" s="438">
        <v>143314</v>
      </c>
      <c r="DG197" s="438">
        <v>109.5</v>
      </c>
      <c r="DH197" s="438">
        <v>0</v>
      </c>
      <c r="DI197" s="438">
        <v>0</v>
      </c>
      <c r="DK197" s="437">
        <v>5392</v>
      </c>
      <c r="DL197" s="438">
        <v>0</v>
      </c>
      <c r="DM197" s="438">
        <v>585249</v>
      </c>
      <c r="DN197" s="438">
        <v>0</v>
      </c>
      <c r="DO197" s="438">
        <v>0</v>
      </c>
      <c r="DP197" s="438">
        <v>0</v>
      </c>
      <c r="DQ197" s="438">
        <v>0</v>
      </c>
      <c r="DR197" s="438">
        <v>0</v>
      </c>
      <c r="DS197" s="438">
        <v>0</v>
      </c>
      <c r="DT197" s="438">
        <v>0</v>
      </c>
      <c r="DU197" s="438">
        <v>0</v>
      </c>
      <c r="DV197" s="438">
        <v>0</v>
      </c>
      <c r="DW197" s="438">
        <v>0</v>
      </c>
      <c r="DX197" s="438">
        <v>0</v>
      </c>
      <c r="DY197" s="438">
        <v>0</v>
      </c>
      <c r="DZ197" s="438">
        <v>0</v>
      </c>
      <c r="EA197" s="438">
        <v>0</v>
      </c>
      <c r="EB197" s="438">
        <v>0</v>
      </c>
      <c r="EC197" s="438">
        <v>0</v>
      </c>
      <c r="ED197" s="438">
        <v>0</v>
      </c>
      <c r="EE197" s="438">
        <v>0</v>
      </c>
      <c r="EF197" s="438">
        <v>0</v>
      </c>
      <c r="EG197" s="438">
        <v>0</v>
      </c>
      <c r="EH197" s="438">
        <v>294</v>
      </c>
      <c r="EI197" s="438">
        <v>584955</v>
      </c>
      <c r="EJ197" s="438">
        <v>22.347000000000001</v>
      </c>
      <c r="EK197" s="438">
        <v>0</v>
      </c>
      <c r="EL197" s="438">
        <v>0</v>
      </c>
      <c r="EM197" s="438">
        <v>0</v>
      </c>
      <c r="EN197" s="438">
        <v>8.9999999999999993E-3</v>
      </c>
      <c r="EO197" s="438">
        <v>0</v>
      </c>
      <c r="EP197" s="438">
        <v>0</v>
      </c>
      <c r="EQ197" s="438">
        <v>22.356000000000002</v>
      </c>
      <c r="ER197" s="438">
        <v>0</v>
      </c>
      <c r="ES197" s="438">
        <v>4.4999999999999998E-2</v>
      </c>
      <c r="ET197" s="438">
        <v>46584</v>
      </c>
      <c r="EU197" s="438">
        <v>59601</v>
      </c>
      <c r="EV197" s="438">
        <v>0</v>
      </c>
      <c r="EW197" s="438">
        <v>0</v>
      </c>
      <c r="EX197" s="438">
        <v>0</v>
      </c>
      <c r="EZ197" s="438">
        <v>1530722</v>
      </c>
      <c r="FA197" s="438">
        <v>0</v>
      </c>
      <c r="FB197" s="438">
        <v>1590323</v>
      </c>
      <c r="FC197" s="438">
        <v>0.97334900000000002</v>
      </c>
      <c r="FD197" s="438">
        <v>0</v>
      </c>
      <c r="FE197" s="438">
        <v>218213</v>
      </c>
      <c r="FF197" s="438">
        <v>49736</v>
      </c>
      <c r="FG197" s="437">
        <v>5.7854999999999997E-2</v>
      </c>
      <c r="FH197" s="437">
        <v>5.2366000000000003E-2</v>
      </c>
      <c r="FI197" s="438">
        <v>0</v>
      </c>
      <c r="FJ197" s="438">
        <v>0</v>
      </c>
      <c r="FK197" s="438">
        <v>297.267</v>
      </c>
      <c r="FL197" s="438">
        <v>1904856</v>
      </c>
      <c r="FM197" s="438">
        <v>0</v>
      </c>
      <c r="FN197" s="438">
        <v>0</v>
      </c>
      <c r="FO197" s="438">
        <v>0</v>
      </c>
      <c r="FP197" s="438">
        <v>0</v>
      </c>
      <c r="FQ197" s="438">
        <v>0</v>
      </c>
      <c r="FR197" s="438">
        <v>0</v>
      </c>
      <c r="FS197" s="438">
        <v>0</v>
      </c>
      <c r="FT197" s="438">
        <v>0</v>
      </c>
      <c r="FU197" s="438">
        <v>0</v>
      </c>
      <c r="FV197" s="438">
        <v>0</v>
      </c>
      <c r="FW197" s="438">
        <v>0</v>
      </c>
      <c r="FX197" s="438">
        <v>0</v>
      </c>
      <c r="FY197" s="438">
        <v>0</v>
      </c>
      <c r="FZ197" s="438">
        <v>0</v>
      </c>
      <c r="GA197" s="438">
        <v>0</v>
      </c>
      <c r="GB197" s="438">
        <v>790838</v>
      </c>
      <c r="GC197" s="438">
        <v>790838</v>
      </c>
      <c r="GD197" s="438">
        <v>89.518000000000001</v>
      </c>
      <c r="GF197" s="438">
        <v>0</v>
      </c>
      <c r="GG197" s="438">
        <v>0</v>
      </c>
      <c r="GH197" s="438">
        <v>0</v>
      </c>
      <c r="GI197" s="438">
        <v>0</v>
      </c>
      <c r="GJ197" s="438">
        <v>0</v>
      </c>
      <c r="GK197" s="438">
        <v>4697.2669999999998</v>
      </c>
      <c r="GL197" s="438">
        <v>8546</v>
      </c>
      <c r="GM197" s="438">
        <v>0</v>
      </c>
      <c r="GN197" s="438">
        <v>0</v>
      </c>
      <c r="GO197" s="438">
        <v>0</v>
      </c>
      <c r="GP197" s="438">
        <v>1858272</v>
      </c>
      <c r="GQ197" s="438">
        <v>1858272</v>
      </c>
      <c r="GR197" s="438">
        <v>0</v>
      </c>
      <c r="GS197" s="438">
        <v>0</v>
      </c>
      <c r="GT197" s="438">
        <v>0</v>
      </c>
      <c r="HB197" s="438">
        <v>0</v>
      </c>
      <c r="HC197" s="437">
        <v>6.0754000000000002E-2</v>
      </c>
      <c r="HD197" s="438">
        <v>0</v>
      </c>
    </row>
    <row r="198" spans="1:212" x14ac:dyDescent="0.2">
      <c r="A198" s="438">
        <v>25836</v>
      </c>
      <c r="B198" s="442">
        <v>236802</v>
      </c>
      <c r="C198" s="438">
        <v>9</v>
      </c>
      <c r="D198" s="438">
        <v>2020</v>
      </c>
      <c r="E198" s="438">
        <v>5392</v>
      </c>
      <c r="F198" s="438">
        <v>0</v>
      </c>
      <c r="G198" s="438">
        <v>276.27300000000002</v>
      </c>
      <c r="H198" s="438">
        <v>275.608</v>
      </c>
      <c r="I198" s="438">
        <v>275.608</v>
      </c>
      <c r="J198" s="438">
        <v>276.27300000000002</v>
      </c>
      <c r="K198" s="438">
        <v>0</v>
      </c>
      <c r="L198" s="437">
        <v>6544</v>
      </c>
      <c r="M198" s="438">
        <v>0</v>
      </c>
      <c r="N198" s="438">
        <v>0</v>
      </c>
      <c r="P198" s="438">
        <v>277.077</v>
      </c>
      <c r="Q198" s="438">
        <v>0</v>
      </c>
      <c r="R198" s="438">
        <v>68601</v>
      </c>
      <c r="S198" s="437">
        <v>247.58699999999999</v>
      </c>
      <c r="U198" s="438">
        <v>0</v>
      </c>
      <c r="V198" s="438">
        <v>10.811999999999999</v>
      </c>
      <c r="W198" s="438">
        <v>7075</v>
      </c>
      <c r="X198" s="438">
        <v>7075</v>
      </c>
      <c r="Z198" s="438">
        <v>0</v>
      </c>
      <c r="AA198" s="438">
        <v>1</v>
      </c>
      <c r="AB198" s="438">
        <v>1</v>
      </c>
      <c r="AC198" s="438">
        <v>0</v>
      </c>
      <c r="AD198" s="438" t="s">
        <v>332</v>
      </c>
      <c r="AE198" s="438">
        <v>0</v>
      </c>
      <c r="AH198" s="438">
        <v>0</v>
      </c>
      <c r="AI198" s="438">
        <v>0</v>
      </c>
      <c r="AJ198" s="437">
        <v>5105</v>
      </c>
      <c r="AK198" s="438" t="s">
        <v>561</v>
      </c>
      <c r="AL198" s="438" t="s">
        <v>413</v>
      </c>
      <c r="AM198" s="438">
        <v>0</v>
      </c>
      <c r="AN198" s="438">
        <v>0</v>
      </c>
      <c r="AO198" s="438">
        <v>0</v>
      </c>
      <c r="AP198" s="438">
        <v>0</v>
      </c>
      <c r="AQ198" s="438">
        <v>0</v>
      </c>
      <c r="AR198" s="438">
        <v>0</v>
      </c>
      <c r="AS198" s="438">
        <v>0</v>
      </c>
      <c r="AT198" s="438">
        <v>0</v>
      </c>
      <c r="AU198" s="438">
        <v>0</v>
      </c>
      <c r="AV198" s="438">
        <v>0</v>
      </c>
      <c r="AW198" s="438">
        <v>2270998</v>
      </c>
      <c r="AX198" s="438">
        <v>2270998</v>
      </c>
      <c r="AY198" s="438">
        <v>0</v>
      </c>
      <c r="AZ198" s="438">
        <v>68601</v>
      </c>
      <c r="BA198" s="438">
        <v>0</v>
      </c>
      <c r="BB198" s="438">
        <v>8638</v>
      </c>
      <c r="BC198" s="438">
        <v>8638</v>
      </c>
      <c r="BD198" s="438">
        <v>11</v>
      </c>
      <c r="BE198" s="438">
        <v>0</v>
      </c>
      <c r="BF198" s="438">
        <v>1943252</v>
      </c>
      <c r="BG198" s="438">
        <v>0</v>
      </c>
      <c r="BH198" s="438">
        <v>0</v>
      </c>
      <c r="BI198" s="438">
        <v>0</v>
      </c>
      <c r="BJ198" s="438">
        <v>12</v>
      </c>
      <c r="BK198" s="438">
        <v>0</v>
      </c>
      <c r="BL198" s="438">
        <v>0</v>
      </c>
      <c r="BM198" s="438">
        <v>0</v>
      </c>
      <c r="BN198" s="438">
        <v>0</v>
      </c>
      <c r="BO198" s="438">
        <v>0</v>
      </c>
      <c r="BP198" s="438">
        <v>0</v>
      </c>
      <c r="BQ198" s="437">
        <v>5392</v>
      </c>
      <c r="BR198" s="438">
        <v>1</v>
      </c>
      <c r="BS198" s="438">
        <v>0</v>
      </c>
      <c r="BT198" s="438">
        <v>0</v>
      </c>
      <c r="BU198" s="438">
        <v>0</v>
      </c>
      <c r="BV198" s="438">
        <v>0</v>
      </c>
      <c r="BW198" s="438">
        <v>0</v>
      </c>
      <c r="BX198" s="438">
        <v>0</v>
      </c>
      <c r="BY198" s="438">
        <v>0</v>
      </c>
      <c r="BZ198" s="438">
        <v>0</v>
      </c>
      <c r="CA198" s="438">
        <v>0</v>
      </c>
      <c r="CB198" s="438">
        <v>0</v>
      </c>
      <c r="CC198" s="438">
        <v>0</v>
      </c>
      <c r="CG198" s="438">
        <v>0</v>
      </c>
      <c r="CH198" s="438">
        <v>0</v>
      </c>
      <c r="CI198" s="438">
        <v>0</v>
      </c>
      <c r="CJ198" s="438">
        <v>4</v>
      </c>
      <c r="CK198" s="438">
        <v>0</v>
      </c>
      <c r="CL198" s="438">
        <v>0</v>
      </c>
      <c r="CN198" s="438">
        <v>0</v>
      </c>
      <c r="CO198" s="438">
        <v>1</v>
      </c>
      <c r="CP198" s="438">
        <v>0</v>
      </c>
      <c r="CQ198" s="438">
        <v>0</v>
      </c>
      <c r="CR198" s="438">
        <v>276.27300000000002</v>
      </c>
      <c r="CS198" s="438">
        <v>0</v>
      </c>
      <c r="CT198" s="438">
        <v>0</v>
      </c>
      <c r="CU198" s="438">
        <v>0</v>
      </c>
      <c r="CV198" s="438">
        <v>0</v>
      </c>
      <c r="CW198" s="438">
        <v>0</v>
      </c>
      <c r="CX198" s="438">
        <v>0</v>
      </c>
      <c r="CY198" s="438">
        <v>0</v>
      </c>
      <c r="CZ198" s="438">
        <v>0</v>
      </c>
      <c r="DA198" s="438">
        <v>1</v>
      </c>
      <c r="DB198" s="438">
        <v>1803579</v>
      </c>
      <c r="DC198" s="438">
        <v>0</v>
      </c>
      <c r="DD198" s="438">
        <v>0</v>
      </c>
      <c r="DE198" s="438">
        <v>63254</v>
      </c>
      <c r="DF198" s="438">
        <v>63254</v>
      </c>
      <c r="DG198" s="438">
        <v>48.33</v>
      </c>
      <c r="DH198" s="438">
        <v>0</v>
      </c>
      <c r="DI198" s="438">
        <v>0</v>
      </c>
      <c r="DK198" s="437">
        <v>5392</v>
      </c>
      <c r="DL198" s="438">
        <v>0</v>
      </c>
      <c r="DM198" s="438">
        <v>113913</v>
      </c>
      <c r="DN198" s="438">
        <v>0</v>
      </c>
      <c r="DO198" s="438">
        <v>0</v>
      </c>
      <c r="DP198" s="438">
        <v>0</v>
      </c>
      <c r="DQ198" s="438">
        <v>0</v>
      </c>
      <c r="DR198" s="438">
        <v>0</v>
      </c>
      <c r="DS198" s="438">
        <v>0</v>
      </c>
      <c r="DT198" s="438">
        <v>0</v>
      </c>
      <c r="DU198" s="438">
        <v>0</v>
      </c>
      <c r="DV198" s="438">
        <v>0</v>
      </c>
      <c r="DW198" s="438">
        <v>0</v>
      </c>
      <c r="DX198" s="438">
        <v>0</v>
      </c>
      <c r="DY198" s="438">
        <v>0</v>
      </c>
      <c r="DZ198" s="438">
        <v>0</v>
      </c>
      <c r="EA198" s="438">
        <v>0</v>
      </c>
      <c r="EB198" s="438">
        <v>0</v>
      </c>
      <c r="EC198" s="438">
        <v>12.802</v>
      </c>
      <c r="ED198" s="438">
        <v>92154</v>
      </c>
      <c r="EE198" s="438">
        <v>0</v>
      </c>
      <c r="EF198" s="438">
        <v>0</v>
      </c>
      <c r="EG198" s="438">
        <v>0</v>
      </c>
      <c r="EH198" s="438">
        <v>21759</v>
      </c>
      <c r="EI198" s="438">
        <v>0</v>
      </c>
      <c r="EJ198" s="438">
        <v>0</v>
      </c>
      <c r="EK198" s="438">
        <v>0</v>
      </c>
      <c r="EL198" s="438">
        <v>0</v>
      </c>
      <c r="EM198" s="438">
        <v>0</v>
      </c>
      <c r="EN198" s="438">
        <v>0.66500000000000004</v>
      </c>
      <c r="EO198" s="438">
        <v>0</v>
      </c>
      <c r="EP198" s="438">
        <v>0</v>
      </c>
      <c r="EQ198" s="438">
        <v>0.66500000000000004</v>
      </c>
      <c r="ER198" s="438">
        <v>0</v>
      </c>
      <c r="ES198" s="438">
        <v>3.3250000000000002</v>
      </c>
      <c r="ET198" s="438">
        <v>0</v>
      </c>
      <c r="EU198" s="438">
        <v>68601</v>
      </c>
      <c r="EV198" s="438">
        <v>0</v>
      </c>
      <c r="EW198" s="438">
        <v>0</v>
      </c>
      <c r="EX198" s="438">
        <v>0</v>
      </c>
      <c r="EZ198" s="438">
        <v>1927858</v>
      </c>
      <c r="FA198" s="438">
        <v>0</v>
      </c>
      <c r="FB198" s="438">
        <v>1996459</v>
      </c>
      <c r="FC198" s="438">
        <v>0.97334900000000002</v>
      </c>
      <c r="FD198" s="438">
        <v>0</v>
      </c>
      <c r="FE198" s="438">
        <v>279448</v>
      </c>
      <c r="FF198" s="438">
        <v>63692</v>
      </c>
      <c r="FG198" s="437">
        <v>5.7854999999999997E-2</v>
      </c>
      <c r="FH198" s="437">
        <v>5.2366000000000003E-2</v>
      </c>
      <c r="FI198" s="438">
        <v>0</v>
      </c>
      <c r="FJ198" s="438">
        <v>0</v>
      </c>
      <c r="FK198" s="438">
        <v>380.68599999999998</v>
      </c>
      <c r="FL198" s="438">
        <v>2339599</v>
      </c>
      <c r="FM198" s="438">
        <v>0</v>
      </c>
      <c r="FN198" s="438">
        <v>0</v>
      </c>
      <c r="FO198" s="438">
        <v>0</v>
      </c>
      <c r="FP198" s="438">
        <v>0</v>
      </c>
      <c r="FQ198" s="438">
        <v>0</v>
      </c>
      <c r="FR198" s="438">
        <v>0</v>
      </c>
      <c r="FS198" s="438">
        <v>0</v>
      </c>
      <c r="FT198" s="438">
        <v>0</v>
      </c>
      <c r="FU198" s="438">
        <v>0</v>
      </c>
      <c r="FV198" s="438">
        <v>0</v>
      </c>
      <c r="FW198" s="438">
        <v>0</v>
      </c>
      <c r="FX198" s="438">
        <v>0</v>
      </c>
      <c r="FY198" s="438">
        <v>0</v>
      </c>
      <c r="FZ198" s="438">
        <v>0</v>
      </c>
      <c r="GA198" s="438">
        <v>0</v>
      </c>
      <c r="GB198" s="438">
        <v>0</v>
      </c>
      <c r="GC198" s="438">
        <v>0</v>
      </c>
      <c r="GD198" s="438">
        <v>0</v>
      </c>
      <c r="GF198" s="438">
        <v>0</v>
      </c>
      <c r="GG198" s="438">
        <v>0</v>
      </c>
      <c r="GH198" s="438">
        <v>0</v>
      </c>
      <c r="GI198" s="438">
        <v>0</v>
      </c>
      <c r="GJ198" s="438">
        <v>0</v>
      </c>
      <c r="GK198" s="438">
        <v>4604.6369999999997</v>
      </c>
      <c r="GL198" s="438">
        <v>0</v>
      </c>
      <c r="GM198" s="438">
        <v>0</v>
      </c>
      <c r="GN198" s="438">
        <v>0</v>
      </c>
      <c r="GO198" s="438">
        <v>0</v>
      </c>
      <c r="GP198" s="438">
        <v>2339599</v>
      </c>
      <c r="GQ198" s="438">
        <v>2339599</v>
      </c>
      <c r="GR198" s="438">
        <v>0</v>
      </c>
      <c r="GS198" s="438">
        <v>0</v>
      </c>
      <c r="GT198" s="438">
        <v>0</v>
      </c>
      <c r="HB198" s="438">
        <v>0</v>
      </c>
      <c r="HC198" s="437">
        <v>0</v>
      </c>
      <c r="HD198" s="438">
        <v>0</v>
      </c>
    </row>
    <row r="199" spans="1:212" x14ac:dyDescent="0.2">
      <c r="A199" s="438">
        <v>25836</v>
      </c>
      <c r="B199" s="442">
        <v>240503</v>
      </c>
      <c r="C199" s="438">
        <v>9</v>
      </c>
      <c r="D199" s="438">
        <v>2020</v>
      </c>
      <c r="E199" s="438">
        <v>5578</v>
      </c>
      <c r="F199" s="438">
        <v>0</v>
      </c>
      <c r="G199" s="438">
        <v>98.454999999999998</v>
      </c>
      <c r="H199" s="438">
        <v>98.454999999999998</v>
      </c>
      <c r="I199" s="438">
        <v>98.454999999999998</v>
      </c>
      <c r="J199" s="438">
        <v>98.454999999999998</v>
      </c>
      <c r="K199" s="438">
        <v>0</v>
      </c>
      <c r="L199" s="437">
        <v>8091</v>
      </c>
      <c r="M199" s="438">
        <v>0</v>
      </c>
      <c r="N199" s="438">
        <v>0</v>
      </c>
      <c r="P199" s="438">
        <v>91.162999999999997</v>
      </c>
      <c r="Q199" s="438">
        <v>0</v>
      </c>
      <c r="R199" s="438">
        <v>22571</v>
      </c>
      <c r="S199" s="437">
        <v>247.58699999999999</v>
      </c>
      <c r="U199" s="438">
        <v>0</v>
      </c>
      <c r="V199" s="438">
        <v>0</v>
      </c>
      <c r="W199" s="438">
        <v>0</v>
      </c>
      <c r="X199" s="438">
        <v>0</v>
      </c>
      <c r="Z199" s="438">
        <v>0</v>
      </c>
      <c r="AA199" s="438">
        <v>1.1200000000000001</v>
      </c>
      <c r="AB199" s="438">
        <v>1.1200000000000001</v>
      </c>
      <c r="AC199" s="438">
        <v>0</v>
      </c>
      <c r="AD199" s="438" t="s">
        <v>332</v>
      </c>
      <c r="AE199" s="438">
        <v>0</v>
      </c>
      <c r="AH199" s="438">
        <v>0</v>
      </c>
      <c r="AI199" s="438">
        <v>0</v>
      </c>
      <c r="AJ199" s="437">
        <v>5140</v>
      </c>
      <c r="AK199" s="438" t="s">
        <v>561</v>
      </c>
      <c r="AL199" s="438" t="s">
        <v>663</v>
      </c>
      <c r="AM199" s="438">
        <v>0</v>
      </c>
      <c r="AN199" s="438">
        <v>0</v>
      </c>
      <c r="AO199" s="438">
        <v>0</v>
      </c>
      <c r="AP199" s="438">
        <v>0</v>
      </c>
      <c r="AQ199" s="438">
        <v>0</v>
      </c>
      <c r="AR199" s="438">
        <v>0</v>
      </c>
      <c r="AS199" s="438">
        <v>0</v>
      </c>
      <c r="AT199" s="438">
        <v>0</v>
      </c>
      <c r="AU199" s="438">
        <v>0</v>
      </c>
      <c r="AV199" s="438">
        <v>0</v>
      </c>
      <c r="AW199" s="438">
        <v>774028</v>
      </c>
      <c r="AX199" s="438">
        <v>774028</v>
      </c>
      <c r="AY199" s="438">
        <v>0</v>
      </c>
      <c r="AZ199" s="438">
        <v>22571</v>
      </c>
      <c r="BA199" s="438">
        <v>0</v>
      </c>
      <c r="BB199" s="438">
        <v>0</v>
      </c>
      <c r="BC199" s="438">
        <v>0</v>
      </c>
      <c r="BD199" s="438">
        <v>0</v>
      </c>
      <c r="BE199" s="438">
        <v>0</v>
      </c>
      <c r="BF199" s="438">
        <v>765323</v>
      </c>
      <c r="BG199" s="438">
        <v>0</v>
      </c>
      <c r="BH199" s="438">
        <v>0</v>
      </c>
      <c r="BI199" s="438">
        <v>0</v>
      </c>
      <c r="BJ199" s="438">
        <v>0</v>
      </c>
      <c r="BK199" s="438">
        <v>0</v>
      </c>
      <c r="BL199" s="438">
        <v>0</v>
      </c>
      <c r="BM199" s="438">
        <v>0</v>
      </c>
      <c r="BN199" s="438">
        <v>0</v>
      </c>
      <c r="BO199" s="438">
        <v>0</v>
      </c>
      <c r="BP199" s="438">
        <v>0</v>
      </c>
      <c r="BQ199" s="437">
        <v>0</v>
      </c>
      <c r="BR199" s="438">
        <v>2</v>
      </c>
      <c r="BS199" s="438">
        <v>0</v>
      </c>
      <c r="BT199" s="438">
        <v>0</v>
      </c>
      <c r="BU199" s="438">
        <v>0</v>
      </c>
      <c r="BV199" s="438">
        <v>0</v>
      </c>
      <c r="BW199" s="438">
        <v>0</v>
      </c>
      <c r="BX199" s="438">
        <v>0</v>
      </c>
      <c r="BY199" s="438">
        <v>0</v>
      </c>
      <c r="BZ199" s="438">
        <v>0</v>
      </c>
      <c r="CA199" s="438">
        <v>0</v>
      </c>
      <c r="CB199" s="438">
        <v>0</v>
      </c>
      <c r="CC199" s="438">
        <v>0</v>
      </c>
      <c r="CG199" s="438">
        <v>0</v>
      </c>
      <c r="CH199" s="438">
        <v>0</v>
      </c>
      <c r="CI199" s="438">
        <v>0</v>
      </c>
      <c r="CJ199" s="438">
        <v>1</v>
      </c>
      <c r="CK199" s="438">
        <v>0</v>
      </c>
      <c r="CL199" s="438">
        <v>0</v>
      </c>
      <c r="CN199" s="438">
        <v>0</v>
      </c>
      <c r="CO199" s="438">
        <v>0</v>
      </c>
      <c r="CP199" s="438">
        <v>0</v>
      </c>
      <c r="CQ199" s="438">
        <v>0</v>
      </c>
      <c r="CR199" s="438">
        <v>91.162999999999997</v>
      </c>
      <c r="CS199" s="438">
        <v>0</v>
      </c>
      <c r="CT199" s="438">
        <v>0</v>
      </c>
      <c r="CU199" s="438">
        <v>0</v>
      </c>
      <c r="CV199" s="438">
        <v>0</v>
      </c>
      <c r="CW199" s="438">
        <v>0</v>
      </c>
      <c r="CX199" s="438">
        <v>0</v>
      </c>
      <c r="CY199" s="438">
        <v>0</v>
      </c>
      <c r="CZ199" s="438">
        <v>0</v>
      </c>
      <c r="DA199" s="438">
        <v>1</v>
      </c>
      <c r="DB199" s="438">
        <v>796599</v>
      </c>
      <c r="DC199" s="438">
        <v>0</v>
      </c>
      <c r="DD199" s="438">
        <v>0</v>
      </c>
      <c r="DE199" s="438">
        <v>0</v>
      </c>
      <c r="DF199" s="438">
        <v>0</v>
      </c>
      <c r="DG199" s="438">
        <v>0</v>
      </c>
      <c r="DH199" s="438">
        <v>0</v>
      </c>
      <c r="DI199" s="438">
        <v>0</v>
      </c>
      <c r="DK199" s="437">
        <v>8091</v>
      </c>
      <c r="DL199" s="438">
        <v>0</v>
      </c>
      <c r="DM199" s="438">
        <v>0</v>
      </c>
      <c r="DN199" s="438">
        <v>0</v>
      </c>
      <c r="DO199" s="438">
        <v>0</v>
      </c>
      <c r="DP199" s="438">
        <v>0</v>
      </c>
      <c r="DQ199" s="438">
        <v>0</v>
      </c>
      <c r="DR199" s="438">
        <v>0</v>
      </c>
      <c r="DS199" s="438">
        <v>0</v>
      </c>
      <c r="DT199" s="438">
        <v>0</v>
      </c>
      <c r="DU199" s="438">
        <v>0</v>
      </c>
      <c r="DV199" s="438">
        <v>0</v>
      </c>
      <c r="DW199" s="438">
        <v>0</v>
      </c>
      <c r="DX199" s="438">
        <v>0</v>
      </c>
      <c r="DY199" s="438">
        <v>0</v>
      </c>
      <c r="DZ199" s="438">
        <v>0</v>
      </c>
      <c r="EA199" s="438">
        <v>0</v>
      </c>
      <c r="EB199" s="438">
        <v>0</v>
      </c>
      <c r="EC199" s="438">
        <v>0</v>
      </c>
      <c r="ED199" s="438">
        <v>0</v>
      </c>
      <c r="EE199" s="438">
        <v>0</v>
      </c>
      <c r="EF199" s="438">
        <v>0</v>
      </c>
      <c r="EG199" s="438">
        <v>0</v>
      </c>
      <c r="EH199" s="438">
        <v>0</v>
      </c>
      <c r="EI199" s="438">
        <v>0</v>
      </c>
      <c r="EJ199" s="438">
        <v>0</v>
      </c>
      <c r="EK199" s="438">
        <v>0</v>
      </c>
      <c r="EL199" s="438">
        <v>0</v>
      </c>
      <c r="EM199" s="438">
        <v>0</v>
      </c>
      <c r="EN199" s="438">
        <v>0</v>
      </c>
      <c r="EO199" s="438">
        <v>0</v>
      </c>
      <c r="EP199" s="438">
        <v>0</v>
      </c>
      <c r="EQ199" s="438">
        <v>0</v>
      </c>
      <c r="ER199" s="438">
        <v>0</v>
      </c>
      <c r="ES199" s="438">
        <v>0</v>
      </c>
      <c r="ET199" s="438">
        <v>0</v>
      </c>
      <c r="EU199" s="438">
        <v>22571</v>
      </c>
      <c r="EV199" s="438">
        <v>0</v>
      </c>
      <c r="EW199" s="438">
        <v>0</v>
      </c>
      <c r="EX199" s="438">
        <v>0</v>
      </c>
      <c r="EZ199" s="438">
        <v>774028</v>
      </c>
      <c r="FA199" s="438">
        <v>0</v>
      </c>
      <c r="FB199" s="438">
        <v>796599</v>
      </c>
      <c r="FC199" s="438">
        <v>0.96073900000000001</v>
      </c>
      <c r="FD199" s="438">
        <v>0</v>
      </c>
      <c r="FE199" s="438">
        <v>0</v>
      </c>
      <c r="FF199" s="438">
        <v>0</v>
      </c>
      <c r="FG199" s="437">
        <v>0</v>
      </c>
      <c r="FH199" s="437">
        <v>0</v>
      </c>
      <c r="FI199" s="438">
        <v>0</v>
      </c>
      <c r="FJ199" s="438">
        <v>0</v>
      </c>
      <c r="FK199" s="438">
        <v>148.89599999999999</v>
      </c>
      <c r="FL199" s="438">
        <v>796599</v>
      </c>
      <c r="FM199" s="438">
        <v>0</v>
      </c>
      <c r="FN199" s="438">
        <v>0</v>
      </c>
      <c r="FO199" s="438">
        <v>0</v>
      </c>
      <c r="FP199" s="438">
        <v>0</v>
      </c>
      <c r="FQ199" s="438">
        <v>0</v>
      </c>
      <c r="FR199" s="438">
        <v>0</v>
      </c>
      <c r="FS199" s="438">
        <v>0</v>
      </c>
      <c r="FT199" s="438">
        <v>0</v>
      </c>
      <c r="FU199" s="438">
        <v>0</v>
      </c>
      <c r="FV199" s="438">
        <v>0</v>
      </c>
      <c r="FW199" s="438">
        <v>0</v>
      </c>
      <c r="FX199" s="438">
        <v>0</v>
      </c>
      <c r="FY199" s="438">
        <v>0</v>
      </c>
      <c r="FZ199" s="438">
        <v>0</v>
      </c>
      <c r="GA199" s="438">
        <v>0</v>
      </c>
      <c r="GB199" s="438">
        <v>0</v>
      </c>
      <c r="GC199" s="438">
        <v>0</v>
      </c>
      <c r="GD199" s="438">
        <v>0</v>
      </c>
      <c r="GF199" s="438">
        <v>0</v>
      </c>
      <c r="GG199" s="438">
        <v>0</v>
      </c>
      <c r="GH199" s="438">
        <v>0</v>
      </c>
      <c r="GI199" s="438">
        <v>0</v>
      </c>
      <c r="GJ199" s="438">
        <v>0</v>
      </c>
      <c r="GK199" s="438">
        <v>0</v>
      </c>
      <c r="GL199" s="438">
        <v>0</v>
      </c>
      <c r="GM199" s="438">
        <v>0</v>
      </c>
      <c r="GN199" s="438">
        <v>0</v>
      </c>
      <c r="GO199" s="438">
        <v>0</v>
      </c>
      <c r="GP199" s="438">
        <v>796599</v>
      </c>
      <c r="GQ199" s="438">
        <v>796599</v>
      </c>
      <c r="GR199" s="438">
        <v>0</v>
      </c>
      <c r="GS199" s="438">
        <v>0</v>
      </c>
      <c r="GT199" s="438">
        <v>0</v>
      </c>
      <c r="HB199" s="438">
        <v>0</v>
      </c>
      <c r="HC199" s="437">
        <v>0</v>
      </c>
      <c r="HD199" s="438">
        <v>0</v>
      </c>
    </row>
    <row r="200" spans="1:212" x14ac:dyDescent="0.2">
      <c r="A200" s="438">
        <v>25836</v>
      </c>
      <c r="B200" s="442">
        <v>240801</v>
      </c>
      <c r="C200" s="438">
        <v>9</v>
      </c>
      <c r="D200" s="438">
        <v>2020</v>
      </c>
      <c r="E200" s="438">
        <v>5392</v>
      </c>
      <c r="F200" s="438">
        <v>0</v>
      </c>
      <c r="G200" s="438">
        <v>253.94499999999999</v>
      </c>
      <c r="H200" s="438">
        <v>234.14599999999999</v>
      </c>
      <c r="I200" s="438">
        <v>234.14599999999999</v>
      </c>
      <c r="J200" s="438">
        <v>253.94499999999999</v>
      </c>
      <c r="K200" s="438">
        <v>0</v>
      </c>
      <c r="L200" s="437">
        <v>6544</v>
      </c>
      <c r="M200" s="438">
        <v>0</v>
      </c>
      <c r="N200" s="438">
        <v>0</v>
      </c>
      <c r="P200" s="438">
        <v>256.84199999999998</v>
      </c>
      <c r="Q200" s="438">
        <v>0</v>
      </c>
      <c r="R200" s="438">
        <v>63591</v>
      </c>
      <c r="S200" s="437">
        <v>247.58699999999999</v>
      </c>
      <c r="U200" s="438">
        <v>0</v>
      </c>
      <c r="V200" s="438">
        <v>116.63500000000001</v>
      </c>
      <c r="W200" s="438">
        <v>76326</v>
      </c>
      <c r="X200" s="438">
        <v>76326</v>
      </c>
      <c r="Z200" s="438">
        <v>0</v>
      </c>
      <c r="AA200" s="438">
        <v>1</v>
      </c>
      <c r="AB200" s="438">
        <v>1</v>
      </c>
      <c r="AC200" s="438">
        <v>0</v>
      </c>
      <c r="AD200" s="438" t="s">
        <v>332</v>
      </c>
      <c r="AE200" s="438">
        <v>0</v>
      </c>
      <c r="AH200" s="438">
        <v>0</v>
      </c>
      <c r="AI200" s="438">
        <v>0</v>
      </c>
      <c r="AJ200" s="437">
        <v>5105</v>
      </c>
      <c r="AK200" s="438" t="s">
        <v>561</v>
      </c>
      <c r="AL200" s="438" t="s">
        <v>664</v>
      </c>
      <c r="AM200" s="438">
        <v>0</v>
      </c>
      <c r="AN200" s="438">
        <v>0</v>
      </c>
      <c r="AO200" s="438">
        <v>0</v>
      </c>
      <c r="AP200" s="438">
        <v>0</v>
      </c>
      <c r="AQ200" s="438">
        <v>0</v>
      </c>
      <c r="AR200" s="438">
        <v>0</v>
      </c>
      <c r="AS200" s="438">
        <v>0</v>
      </c>
      <c r="AT200" s="438">
        <v>0</v>
      </c>
      <c r="AU200" s="438">
        <v>0</v>
      </c>
      <c r="AV200" s="438">
        <v>0</v>
      </c>
      <c r="AW200" s="438">
        <v>2827532</v>
      </c>
      <c r="AX200" s="438">
        <v>2746342</v>
      </c>
      <c r="AY200" s="438">
        <v>0</v>
      </c>
      <c r="AZ200" s="438">
        <v>133426</v>
      </c>
      <c r="BA200" s="438">
        <v>16.5</v>
      </c>
      <c r="BB200" s="438">
        <v>0</v>
      </c>
      <c r="BC200" s="438">
        <v>0</v>
      </c>
      <c r="BD200" s="438">
        <v>0</v>
      </c>
      <c r="BE200" s="438">
        <v>0</v>
      </c>
      <c r="BF200" s="438">
        <v>2333907</v>
      </c>
      <c r="BG200" s="438">
        <v>0</v>
      </c>
      <c r="BH200" s="438">
        <v>383.75799999999998</v>
      </c>
      <c r="BI200" s="438">
        <v>69835</v>
      </c>
      <c r="BJ200" s="438">
        <v>12</v>
      </c>
      <c r="BK200" s="438">
        <v>0</v>
      </c>
      <c r="BL200" s="438">
        <v>0</v>
      </c>
      <c r="BM200" s="438">
        <v>0</v>
      </c>
      <c r="BN200" s="438">
        <v>0</v>
      </c>
      <c r="BO200" s="438">
        <v>0</v>
      </c>
      <c r="BP200" s="438">
        <v>0</v>
      </c>
      <c r="BQ200" s="437">
        <v>5392</v>
      </c>
      <c r="BR200" s="438">
        <v>1</v>
      </c>
      <c r="BS200" s="438">
        <v>0</v>
      </c>
      <c r="BT200" s="438">
        <v>0</v>
      </c>
      <c r="BU200" s="438">
        <v>0</v>
      </c>
      <c r="BV200" s="438">
        <v>0</v>
      </c>
      <c r="BW200" s="438">
        <v>0</v>
      </c>
      <c r="BX200" s="438">
        <v>0</v>
      </c>
      <c r="BY200" s="438">
        <v>0</v>
      </c>
      <c r="BZ200" s="438">
        <v>0</v>
      </c>
      <c r="CA200" s="438">
        <v>0</v>
      </c>
      <c r="CB200" s="438">
        <v>0</v>
      </c>
      <c r="CC200" s="438">
        <v>0</v>
      </c>
      <c r="CG200" s="438">
        <v>0</v>
      </c>
      <c r="CH200" s="438">
        <v>11355</v>
      </c>
      <c r="CI200" s="438">
        <v>0</v>
      </c>
      <c r="CJ200" s="438">
        <v>4</v>
      </c>
      <c r="CK200" s="438">
        <v>0</v>
      </c>
      <c r="CL200" s="438">
        <v>0</v>
      </c>
      <c r="CN200" s="438">
        <v>0</v>
      </c>
      <c r="CO200" s="438">
        <v>1</v>
      </c>
      <c r="CP200" s="438">
        <v>3.4660000000000002</v>
      </c>
      <c r="CQ200" s="438">
        <v>12.42</v>
      </c>
      <c r="CR200" s="438">
        <v>253.94499999999999</v>
      </c>
      <c r="CS200" s="438">
        <v>0</v>
      </c>
      <c r="CT200" s="438">
        <v>0</v>
      </c>
      <c r="CU200" s="438">
        <v>0</v>
      </c>
      <c r="CV200" s="438">
        <v>0</v>
      </c>
      <c r="CW200" s="438">
        <v>0</v>
      </c>
      <c r="CX200" s="438">
        <v>0</v>
      </c>
      <c r="CY200" s="438">
        <v>0</v>
      </c>
      <c r="CZ200" s="438">
        <v>0</v>
      </c>
      <c r="DA200" s="438">
        <v>1</v>
      </c>
      <c r="DB200" s="438">
        <v>1532251</v>
      </c>
      <c r="DC200" s="438">
        <v>0</v>
      </c>
      <c r="DD200" s="438">
        <v>0</v>
      </c>
      <c r="DE200" s="438">
        <v>356870</v>
      </c>
      <c r="DF200" s="438">
        <v>411532</v>
      </c>
      <c r="DG200" s="438">
        <v>272.67</v>
      </c>
      <c r="DH200" s="438">
        <v>0</v>
      </c>
      <c r="DI200" s="438">
        <v>54662</v>
      </c>
      <c r="DK200" s="437">
        <v>5392</v>
      </c>
      <c r="DL200" s="438">
        <v>0</v>
      </c>
      <c r="DM200" s="438">
        <v>203911</v>
      </c>
      <c r="DN200" s="438">
        <v>0</v>
      </c>
      <c r="DO200" s="438">
        <v>0</v>
      </c>
      <c r="DP200" s="438">
        <v>0</v>
      </c>
      <c r="DQ200" s="438">
        <v>0</v>
      </c>
      <c r="DR200" s="438">
        <v>0</v>
      </c>
      <c r="DS200" s="438">
        <v>0</v>
      </c>
      <c r="DT200" s="438">
        <v>0</v>
      </c>
      <c r="DU200" s="438">
        <v>0</v>
      </c>
      <c r="DV200" s="438">
        <v>0</v>
      </c>
      <c r="DW200" s="438">
        <v>0</v>
      </c>
      <c r="DX200" s="438">
        <v>0</v>
      </c>
      <c r="DY200" s="438">
        <v>0</v>
      </c>
      <c r="DZ200" s="438">
        <v>0</v>
      </c>
      <c r="EA200" s="438">
        <v>0.08</v>
      </c>
      <c r="EB200" s="438">
        <v>0</v>
      </c>
      <c r="EC200" s="438">
        <v>27.75</v>
      </c>
      <c r="ED200" s="438">
        <v>199756</v>
      </c>
      <c r="EE200" s="438">
        <v>0</v>
      </c>
      <c r="EF200" s="438">
        <v>0</v>
      </c>
      <c r="EG200" s="438">
        <v>0</v>
      </c>
      <c r="EH200" s="438">
        <v>4155</v>
      </c>
      <c r="EI200" s="438">
        <v>0</v>
      </c>
      <c r="EJ200" s="438">
        <v>0</v>
      </c>
      <c r="EK200" s="438">
        <v>0</v>
      </c>
      <c r="EL200" s="438">
        <v>0</v>
      </c>
      <c r="EM200" s="438">
        <v>0</v>
      </c>
      <c r="EN200" s="438">
        <v>4.7E-2</v>
      </c>
      <c r="EO200" s="438">
        <v>0</v>
      </c>
      <c r="EP200" s="438">
        <v>0</v>
      </c>
      <c r="EQ200" s="438">
        <v>0.127</v>
      </c>
      <c r="ER200" s="438">
        <v>0</v>
      </c>
      <c r="ES200" s="438">
        <v>0.63500000000000001</v>
      </c>
      <c r="ET200" s="438">
        <v>11355</v>
      </c>
      <c r="EU200" s="438">
        <v>133426</v>
      </c>
      <c r="EV200" s="438">
        <v>0</v>
      </c>
      <c r="EW200" s="438">
        <v>0</v>
      </c>
      <c r="EX200" s="438">
        <v>0</v>
      </c>
      <c r="EZ200" s="438">
        <v>2334219</v>
      </c>
      <c r="FA200" s="438">
        <v>0</v>
      </c>
      <c r="FB200" s="438">
        <v>2467645</v>
      </c>
      <c r="FC200" s="438">
        <v>0.97334900000000002</v>
      </c>
      <c r="FD200" s="438">
        <v>0</v>
      </c>
      <c r="FE200" s="438">
        <v>335626</v>
      </c>
      <c r="FF200" s="438">
        <v>76497</v>
      </c>
      <c r="FG200" s="437">
        <v>5.7854999999999997E-2</v>
      </c>
      <c r="FH200" s="437">
        <v>5.2366000000000003E-2</v>
      </c>
      <c r="FI200" s="438">
        <v>0</v>
      </c>
      <c r="FJ200" s="438">
        <v>0</v>
      </c>
      <c r="FK200" s="438">
        <v>457.21600000000001</v>
      </c>
      <c r="FL200" s="438">
        <v>2891123</v>
      </c>
      <c r="FM200" s="438">
        <v>0</v>
      </c>
      <c r="FN200" s="438">
        <v>0</v>
      </c>
      <c r="FO200" s="438">
        <v>0</v>
      </c>
      <c r="FP200" s="438">
        <v>0</v>
      </c>
      <c r="FQ200" s="438">
        <v>0</v>
      </c>
      <c r="FR200" s="438">
        <v>0</v>
      </c>
      <c r="FS200" s="438">
        <v>0</v>
      </c>
      <c r="FT200" s="438">
        <v>0</v>
      </c>
      <c r="FU200" s="438">
        <v>0</v>
      </c>
      <c r="FV200" s="438">
        <v>0</v>
      </c>
      <c r="FW200" s="438">
        <v>0</v>
      </c>
      <c r="FX200" s="438">
        <v>0</v>
      </c>
      <c r="FY200" s="438">
        <v>0</v>
      </c>
      <c r="FZ200" s="438">
        <v>0</v>
      </c>
      <c r="GA200" s="438">
        <v>0</v>
      </c>
      <c r="GB200" s="438">
        <v>173790</v>
      </c>
      <c r="GC200" s="438">
        <v>173790</v>
      </c>
      <c r="GD200" s="438">
        <v>19.672000000000001</v>
      </c>
      <c r="GF200" s="438">
        <v>0</v>
      </c>
      <c r="GG200" s="438">
        <v>0</v>
      </c>
      <c r="GH200" s="438">
        <v>0</v>
      </c>
      <c r="GI200" s="438">
        <v>0</v>
      </c>
      <c r="GJ200" s="438">
        <v>0</v>
      </c>
      <c r="GK200" s="438">
        <v>4760.2560000000003</v>
      </c>
      <c r="GL200" s="438">
        <v>17690</v>
      </c>
      <c r="GM200" s="438">
        <v>0</v>
      </c>
      <c r="GN200" s="438">
        <v>0</v>
      </c>
      <c r="GO200" s="438">
        <v>0</v>
      </c>
      <c r="GP200" s="438">
        <v>2879768</v>
      </c>
      <c r="GQ200" s="438">
        <v>2879768</v>
      </c>
      <c r="GR200" s="438">
        <v>0</v>
      </c>
      <c r="GS200" s="438">
        <v>0</v>
      </c>
      <c r="GT200" s="438">
        <v>0</v>
      </c>
      <c r="HB200" s="438">
        <v>0</v>
      </c>
      <c r="HC200" s="437">
        <v>6.0754000000000002E-2</v>
      </c>
      <c r="HD200" s="438">
        <v>0</v>
      </c>
    </row>
    <row r="201" spans="1:212" x14ac:dyDescent="0.2">
      <c r="A201" s="438">
        <v>25836</v>
      </c>
      <c r="B201" s="442">
        <v>246801</v>
      </c>
      <c r="C201" s="438">
        <v>9</v>
      </c>
      <c r="D201" s="438">
        <v>2020</v>
      </c>
      <c r="E201" s="438">
        <v>5392</v>
      </c>
      <c r="F201" s="438">
        <v>0</v>
      </c>
      <c r="G201" s="438">
        <v>1592.2249999999999</v>
      </c>
      <c r="H201" s="438">
        <v>1544.0640000000001</v>
      </c>
      <c r="I201" s="438">
        <v>1544.0640000000001</v>
      </c>
      <c r="J201" s="438">
        <v>1592.2249999999999</v>
      </c>
      <c r="K201" s="438">
        <v>0</v>
      </c>
      <c r="L201" s="437">
        <v>6544</v>
      </c>
      <c r="M201" s="438">
        <v>0</v>
      </c>
      <c r="N201" s="438">
        <v>0</v>
      </c>
      <c r="P201" s="438">
        <v>1586.3219999999999</v>
      </c>
      <c r="Q201" s="438">
        <v>0</v>
      </c>
      <c r="R201" s="438">
        <v>392753</v>
      </c>
      <c r="S201" s="437">
        <v>247.58699999999999</v>
      </c>
      <c r="U201" s="438">
        <v>0</v>
      </c>
      <c r="V201" s="438">
        <v>72.486999999999995</v>
      </c>
      <c r="W201" s="438">
        <v>47435</v>
      </c>
      <c r="X201" s="438">
        <v>47435</v>
      </c>
      <c r="Z201" s="438">
        <v>0</v>
      </c>
      <c r="AA201" s="438">
        <v>1</v>
      </c>
      <c r="AB201" s="438">
        <v>1</v>
      </c>
      <c r="AC201" s="438">
        <v>0</v>
      </c>
      <c r="AD201" s="438" t="s">
        <v>332</v>
      </c>
      <c r="AE201" s="438">
        <v>0</v>
      </c>
      <c r="AH201" s="438">
        <v>0</v>
      </c>
      <c r="AI201" s="438">
        <v>0</v>
      </c>
      <c r="AJ201" s="437">
        <v>5105</v>
      </c>
      <c r="AK201" s="438" t="s">
        <v>561</v>
      </c>
      <c r="AL201" s="438" t="s">
        <v>104</v>
      </c>
      <c r="AM201" s="438">
        <v>0</v>
      </c>
      <c r="AN201" s="438">
        <v>0</v>
      </c>
      <c r="AO201" s="438">
        <v>0</v>
      </c>
      <c r="AP201" s="438">
        <v>0</v>
      </c>
      <c r="AQ201" s="438">
        <v>0</v>
      </c>
      <c r="AR201" s="438">
        <v>0</v>
      </c>
      <c r="AS201" s="438">
        <v>0</v>
      </c>
      <c r="AT201" s="438">
        <v>0</v>
      </c>
      <c r="AU201" s="438">
        <v>0</v>
      </c>
      <c r="AV201" s="438">
        <v>0</v>
      </c>
      <c r="AW201" s="438">
        <v>13333967</v>
      </c>
      <c r="AX201" s="438">
        <v>13253768</v>
      </c>
      <c r="AY201" s="438">
        <v>0</v>
      </c>
      <c r="AZ201" s="438">
        <v>472952</v>
      </c>
      <c r="BA201" s="438">
        <v>0</v>
      </c>
      <c r="BB201" s="438">
        <v>0</v>
      </c>
      <c r="BC201" s="438">
        <v>0</v>
      </c>
      <c r="BD201" s="438">
        <v>0</v>
      </c>
      <c r="BE201" s="438">
        <v>0</v>
      </c>
      <c r="BF201" s="438">
        <v>11334687</v>
      </c>
      <c r="BG201" s="438">
        <v>0</v>
      </c>
      <c r="BH201" s="438">
        <v>291.63299999999998</v>
      </c>
      <c r="BI201" s="438">
        <v>80199</v>
      </c>
      <c r="BJ201" s="438">
        <v>12</v>
      </c>
      <c r="BK201" s="438">
        <v>0</v>
      </c>
      <c r="BL201" s="438">
        <v>0</v>
      </c>
      <c r="BM201" s="438">
        <v>0</v>
      </c>
      <c r="BN201" s="438">
        <v>0</v>
      </c>
      <c r="BO201" s="438">
        <v>0</v>
      </c>
      <c r="BP201" s="438">
        <v>0</v>
      </c>
      <c r="BQ201" s="437">
        <v>5392</v>
      </c>
      <c r="BR201" s="438">
        <v>1</v>
      </c>
      <c r="BS201" s="438">
        <v>0</v>
      </c>
      <c r="BT201" s="438">
        <v>0</v>
      </c>
      <c r="BU201" s="438">
        <v>0</v>
      </c>
      <c r="BV201" s="438">
        <v>0</v>
      </c>
      <c r="BW201" s="438">
        <v>0</v>
      </c>
      <c r="BX201" s="438">
        <v>0</v>
      </c>
      <c r="BY201" s="438">
        <v>0</v>
      </c>
      <c r="BZ201" s="438">
        <v>0</v>
      </c>
      <c r="CA201" s="438">
        <v>0</v>
      </c>
      <c r="CB201" s="438">
        <v>0</v>
      </c>
      <c r="CC201" s="438">
        <v>0</v>
      </c>
      <c r="CG201" s="438">
        <v>0</v>
      </c>
      <c r="CH201" s="438">
        <v>0</v>
      </c>
      <c r="CI201" s="438">
        <v>0</v>
      </c>
      <c r="CJ201" s="438">
        <v>4</v>
      </c>
      <c r="CK201" s="438">
        <v>0</v>
      </c>
      <c r="CL201" s="438">
        <v>0</v>
      </c>
      <c r="CN201" s="438">
        <v>0</v>
      </c>
      <c r="CO201" s="438">
        <v>1</v>
      </c>
      <c r="CP201" s="438">
        <v>0</v>
      </c>
      <c r="CQ201" s="438">
        <v>0</v>
      </c>
      <c r="CR201" s="438">
        <v>1592.2249999999999</v>
      </c>
      <c r="CS201" s="438">
        <v>0</v>
      </c>
      <c r="CT201" s="438">
        <v>0</v>
      </c>
      <c r="CU201" s="438">
        <v>0</v>
      </c>
      <c r="CV201" s="438">
        <v>0</v>
      </c>
      <c r="CW201" s="438">
        <v>0</v>
      </c>
      <c r="CX201" s="438">
        <v>0</v>
      </c>
      <c r="CY201" s="438">
        <v>0</v>
      </c>
      <c r="CZ201" s="438">
        <v>0</v>
      </c>
      <c r="DA201" s="438">
        <v>1</v>
      </c>
      <c r="DB201" s="438">
        <v>10104355</v>
      </c>
      <c r="DC201" s="438">
        <v>0</v>
      </c>
      <c r="DD201" s="438">
        <v>0</v>
      </c>
      <c r="DE201" s="438">
        <v>226854</v>
      </c>
      <c r="DF201" s="438">
        <v>226854</v>
      </c>
      <c r="DG201" s="438">
        <v>173.33</v>
      </c>
      <c r="DH201" s="438">
        <v>0</v>
      </c>
      <c r="DI201" s="438">
        <v>0</v>
      </c>
      <c r="DK201" s="437">
        <v>5392</v>
      </c>
      <c r="DL201" s="438">
        <v>0</v>
      </c>
      <c r="DM201" s="438">
        <v>1266390</v>
      </c>
      <c r="DN201" s="438">
        <v>0</v>
      </c>
      <c r="DO201" s="438">
        <v>0</v>
      </c>
      <c r="DP201" s="438">
        <v>0</v>
      </c>
      <c r="DQ201" s="438">
        <v>0</v>
      </c>
      <c r="DR201" s="438">
        <v>0</v>
      </c>
      <c r="DS201" s="438">
        <v>0</v>
      </c>
      <c r="DT201" s="438">
        <v>0</v>
      </c>
      <c r="DU201" s="438">
        <v>0</v>
      </c>
      <c r="DV201" s="438">
        <v>0</v>
      </c>
      <c r="DW201" s="438">
        <v>0</v>
      </c>
      <c r="DX201" s="438">
        <v>0</v>
      </c>
      <c r="DY201" s="438">
        <v>0</v>
      </c>
      <c r="DZ201" s="438">
        <v>0</v>
      </c>
      <c r="EA201" s="438">
        <v>4.4999999999999998E-2</v>
      </c>
      <c r="EB201" s="438">
        <v>0</v>
      </c>
      <c r="EC201" s="438">
        <v>39.142000000000003</v>
      </c>
      <c r="ED201" s="438">
        <v>281760</v>
      </c>
      <c r="EE201" s="438">
        <v>0</v>
      </c>
      <c r="EF201" s="438">
        <v>0</v>
      </c>
      <c r="EG201" s="438">
        <v>0</v>
      </c>
      <c r="EH201" s="438">
        <v>984630</v>
      </c>
      <c r="EI201" s="438">
        <v>0</v>
      </c>
      <c r="EJ201" s="438">
        <v>0</v>
      </c>
      <c r="EK201" s="438">
        <v>40.536000000000001</v>
      </c>
      <c r="EL201" s="438">
        <v>0</v>
      </c>
      <c r="EM201" s="438">
        <v>4.6349999999999998</v>
      </c>
      <c r="EN201" s="438">
        <v>2.9449999999999998</v>
      </c>
      <c r="EO201" s="438">
        <v>0</v>
      </c>
      <c r="EP201" s="438">
        <v>0</v>
      </c>
      <c r="EQ201" s="438">
        <v>48.161000000000001</v>
      </c>
      <c r="ER201" s="438">
        <v>0</v>
      </c>
      <c r="ES201" s="438">
        <v>150.46299999999999</v>
      </c>
      <c r="ET201" s="438">
        <v>0</v>
      </c>
      <c r="EU201" s="438">
        <v>472952</v>
      </c>
      <c r="EV201" s="438">
        <v>0</v>
      </c>
      <c r="EW201" s="438">
        <v>0</v>
      </c>
      <c r="EX201" s="438">
        <v>0</v>
      </c>
      <c r="EZ201" s="438">
        <v>11252281</v>
      </c>
      <c r="FA201" s="438">
        <v>0</v>
      </c>
      <c r="FB201" s="438">
        <v>11725233</v>
      </c>
      <c r="FC201" s="438">
        <v>0.97334900000000002</v>
      </c>
      <c r="FD201" s="438">
        <v>0</v>
      </c>
      <c r="FE201" s="438">
        <v>1629979</v>
      </c>
      <c r="FF201" s="438">
        <v>371508</v>
      </c>
      <c r="FG201" s="437">
        <v>5.7854999999999997E-2</v>
      </c>
      <c r="FH201" s="437">
        <v>5.2366000000000003E-2</v>
      </c>
      <c r="FI201" s="438">
        <v>0</v>
      </c>
      <c r="FJ201" s="438">
        <v>0</v>
      </c>
      <c r="FK201" s="438">
        <v>2220.4850000000001</v>
      </c>
      <c r="FL201" s="438">
        <v>13726720</v>
      </c>
      <c r="FM201" s="438">
        <v>0</v>
      </c>
      <c r="FN201" s="438">
        <v>0</v>
      </c>
      <c r="FO201" s="438">
        <v>0</v>
      </c>
      <c r="FP201" s="438">
        <v>0</v>
      </c>
      <c r="FQ201" s="438">
        <v>0</v>
      </c>
      <c r="FR201" s="438">
        <v>0</v>
      </c>
      <c r="FS201" s="438">
        <v>0</v>
      </c>
      <c r="FT201" s="438">
        <v>0</v>
      </c>
      <c r="FU201" s="438">
        <v>0</v>
      </c>
      <c r="FV201" s="438">
        <v>0</v>
      </c>
      <c r="FW201" s="438">
        <v>0</v>
      </c>
      <c r="FX201" s="438">
        <v>0</v>
      </c>
      <c r="FY201" s="438">
        <v>0</v>
      </c>
      <c r="FZ201" s="438">
        <v>0</v>
      </c>
      <c r="GA201" s="438">
        <v>0</v>
      </c>
      <c r="GB201" s="438">
        <v>0</v>
      </c>
      <c r="GC201" s="438">
        <v>0</v>
      </c>
      <c r="GD201" s="438">
        <v>0</v>
      </c>
      <c r="GF201" s="438">
        <v>0</v>
      </c>
      <c r="GG201" s="438">
        <v>0</v>
      </c>
      <c r="GH201" s="438">
        <v>0</v>
      </c>
      <c r="GI201" s="438">
        <v>0</v>
      </c>
      <c r="GJ201" s="438">
        <v>0</v>
      </c>
      <c r="GK201" s="438">
        <v>4604.6369999999997</v>
      </c>
      <c r="GL201" s="438">
        <v>0</v>
      </c>
      <c r="GM201" s="438">
        <v>0</v>
      </c>
      <c r="GN201" s="438">
        <v>0</v>
      </c>
      <c r="GO201" s="438">
        <v>0</v>
      </c>
      <c r="GP201" s="438">
        <v>13726720</v>
      </c>
      <c r="GQ201" s="438">
        <v>13726720</v>
      </c>
      <c r="GR201" s="438">
        <v>0</v>
      </c>
      <c r="GS201" s="438">
        <v>0</v>
      </c>
      <c r="GT201" s="438">
        <v>0</v>
      </c>
      <c r="HB201" s="438">
        <v>0</v>
      </c>
      <c r="HC201" s="437">
        <v>6.0754000000000002E-2</v>
      </c>
      <c r="HD201" s="438">
        <v>0</v>
      </c>
    </row>
    <row r="202" spans="1:212" x14ac:dyDescent="0.2">
      <c r="A202" s="438">
        <v>25836</v>
      </c>
      <c r="B202" s="442">
        <v>246802</v>
      </c>
      <c r="C202" s="438">
        <v>9</v>
      </c>
      <c r="D202" s="438">
        <v>2020</v>
      </c>
      <c r="E202" s="438">
        <v>5392</v>
      </c>
      <c r="F202" s="438">
        <v>0</v>
      </c>
      <c r="G202" s="438">
        <v>278.29700000000003</v>
      </c>
      <c r="H202" s="438">
        <v>270.13499999999999</v>
      </c>
      <c r="I202" s="438">
        <v>270.13499999999999</v>
      </c>
      <c r="J202" s="438">
        <v>278.29700000000003</v>
      </c>
      <c r="K202" s="438">
        <v>0</v>
      </c>
      <c r="L202" s="437">
        <v>6544</v>
      </c>
      <c r="M202" s="438">
        <v>0</v>
      </c>
      <c r="N202" s="438">
        <v>0</v>
      </c>
      <c r="P202" s="438">
        <v>278.68799999999999</v>
      </c>
      <c r="Q202" s="438">
        <v>0</v>
      </c>
      <c r="R202" s="438">
        <v>69000</v>
      </c>
      <c r="S202" s="437">
        <v>247.58699999999999</v>
      </c>
      <c r="U202" s="438">
        <v>0</v>
      </c>
      <c r="V202" s="438">
        <v>8.9730000000000008</v>
      </c>
      <c r="W202" s="438">
        <v>5872</v>
      </c>
      <c r="X202" s="438">
        <v>5872</v>
      </c>
      <c r="Z202" s="438">
        <v>0</v>
      </c>
      <c r="AA202" s="438">
        <v>1</v>
      </c>
      <c r="AB202" s="438">
        <v>1</v>
      </c>
      <c r="AC202" s="438">
        <v>0</v>
      </c>
      <c r="AD202" s="438" t="s">
        <v>332</v>
      </c>
      <c r="AE202" s="438">
        <v>0</v>
      </c>
      <c r="AH202" s="438">
        <v>0</v>
      </c>
      <c r="AI202" s="438">
        <v>0</v>
      </c>
      <c r="AJ202" s="437">
        <v>5105</v>
      </c>
      <c r="AK202" s="438" t="s">
        <v>561</v>
      </c>
      <c r="AL202" s="438" t="s">
        <v>469</v>
      </c>
      <c r="AM202" s="438">
        <v>0</v>
      </c>
      <c r="AN202" s="438">
        <v>0</v>
      </c>
      <c r="AO202" s="438">
        <v>0</v>
      </c>
      <c r="AP202" s="438">
        <v>0</v>
      </c>
      <c r="AQ202" s="438">
        <v>0</v>
      </c>
      <c r="AR202" s="438">
        <v>0</v>
      </c>
      <c r="AS202" s="438">
        <v>0</v>
      </c>
      <c r="AT202" s="438">
        <v>0</v>
      </c>
      <c r="AU202" s="438">
        <v>0</v>
      </c>
      <c r="AV202" s="438">
        <v>0</v>
      </c>
      <c r="AW202" s="438">
        <v>2341328</v>
      </c>
      <c r="AX202" s="438">
        <v>2341328</v>
      </c>
      <c r="AY202" s="438">
        <v>0</v>
      </c>
      <c r="AZ202" s="438">
        <v>69000</v>
      </c>
      <c r="BA202" s="438">
        <v>0</v>
      </c>
      <c r="BB202" s="438">
        <v>3141</v>
      </c>
      <c r="BC202" s="438">
        <v>3141</v>
      </c>
      <c r="BD202" s="438">
        <v>4</v>
      </c>
      <c r="BE202" s="438">
        <v>0</v>
      </c>
      <c r="BF202" s="438">
        <v>2001999</v>
      </c>
      <c r="BG202" s="438">
        <v>0</v>
      </c>
      <c r="BH202" s="438">
        <v>0</v>
      </c>
      <c r="BI202" s="438">
        <v>0</v>
      </c>
      <c r="BJ202" s="438">
        <v>12</v>
      </c>
      <c r="BK202" s="438">
        <v>0</v>
      </c>
      <c r="BL202" s="438">
        <v>0</v>
      </c>
      <c r="BM202" s="438">
        <v>0</v>
      </c>
      <c r="BN202" s="438">
        <v>0</v>
      </c>
      <c r="BO202" s="438">
        <v>0</v>
      </c>
      <c r="BP202" s="438">
        <v>0</v>
      </c>
      <c r="BQ202" s="437">
        <v>5392</v>
      </c>
      <c r="BR202" s="438">
        <v>1</v>
      </c>
      <c r="BS202" s="438">
        <v>0</v>
      </c>
      <c r="BT202" s="438">
        <v>0</v>
      </c>
      <c r="BU202" s="438">
        <v>0</v>
      </c>
      <c r="BV202" s="438">
        <v>0</v>
      </c>
      <c r="BW202" s="438">
        <v>0</v>
      </c>
      <c r="BX202" s="438">
        <v>0</v>
      </c>
      <c r="BY202" s="438">
        <v>0</v>
      </c>
      <c r="BZ202" s="438">
        <v>0</v>
      </c>
      <c r="CA202" s="438">
        <v>0</v>
      </c>
      <c r="CB202" s="438">
        <v>0</v>
      </c>
      <c r="CC202" s="438">
        <v>0</v>
      </c>
      <c r="CG202" s="438">
        <v>0</v>
      </c>
      <c r="CH202" s="438">
        <v>0</v>
      </c>
      <c r="CI202" s="438">
        <v>0</v>
      </c>
      <c r="CJ202" s="438">
        <v>5</v>
      </c>
      <c r="CK202" s="438">
        <v>0</v>
      </c>
      <c r="CL202" s="438">
        <v>0</v>
      </c>
      <c r="CN202" s="438">
        <v>0</v>
      </c>
      <c r="CO202" s="438">
        <v>1</v>
      </c>
      <c r="CP202" s="438">
        <v>0</v>
      </c>
      <c r="CQ202" s="438">
        <v>0</v>
      </c>
      <c r="CR202" s="438">
        <v>278.29700000000003</v>
      </c>
      <c r="CS202" s="438">
        <v>0</v>
      </c>
      <c r="CT202" s="438">
        <v>0</v>
      </c>
      <c r="CU202" s="438">
        <v>0</v>
      </c>
      <c r="CV202" s="438">
        <v>0</v>
      </c>
      <c r="CW202" s="438">
        <v>0</v>
      </c>
      <c r="CX202" s="438">
        <v>0</v>
      </c>
      <c r="CY202" s="438">
        <v>0</v>
      </c>
      <c r="CZ202" s="438">
        <v>0</v>
      </c>
      <c r="DA202" s="438">
        <v>1</v>
      </c>
      <c r="DB202" s="438">
        <v>1767763</v>
      </c>
      <c r="DC202" s="438">
        <v>0</v>
      </c>
      <c r="DD202" s="438">
        <v>0</v>
      </c>
      <c r="DE202" s="438">
        <v>100346</v>
      </c>
      <c r="DF202" s="438">
        <v>100346</v>
      </c>
      <c r="DG202" s="438">
        <v>76.67</v>
      </c>
      <c r="DH202" s="438">
        <v>0</v>
      </c>
      <c r="DI202" s="438">
        <v>0</v>
      </c>
      <c r="DK202" s="437">
        <v>5392</v>
      </c>
      <c r="DL202" s="438">
        <v>0</v>
      </c>
      <c r="DM202" s="438">
        <v>179692</v>
      </c>
      <c r="DN202" s="438">
        <v>0</v>
      </c>
      <c r="DO202" s="438">
        <v>0</v>
      </c>
      <c r="DP202" s="438">
        <v>0</v>
      </c>
      <c r="DQ202" s="438">
        <v>0</v>
      </c>
      <c r="DR202" s="438">
        <v>0</v>
      </c>
      <c r="DS202" s="438">
        <v>0</v>
      </c>
      <c r="DT202" s="438">
        <v>0</v>
      </c>
      <c r="DU202" s="438">
        <v>0</v>
      </c>
      <c r="DV202" s="438">
        <v>0</v>
      </c>
      <c r="DW202" s="438">
        <v>0</v>
      </c>
      <c r="DX202" s="438">
        <v>0</v>
      </c>
      <c r="DY202" s="438">
        <v>0</v>
      </c>
      <c r="DZ202" s="438">
        <v>0</v>
      </c>
      <c r="EA202" s="438">
        <v>0</v>
      </c>
      <c r="EB202" s="438">
        <v>0</v>
      </c>
      <c r="EC202" s="438">
        <v>1.83</v>
      </c>
      <c r="ED202" s="438">
        <v>13173</v>
      </c>
      <c r="EE202" s="438">
        <v>0</v>
      </c>
      <c r="EF202" s="438">
        <v>0</v>
      </c>
      <c r="EG202" s="438">
        <v>0</v>
      </c>
      <c r="EH202" s="438">
        <v>166519</v>
      </c>
      <c r="EI202" s="438">
        <v>0</v>
      </c>
      <c r="EJ202" s="438">
        <v>0</v>
      </c>
      <c r="EK202" s="438">
        <v>7.6820000000000004</v>
      </c>
      <c r="EL202" s="438">
        <v>0</v>
      </c>
      <c r="EM202" s="438">
        <v>0</v>
      </c>
      <c r="EN202" s="438">
        <v>0.48</v>
      </c>
      <c r="EO202" s="438">
        <v>0</v>
      </c>
      <c r="EP202" s="438">
        <v>0</v>
      </c>
      <c r="EQ202" s="438">
        <v>8.1620000000000008</v>
      </c>
      <c r="ER202" s="438">
        <v>0</v>
      </c>
      <c r="ES202" s="438">
        <v>25.446000000000002</v>
      </c>
      <c r="ET202" s="438">
        <v>0</v>
      </c>
      <c r="EU202" s="438">
        <v>69000</v>
      </c>
      <c r="EV202" s="438">
        <v>0</v>
      </c>
      <c r="EW202" s="438">
        <v>0</v>
      </c>
      <c r="EX202" s="438">
        <v>0</v>
      </c>
      <c r="EZ202" s="438">
        <v>1987814</v>
      </c>
      <c r="FA202" s="438">
        <v>0</v>
      </c>
      <c r="FB202" s="438">
        <v>2056814</v>
      </c>
      <c r="FC202" s="438">
        <v>0.97334900000000002</v>
      </c>
      <c r="FD202" s="438">
        <v>0</v>
      </c>
      <c r="FE202" s="438">
        <v>287896</v>
      </c>
      <c r="FF202" s="438">
        <v>65618</v>
      </c>
      <c r="FG202" s="437">
        <v>5.7854999999999997E-2</v>
      </c>
      <c r="FH202" s="437">
        <v>5.2366000000000003E-2</v>
      </c>
      <c r="FI202" s="438">
        <v>0</v>
      </c>
      <c r="FJ202" s="438">
        <v>0</v>
      </c>
      <c r="FK202" s="438">
        <v>392.19499999999999</v>
      </c>
      <c r="FL202" s="438">
        <v>2410328</v>
      </c>
      <c r="FM202" s="438">
        <v>0</v>
      </c>
      <c r="FN202" s="438">
        <v>0</v>
      </c>
      <c r="FO202" s="438">
        <v>0</v>
      </c>
      <c r="FP202" s="438">
        <v>0</v>
      </c>
      <c r="FQ202" s="438">
        <v>0</v>
      </c>
      <c r="FR202" s="438">
        <v>0</v>
      </c>
      <c r="FS202" s="438">
        <v>0</v>
      </c>
      <c r="FT202" s="438">
        <v>0</v>
      </c>
      <c r="FU202" s="438">
        <v>0</v>
      </c>
      <c r="FV202" s="438">
        <v>0</v>
      </c>
      <c r="FW202" s="438">
        <v>0</v>
      </c>
      <c r="FX202" s="438">
        <v>0</v>
      </c>
      <c r="FY202" s="438">
        <v>0</v>
      </c>
      <c r="FZ202" s="438">
        <v>0</v>
      </c>
      <c r="GA202" s="438">
        <v>0</v>
      </c>
      <c r="GB202" s="438">
        <v>0</v>
      </c>
      <c r="GC202" s="438">
        <v>0</v>
      </c>
      <c r="GD202" s="438">
        <v>0</v>
      </c>
      <c r="GF202" s="438">
        <v>0</v>
      </c>
      <c r="GG202" s="438">
        <v>0</v>
      </c>
      <c r="GH202" s="438">
        <v>0</v>
      </c>
      <c r="GI202" s="438">
        <v>0</v>
      </c>
      <c r="GJ202" s="438">
        <v>0</v>
      </c>
      <c r="GK202" s="438">
        <v>4604.6369999999997</v>
      </c>
      <c r="GL202" s="438">
        <v>0</v>
      </c>
      <c r="GM202" s="438">
        <v>0</v>
      </c>
      <c r="GN202" s="438">
        <v>0</v>
      </c>
      <c r="GO202" s="438">
        <v>0</v>
      </c>
      <c r="GP202" s="438">
        <v>2410328</v>
      </c>
      <c r="GQ202" s="438">
        <v>2410328</v>
      </c>
      <c r="GR202" s="438">
        <v>0</v>
      </c>
      <c r="GS202" s="438">
        <v>0</v>
      </c>
      <c r="GT202" s="438">
        <v>0</v>
      </c>
      <c r="HB202" s="438">
        <v>0</v>
      </c>
      <c r="HC202" s="437">
        <v>0</v>
      </c>
      <c r="HD202" s="438">
        <v>0</v>
      </c>
    </row>
  </sheetData>
  <sheetProtection algorithmName="SHA-512" hashValue="0Bjo4X91tLM2xGSnpMYD8KdRdDmk7MBNqy3bJgEo6chgf2L47GBzlxHWo8grYQNkoeonTE9IUHOBt9hj4hV/XA==" saltValue="i2TN4qR3cNlbxkxbpvvQeQ==" spinCount="100000" sheet="1" objects="1" scenarios="1"/>
  <sortState xmlns:xlrd2="http://schemas.microsoft.com/office/spreadsheetml/2017/richdata2" ref="A2:HH2481">
    <sortCondition descending="1" ref="EL2:EL2481"/>
  </sortState>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HQ455"/>
  <sheetViews>
    <sheetView zoomScale="120" zoomScaleNormal="120" workbookViewId="0">
      <pane ySplit="7" topLeftCell="A8" activePane="bottomLeft" state="frozen"/>
      <selection pane="bottomLeft" activeCell="E52" sqref="E52:E57"/>
    </sheetView>
  </sheetViews>
  <sheetFormatPr defaultColWidth="8.7109375" defaultRowHeight="20.100000000000001" customHeight="1" x14ac:dyDescent="0.2"/>
  <cols>
    <col min="1" max="1" width="65.7109375" style="1" customWidth="1"/>
    <col min="2" max="2" width="11.7109375" style="134" customWidth="1"/>
    <col min="3" max="3" width="21.7109375" style="2" customWidth="1"/>
    <col min="4" max="4" width="22" style="2" customWidth="1"/>
    <col min="5" max="5" width="27.7109375" style="7" customWidth="1"/>
    <col min="6" max="18" width="8.7109375" style="214"/>
    <col min="19" max="216" width="8.7109375" style="7"/>
    <col min="217" max="16384" width="8.7109375" style="2"/>
  </cols>
  <sheetData>
    <row r="1" spans="1:225" ht="20.100000000000001" customHeight="1" x14ac:dyDescent="0.2">
      <c r="A1" s="540" t="str">
        <f>VLOOKUP(A2,'Charter Data'!1:1048576,2,FALSE)</f>
        <v>New Charter School</v>
      </c>
      <c r="B1" s="541"/>
      <c r="C1" s="536" t="s">
        <v>460</v>
      </c>
      <c r="D1" s="537"/>
      <c r="E1" s="537"/>
      <c r="HI1" s="7"/>
      <c r="HJ1" s="7"/>
      <c r="HK1" s="7"/>
      <c r="HL1" s="7"/>
      <c r="HM1" s="7"/>
      <c r="HN1" s="7"/>
      <c r="HO1" s="7"/>
      <c r="HP1" s="7"/>
      <c r="HQ1" s="7"/>
    </row>
    <row r="2" spans="1:225" ht="20.100000000000001" customHeight="1" thickBot="1" x14ac:dyDescent="0.25">
      <c r="A2" s="538">
        <f>'ESTIMATE DATA ENTRY '!C1</f>
        <v>0</v>
      </c>
      <c r="B2" s="539"/>
      <c r="C2" s="544" t="s">
        <v>718</v>
      </c>
      <c r="D2" s="545"/>
      <c r="E2" s="546"/>
      <c r="HI2" s="7"/>
      <c r="HJ2" s="7"/>
      <c r="HK2" s="7"/>
      <c r="HL2" s="7"/>
      <c r="HM2" s="7"/>
      <c r="HN2" s="7"/>
      <c r="HO2" s="7"/>
      <c r="HP2" s="7"/>
      <c r="HQ2" s="7"/>
    </row>
    <row r="3" spans="1:225" ht="20.100000000000001" customHeight="1" x14ac:dyDescent="0.2">
      <c r="A3" s="440"/>
      <c r="B3" s="201"/>
      <c r="C3" s="547" t="s">
        <v>827</v>
      </c>
      <c r="D3" s="548"/>
      <c r="E3" s="551" t="s">
        <v>635</v>
      </c>
      <c r="HI3" s="7"/>
      <c r="HJ3" s="7"/>
      <c r="HK3" s="7"/>
      <c r="HL3" s="7"/>
      <c r="HM3" s="7"/>
      <c r="HN3" s="7"/>
      <c r="HO3" s="7"/>
      <c r="HP3" s="7"/>
      <c r="HQ3" s="7"/>
    </row>
    <row r="4" spans="1:225" ht="15" thickBot="1" x14ac:dyDescent="0.25">
      <c r="A4" s="445"/>
      <c r="B4" s="201"/>
      <c r="C4" s="549"/>
      <c r="D4" s="550"/>
      <c r="E4" s="552"/>
      <c r="HI4" s="7"/>
      <c r="HJ4" s="7"/>
      <c r="HK4" s="7"/>
      <c r="HL4" s="7"/>
      <c r="HM4" s="7"/>
      <c r="HN4" s="7"/>
      <c r="HO4" s="7"/>
      <c r="HP4" s="7"/>
      <c r="HQ4" s="7"/>
    </row>
    <row r="5" spans="1:225" ht="35.1" customHeight="1" x14ac:dyDescent="0.2">
      <c r="A5" s="204"/>
      <c r="B5" s="202"/>
      <c r="C5" s="205" t="s">
        <v>811</v>
      </c>
      <c r="D5" s="205" t="s">
        <v>826</v>
      </c>
      <c r="E5" s="206" t="s">
        <v>795</v>
      </c>
      <c r="HI5" s="7"/>
      <c r="HJ5" s="7"/>
      <c r="HK5" s="7"/>
      <c r="HL5" s="7"/>
      <c r="HM5" s="7"/>
      <c r="HN5" s="7"/>
      <c r="HO5" s="7"/>
      <c r="HP5" s="7"/>
      <c r="HQ5" s="7"/>
    </row>
    <row r="6" spans="1:225" ht="15" customHeight="1" x14ac:dyDescent="0.2">
      <c r="A6" s="446"/>
      <c r="B6" s="203"/>
      <c r="C6" s="195"/>
      <c r="D6" s="196"/>
      <c r="E6" s="542">
        <v>43748</v>
      </c>
      <c r="HI6" s="7"/>
      <c r="HJ6" s="7"/>
      <c r="HK6" s="7"/>
      <c r="HL6" s="7"/>
      <c r="HM6" s="7"/>
      <c r="HN6" s="7"/>
      <c r="HO6" s="7"/>
      <c r="HP6" s="7"/>
      <c r="HQ6" s="7"/>
    </row>
    <row r="7" spans="1:225" ht="71.25" x14ac:dyDescent="0.2">
      <c r="A7" s="447" t="s">
        <v>796</v>
      </c>
      <c r="B7" s="200" t="s">
        <v>472</v>
      </c>
      <c r="C7" s="197" t="s">
        <v>829</v>
      </c>
      <c r="D7" s="191" t="s">
        <v>830</v>
      </c>
      <c r="E7" s="543"/>
      <c r="HI7" s="7"/>
      <c r="HJ7" s="7"/>
      <c r="HK7" s="7"/>
      <c r="HL7" s="7"/>
      <c r="HM7" s="7"/>
      <c r="HN7" s="7"/>
      <c r="HO7" s="7"/>
      <c r="HP7" s="7"/>
      <c r="HQ7" s="7"/>
    </row>
    <row r="8" spans="1:225" ht="28.5" customHeight="1" x14ac:dyDescent="0.2">
      <c r="A8" s="523" t="s">
        <v>576</v>
      </c>
      <c r="B8" s="524"/>
      <c r="C8" s="122">
        <f>VLOOKUP('ESTIMATE DATA ENTRY '!C1,'INITIAL SOF'!B:HD,6,FALSE)</f>
        <v>0</v>
      </c>
      <c r="D8" s="123">
        <f>'ESTIMATE DATA ENTRY '!C4*'ESTIMATE DATA ENTRY '!$C$3</f>
        <v>0</v>
      </c>
      <c r="E8" s="232">
        <v>0</v>
      </c>
    </row>
    <row r="9" spans="1:225" ht="24.95" customHeight="1" x14ac:dyDescent="0.2">
      <c r="A9" s="525" t="s">
        <v>615</v>
      </c>
      <c r="B9" s="517"/>
      <c r="C9" s="116"/>
      <c r="D9" s="117"/>
      <c r="E9" s="68"/>
    </row>
    <row r="10" spans="1:225" ht="20.100000000000001" customHeight="1" x14ac:dyDescent="0.2">
      <c r="A10" s="173" t="s">
        <v>564</v>
      </c>
      <c r="B10" s="124">
        <v>5</v>
      </c>
      <c r="C10" s="116">
        <f>VLOOKUP('ESTIMATE DATA ENTRY '!C1,'INITIAL SOF'!B:HD,130,FALSE)</f>
        <v>0</v>
      </c>
      <c r="D10" s="118">
        <f>'ESTIMATE DATA ENTRY '!C24*'ESTIMATE DATA ENTRY '!$C$3*1/6</f>
        <v>0</v>
      </c>
      <c r="E10" s="62">
        <v>0</v>
      </c>
    </row>
    <row r="11" spans="1:225" ht="20.100000000000001" customHeight="1" x14ac:dyDescent="0.2">
      <c r="A11" s="173" t="s">
        <v>565</v>
      </c>
      <c r="B11" s="124">
        <v>3</v>
      </c>
      <c r="C11" s="116">
        <f>VLOOKUP('ESTIMATE DATA ENTRY '!C1,'INITIAL SOF'!B:HD,131,FALSE)</f>
        <v>0</v>
      </c>
      <c r="D11" s="118">
        <f>'ESTIMATE DATA ENTRY '!C25*'ESTIMATE DATA ENTRY '!$C$3*4.5/6</f>
        <v>0</v>
      </c>
      <c r="E11" s="62">
        <v>0</v>
      </c>
    </row>
    <row r="12" spans="1:225" ht="20.100000000000001" customHeight="1" x14ac:dyDescent="0.2">
      <c r="A12" s="173" t="s">
        <v>566</v>
      </c>
      <c r="B12" s="124">
        <v>5</v>
      </c>
      <c r="C12" s="116">
        <f>VLOOKUP('ESTIMATE DATA ENTRY '!C1,'INITIAL SOF'!B:HD,143,FALSE)</f>
        <v>0</v>
      </c>
      <c r="D12" s="118">
        <f>'ESTIMATE DATA ENTRY '!C26*'ESTIMATE DATA ENTRY '!$C$3*0.25/6</f>
        <v>0</v>
      </c>
      <c r="E12" s="62">
        <v>0</v>
      </c>
    </row>
    <row r="13" spans="1:225" ht="20.100000000000001" customHeight="1" x14ac:dyDescent="0.2">
      <c r="A13" s="173" t="s">
        <v>567</v>
      </c>
      <c r="B13" s="124">
        <v>3</v>
      </c>
      <c r="C13" s="116">
        <f>VLOOKUP('ESTIMATE DATA ENTRY '!C1,'INITIAL SOF'!B:HD,140,FALSE)</f>
        <v>0</v>
      </c>
      <c r="D13" s="118">
        <f>'ESTIMATE DATA ENTRY '!C27*'ESTIMATE DATA ENTRY '!$C$3*2.859/6</f>
        <v>0</v>
      </c>
      <c r="E13" s="62">
        <v>0</v>
      </c>
    </row>
    <row r="14" spans="1:225" ht="20.100000000000001" customHeight="1" x14ac:dyDescent="0.2">
      <c r="A14" s="173" t="s">
        <v>568</v>
      </c>
      <c r="B14" s="124">
        <v>3</v>
      </c>
      <c r="C14" s="116">
        <f>VLOOKUP('ESTIMATE DATA ENTRY '!C1,'INITIAL SOF'!B:HD,142,FALSE)</f>
        <v>0</v>
      </c>
      <c r="D14" s="118">
        <f>'ESTIMATE DATA ENTRY '!C28*'ESTIMATE DATA ENTRY '!$C$3*2.859/6</f>
        <v>0</v>
      </c>
      <c r="E14" s="62">
        <v>0</v>
      </c>
    </row>
    <row r="15" spans="1:225" ht="20.100000000000001" customHeight="1" x14ac:dyDescent="0.2">
      <c r="A15" s="173" t="s">
        <v>569</v>
      </c>
      <c r="B15" s="124">
        <v>3</v>
      </c>
      <c r="C15" s="116">
        <f>VLOOKUP('ESTIMATE DATA ENTRY '!C1,'INITIAL SOF'!B:HD,141,FALSE)</f>
        <v>0</v>
      </c>
      <c r="D15" s="118">
        <f>'ESTIMATE DATA ENTRY '!C29*'ESTIMATE DATA ENTRY '!$C$3*2.859/6</f>
        <v>0</v>
      </c>
      <c r="E15" s="62">
        <v>0</v>
      </c>
    </row>
    <row r="16" spans="1:225" ht="20.100000000000001" customHeight="1" x14ac:dyDescent="0.2">
      <c r="A16" s="173" t="s">
        <v>570</v>
      </c>
      <c r="B16" s="124">
        <v>2.7</v>
      </c>
      <c r="C16" s="116">
        <f>VLOOKUP('ESTIMATE DATA ENTRY '!C1,'INITIAL SOF'!B:HD,136,FALSE)</f>
        <v>0</v>
      </c>
      <c r="D16" s="118">
        <f>'ESTIMATE DATA ENTRY '!C30*'ESTIMATE DATA ENTRY '!$C$3*4.25/6</f>
        <v>0</v>
      </c>
      <c r="E16" s="62">
        <v>0</v>
      </c>
    </row>
    <row r="17" spans="1:5" ht="20.100000000000001" customHeight="1" x14ac:dyDescent="0.2">
      <c r="A17" s="173" t="s">
        <v>571</v>
      </c>
      <c r="B17" s="124">
        <v>2.2999999999999998</v>
      </c>
      <c r="C17" s="116">
        <f>VLOOKUP('ESTIMATE DATA ENTRY '!C1,'INITIAL SOF'!B:HD,147,FALSE)</f>
        <v>0</v>
      </c>
      <c r="D17" s="118">
        <f>'ESTIMATE DATA ENTRY '!C31*'ESTIMATE DATA ENTRY '!$C$3*5.5/6</f>
        <v>0</v>
      </c>
      <c r="E17" s="62">
        <v>0</v>
      </c>
    </row>
    <row r="18" spans="1:5" ht="20.100000000000001" customHeight="1" x14ac:dyDescent="0.2">
      <c r="A18" s="173" t="s">
        <v>572</v>
      </c>
      <c r="B18" s="124">
        <v>2.8</v>
      </c>
      <c r="C18" s="116">
        <f>VLOOKUP('ESTIMATE DATA ENTRY '!C1,'INITIAL SOF'!B:HD,145,FALSE)</f>
        <v>0</v>
      </c>
      <c r="D18" s="118">
        <f>'ESTIMATE DATA ENTRY '!C32*'ESTIMATE DATA ENTRY '!$C$3*5.5/6</f>
        <v>0</v>
      </c>
      <c r="E18" s="62">
        <v>0</v>
      </c>
    </row>
    <row r="19" spans="1:5" ht="20.100000000000001" customHeight="1" x14ac:dyDescent="0.2">
      <c r="A19" s="173" t="s">
        <v>573</v>
      </c>
      <c r="B19" s="124">
        <v>4</v>
      </c>
      <c r="C19" s="116">
        <f>VLOOKUP('ESTIMATE DATA ENTRY '!C1,'INITIAL SOF'!B:HD,139,FALSE)</f>
        <v>0</v>
      </c>
      <c r="D19" s="118">
        <f>'ESTIMATE DATA ENTRY '!C33*'ESTIMATE DATA ENTRY '!$C$3*5.5/6</f>
        <v>0</v>
      </c>
      <c r="E19" s="62">
        <v>0</v>
      </c>
    </row>
    <row r="20" spans="1:5" ht="20.100000000000001" customHeight="1" thickBot="1" x14ac:dyDescent="0.25">
      <c r="A20" s="557" t="s">
        <v>574</v>
      </c>
      <c r="B20" s="558"/>
      <c r="C20" s="66">
        <f t="shared" ref="C20:E20" si="0">SUM(C10:C19)</f>
        <v>0</v>
      </c>
      <c r="D20" s="69">
        <f t="shared" si="0"/>
        <v>0</v>
      </c>
      <c r="E20" s="66">
        <f t="shared" si="0"/>
        <v>0</v>
      </c>
    </row>
    <row r="21" spans="1:5" ht="20.100000000000001" customHeight="1" thickTop="1" thickBot="1" x14ac:dyDescent="0.25">
      <c r="A21" s="530" t="s">
        <v>575</v>
      </c>
      <c r="B21" s="519"/>
      <c r="C21" s="67">
        <f t="shared" ref="C21:D21" si="1">(C10*$B$23)+(C11*$B$24)+(C12*$B$25)+(C13*$B$26)+(C14*$B$27)+(C15*$B$28)+(C16*$B$29)+(C17*$B$30)+(C18*$B$31)+(C19*$B$32)</f>
        <v>0</v>
      </c>
      <c r="D21" s="177">
        <f t="shared" si="1"/>
        <v>0</v>
      </c>
      <c r="E21" s="67">
        <f t="shared" ref="E21" si="2">(E10*$B$23)+(E11*$B$24)+(E12*$B$25)+(E13*$B$26)+(E14*$B$27)+(E15*$B$28)+(E16*$B$29)+(E17*$B$30)+(E18*$B$31)+(E19*$B$32)</f>
        <v>0</v>
      </c>
    </row>
    <row r="22" spans="1:5" ht="24.95" customHeight="1" thickTop="1" x14ac:dyDescent="0.2">
      <c r="A22" s="526" t="s">
        <v>616</v>
      </c>
      <c r="B22" s="527"/>
      <c r="C22" s="174"/>
      <c r="D22" s="175"/>
      <c r="E22" s="174"/>
    </row>
    <row r="23" spans="1:5" ht="20.100000000000001" customHeight="1" x14ac:dyDescent="0.2">
      <c r="A23" s="173" t="s">
        <v>579</v>
      </c>
      <c r="B23" s="124">
        <v>5</v>
      </c>
      <c r="C23" s="116">
        <f>VLOOKUP('ESTIMATE DATA ENTRY '!C1,'INITIAL SOF'!B:HD,119,FALSE)</f>
        <v>0</v>
      </c>
      <c r="D23" s="118">
        <f>('ESTIMATE DATA ENTRY '!C36*'ESTIMATE DATA ENTRY '!$C$3*1/6)/6</f>
        <v>0</v>
      </c>
      <c r="E23" s="62">
        <v>0</v>
      </c>
    </row>
    <row r="24" spans="1:5" ht="20.100000000000001" customHeight="1" x14ac:dyDescent="0.2">
      <c r="A24" s="173" t="s">
        <v>578</v>
      </c>
      <c r="B24" s="124">
        <v>3</v>
      </c>
      <c r="C24" s="116">
        <f>VLOOKUP('ESTIMATE DATA ENTRY '!C1,'INITIAL SOF'!B:HD,120,FALSE)</f>
        <v>0</v>
      </c>
      <c r="D24" s="118">
        <f>('ESTIMATE DATA ENTRY '!C37*'ESTIMATE DATA ENTRY '!$C$3*4.5/6)/6</f>
        <v>0</v>
      </c>
      <c r="E24" s="62">
        <v>0</v>
      </c>
    </row>
    <row r="25" spans="1:5" ht="20.100000000000001" customHeight="1" x14ac:dyDescent="0.2">
      <c r="A25" s="173" t="s">
        <v>582</v>
      </c>
      <c r="B25" s="124">
        <v>5</v>
      </c>
      <c r="C25" s="116">
        <f>VLOOKUP('ESTIMATE DATA ENTRY '!C1,'INITIAL SOF'!B:HD,126,FALSE)</f>
        <v>0</v>
      </c>
      <c r="D25" s="118">
        <f>('ESTIMATE DATA ENTRY '!C38*'ESTIMATE DATA ENTRY '!$C$3*0.25/6)/6</f>
        <v>0</v>
      </c>
      <c r="E25" s="62">
        <v>0</v>
      </c>
    </row>
    <row r="26" spans="1:5" ht="20.100000000000001" customHeight="1" x14ac:dyDescent="0.2">
      <c r="A26" s="173" t="s">
        <v>581</v>
      </c>
      <c r="B26" s="124">
        <v>3</v>
      </c>
      <c r="C26" s="116">
        <f>VLOOKUP('ESTIMATE DATA ENTRY '!C1,'INITIAL SOF'!B:HD,123,FALSE)</f>
        <v>0</v>
      </c>
      <c r="D26" s="118">
        <f>('ESTIMATE DATA ENTRY '!C39*'ESTIMATE DATA ENTRY '!$C$3*2.859/6)/6</f>
        <v>0</v>
      </c>
      <c r="E26" s="62">
        <v>0</v>
      </c>
    </row>
    <row r="27" spans="1:5" ht="20.100000000000001" customHeight="1" x14ac:dyDescent="0.2">
      <c r="A27" s="173" t="s">
        <v>583</v>
      </c>
      <c r="B27" s="124">
        <v>3</v>
      </c>
      <c r="C27" s="116">
        <f>VLOOKUP('ESTIMATE DATA ENTRY '!C1,'INITIAL SOF'!B:HD,124,FALSE)</f>
        <v>0</v>
      </c>
      <c r="D27" s="118">
        <f>('ESTIMATE DATA ENTRY '!C40*'ESTIMATE DATA ENTRY '!$C$3*2.859/6)/6</f>
        <v>0</v>
      </c>
      <c r="E27" s="62">
        <v>0</v>
      </c>
    </row>
    <row r="28" spans="1:5" ht="20.100000000000001" customHeight="1" x14ac:dyDescent="0.2">
      <c r="A28" s="173" t="s">
        <v>584</v>
      </c>
      <c r="B28" s="124">
        <v>3</v>
      </c>
      <c r="C28" s="116">
        <f>VLOOKUP('ESTIMATE DATA ENTRY '!C1,'INITIAL SOF'!B:HD,125,FALSE)</f>
        <v>0</v>
      </c>
      <c r="D28" s="118">
        <f>('ESTIMATE DATA ENTRY '!C41*'ESTIMATE DATA ENTRY '!$C$3*2.859/6)/6</f>
        <v>0</v>
      </c>
      <c r="E28" s="62">
        <v>0</v>
      </c>
    </row>
    <row r="29" spans="1:5" ht="20.100000000000001" customHeight="1" x14ac:dyDescent="0.2">
      <c r="A29" s="173" t="s">
        <v>585</v>
      </c>
      <c r="B29" s="124">
        <v>2.7</v>
      </c>
      <c r="C29" s="116">
        <f>VLOOKUP('ESTIMATE DATA ENTRY '!C1,'INITIAL SOF'!B:HD,121,FALSE)</f>
        <v>0</v>
      </c>
      <c r="D29" s="118">
        <f>('ESTIMATE DATA ENTRY '!C42*'ESTIMATE DATA ENTRY '!$C$3*4.25/6)/6</f>
        <v>0</v>
      </c>
      <c r="E29" s="62">
        <v>0</v>
      </c>
    </row>
    <row r="30" spans="1:5" ht="20.100000000000001" customHeight="1" x14ac:dyDescent="0.2">
      <c r="A30" s="173" t="s">
        <v>586</v>
      </c>
      <c r="B30" s="124">
        <v>2.2999999999999998</v>
      </c>
      <c r="C30" s="116">
        <f>VLOOKUP('ESTIMATE DATA ENTRY '!C1,'INITIAL SOF'!B:HD,128,FALSE)</f>
        <v>0</v>
      </c>
      <c r="D30" s="118">
        <f>('ESTIMATE DATA ENTRY '!C43*'ESTIMATE DATA ENTRY '!$C$3*5.5/6)/6</f>
        <v>0</v>
      </c>
      <c r="E30" s="62">
        <v>0</v>
      </c>
    </row>
    <row r="31" spans="1:5" ht="20.100000000000001" customHeight="1" x14ac:dyDescent="0.2">
      <c r="A31" s="173" t="s">
        <v>587</v>
      </c>
      <c r="B31" s="124">
        <v>2.8</v>
      </c>
      <c r="C31" s="116">
        <f>VLOOKUP('ESTIMATE DATA ENTRY '!C1,'INITIAL SOF'!B:HD,127,FALSE)</f>
        <v>0</v>
      </c>
      <c r="D31" s="118">
        <f>('ESTIMATE DATA ENTRY '!C44*'ESTIMATE DATA ENTRY '!$C$3*5.5/6)/6</f>
        <v>0</v>
      </c>
      <c r="E31" s="62">
        <v>0</v>
      </c>
    </row>
    <row r="32" spans="1:5" ht="20.100000000000001" customHeight="1" x14ac:dyDescent="0.2">
      <c r="A32" s="173" t="s">
        <v>588</v>
      </c>
      <c r="B32" s="124">
        <v>4</v>
      </c>
      <c r="C32" s="116">
        <f>VLOOKUP('ESTIMATE DATA ENTRY '!C1,'INITIAL SOF'!B:HD,122,FALSE)</f>
        <v>0</v>
      </c>
      <c r="D32" s="118">
        <f>('ESTIMATE DATA ENTRY '!C45*'ESTIMATE DATA ENTRY '!$C$3*5.5/6)/6</f>
        <v>0</v>
      </c>
      <c r="E32" s="62">
        <v>0</v>
      </c>
    </row>
    <row r="33" spans="1:216" ht="20.100000000000001" customHeight="1" thickBot="1" x14ac:dyDescent="0.25">
      <c r="A33" s="557" t="s">
        <v>580</v>
      </c>
      <c r="B33" s="558"/>
      <c r="C33" s="66">
        <f t="shared" ref="C33:D33" si="3">SUM(C23:C32)</f>
        <v>0</v>
      </c>
      <c r="D33" s="69">
        <f t="shared" si="3"/>
        <v>0</v>
      </c>
      <c r="E33" s="66">
        <f>SUM(E23:E32)</f>
        <v>0</v>
      </c>
    </row>
    <row r="34" spans="1:216" ht="20.100000000000001" customHeight="1" thickTop="1" thickBot="1" x14ac:dyDescent="0.25">
      <c r="A34" s="530" t="s">
        <v>589</v>
      </c>
      <c r="B34" s="559"/>
      <c r="C34" s="70">
        <f t="shared" ref="C34:D34" si="4">(C23*$B$23)+(C24*$B$24)+(C25*$B$25)+(C26*$B$26)+(C27*$B$27)+(C28*$B$28)+(C29*$B$29)+(C30*$B$30)+(C31*$B$31)+(C32*$B$32)</f>
        <v>0</v>
      </c>
      <c r="D34" s="71">
        <f t="shared" si="4"/>
        <v>0</v>
      </c>
      <c r="E34" s="70">
        <f>(E23*$B$23)+(E24*$B$24)+(E25*$B$25)+(E26*$B$26)+(E27*$B$27)+(E28*$B$28)+(E29*$B$29)+(E30*$B$30)+(E31*$B$31)+(E32*$B$32)</f>
        <v>0</v>
      </c>
    </row>
    <row r="35" spans="1:216" ht="24.95" customHeight="1" thickTop="1" x14ac:dyDescent="0.2">
      <c r="A35" s="528" t="s">
        <v>724</v>
      </c>
      <c r="B35" s="529"/>
      <c r="C35" s="116"/>
      <c r="D35" s="117"/>
      <c r="E35" s="68"/>
    </row>
    <row r="36" spans="1:216" ht="20.100000000000001" customHeight="1" x14ac:dyDescent="0.2">
      <c r="A36" s="207" t="s">
        <v>758</v>
      </c>
      <c r="B36" s="129">
        <v>0.1</v>
      </c>
      <c r="C36" s="116">
        <f>VLOOKUP('ESTIMATE DATA ENTRY '!C1,'INITIAL SOF'!B:HD,21,FALSE)</f>
        <v>0</v>
      </c>
      <c r="D36" s="118">
        <f>'ESTIMATE DATA ENTRY '!C12*'ESTIMATE DATA ENTRY '!$C$3</f>
        <v>0</v>
      </c>
      <c r="E36" s="62">
        <v>0</v>
      </c>
    </row>
    <row r="37" spans="1:216" ht="30" customHeight="1" x14ac:dyDescent="0.2">
      <c r="A37" s="305" t="s">
        <v>788</v>
      </c>
      <c r="B37" s="299">
        <v>0.15</v>
      </c>
      <c r="C37" s="116">
        <v>0</v>
      </c>
      <c r="D37" s="118">
        <f>'ESTIMATE DATA ENTRY '!C13*'ESTIMATE DATA ENTRY '!$C$3</f>
        <v>0</v>
      </c>
      <c r="E37" s="62">
        <v>0</v>
      </c>
    </row>
    <row r="38" spans="1:216" ht="30" customHeight="1" thickBot="1" x14ac:dyDescent="0.25">
      <c r="A38" s="305" t="s">
        <v>759</v>
      </c>
      <c r="B38" s="299">
        <v>0.05</v>
      </c>
      <c r="C38" s="116">
        <v>0</v>
      </c>
      <c r="D38" s="118">
        <f>'ESTIMATE DATA ENTRY '!C14*'ESTIMATE DATA ENTRY '!$C$3</f>
        <v>0</v>
      </c>
      <c r="E38" s="62">
        <v>0</v>
      </c>
    </row>
    <row r="39" spans="1:216" ht="20.100000000000001" customHeight="1" thickTop="1" thickBot="1" x14ac:dyDescent="0.25">
      <c r="A39" s="530" t="s">
        <v>723</v>
      </c>
      <c r="B39" s="519"/>
      <c r="C39" s="66">
        <f>(C36*$B$36)+(C37*$B$37)+(C38*$B$38)</f>
        <v>0</v>
      </c>
      <c r="D39" s="176">
        <f>(D36*$B$36)+(D37*$B$37)+(D38*$B$38)</f>
        <v>0</v>
      </c>
      <c r="E39" s="66">
        <f>(E36*B36)+(E37*B37)+(E38*B38)</f>
        <v>0</v>
      </c>
    </row>
    <row r="40" spans="1:216" ht="20.100000000000001" customHeight="1" thickTop="1" x14ac:dyDescent="0.2">
      <c r="A40" s="207" t="s">
        <v>590</v>
      </c>
      <c r="B40" s="299">
        <v>1.1499999999999999</v>
      </c>
      <c r="C40" s="119">
        <f>VLOOKUP('ESTIMATE DATA ENTRY '!C1,'INITIAL SOF'!B:HD,132,FALSE)</f>
        <v>0</v>
      </c>
      <c r="D40" s="118">
        <f>'ESTIMATE DATA ENTRY '!C34*'ESTIMATE DATA ENTRY '!C3</f>
        <v>0</v>
      </c>
      <c r="E40" s="62">
        <v>0</v>
      </c>
    </row>
    <row r="41" spans="1:216" ht="20.100000000000001" customHeight="1" x14ac:dyDescent="0.2">
      <c r="A41" s="125" t="s">
        <v>591</v>
      </c>
      <c r="B41" s="126">
        <v>1.35</v>
      </c>
      <c r="C41" s="116">
        <f>VLOOKUP('ESTIMATE DATA ENTRY '!C1,'INITIAL SOF'!B:HD,185,FALSE)</f>
        <v>0</v>
      </c>
      <c r="D41" s="118">
        <f>('ESTIMATE DATA ENTRY '!$D$49*'ESTIMATE DATA ENTRY '!$C$3*0.17)+('ESTIMATE DATA ENTRY '!$D$50*'ESTIMATE DATA ENTRY '!$C$3*0.33)+('ESTIMATE DATA ENTRY '!$D$51*'ESTIMATE DATA ENTRY '!$C$3*0.5)+('ESTIMATE DATA ENTRY '!$D$52*'ESTIMATE DATA ENTRY '!$C$3*0.67)+('ESTIMATE DATA ENTRY '!$D$53*'ESTIMATE DATA ENTRY '!$C$3*0.83)+('ESTIMATE DATA ENTRY '!$D$54*'ESTIMATE DATA ENTRY '!$C$3*1)</f>
        <v>0</v>
      </c>
      <c r="E41" s="62">
        <v>0</v>
      </c>
    </row>
    <row r="42" spans="1:216" ht="20.100000000000001" customHeight="1" x14ac:dyDescent="0.2">
      <c r="A42" s="207" t="s">
        <v>843</v>
      </c>
      <c r="B42" s="127">
        <v>50</v>
      </c>
      <c r="C42" s="116">
        <f>VLOOKUP('ESTIMATE DATA ENTRY '!C1,'INITIAL SOF'!B:HD,182,FALSE)</f>
        <v>0</v>
      </c>
      <c r="D42" s="118">
        <f>'ESTIMATE DATA ENTRY '!D56</f>
        <v>0</v>
      </c>
      <c r="E42" s="62">
        <v>0</v>
      </c>
    </row>
    <row r="43" spans="1:216" s="5" customFormat="1" ht="24.95" customHeight="1" thickBot="1" x14ac:dyDescent="0.25">
      <c r="A43" s="557" t="s">
        <v>592</v>
      </c>
      <c r="B43" s="558"/>
      <c r="C43" s="66">
        <f>C8-C20-C41</f>
        <v>0</v>
      </c>
      <c r="D43" s="69">
        <f>D8-D20-D41</f>
        <v>0</v>
      </c>
      <c r="E43" s="66">
        <f>E8-E20-E41</f>
        <v>0</v>
      </c>
      <c r="F43" s="215"/>
      <c r="G43" s="215"/>
      <c r="H43" s="215"/>
      <c r="I43" s="215"/>
      <c r="J43" s="215"/>
      <c r="K43" s="215"/>
      <c r="L43" s="215"/>
      <c r="M43" s="215"/>
      <c r="N43" s="215"/>
      <c r="O43" s="215"/>
      <c r="P43" s="215"/>
      <c r="Q43" s="215"/>
      <c r="R43" s="215"/>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row>
    <row r="44" spans="1:216" ht="20.100000000000001" customHeight="1" thickTop="1" x14ac:dyDescent="0.2">
      <c r="A44" s="125" t="s">
        <v>618</v>
      </c>
      <c r="B44" s="304">
        <v>0.1</v>
      </c>
      <c r="C44" s="224">
        <v>0</v>
      </c>
      <c r="D44" s="225">
        <f>'ESTIMATE DATA ENTRY '!C8</f>
        <v>0</v>
      </c>
      <c r="E44" s="63">
        <v>0</v>
      </c>
    </row>
    <row r="45" spans="1:216" ht="29.25" customHeight="1" x14ac:dyDescent="0.2">
      <c r="A45" s="516" t="s">
        <v>916</v>
      </c>
      <c r="B45" s="517"/>
      <c r="C45" s="116"/>
      <c r="D45" s="117"/>
      <c r="E45" s="68"/>
    </row>
    <row r="46" spans="1:216" ht="20.100000000000001" customHeight="1" x14ac:dyDescent="0.2">
      <c r="A46" s="301" t="s">
        <v>914</v>
      </c>
      <c r="B46" s="302">
        <v>0.22500000000000001</v>
      </c>
      <c r="C46" s="116">
        <f>VLOOKUP('ESTIMATE DATA ENTRY '!C1,'INITIAL SOF'!B:HD,110,FALSE)</f>
        <v>0</v>
      </c>
      <c r="D46" s="118">
        <f>IF($D$8=0,0,'ESTIMATE DATA ENTRY '!C18)</f>
        <v>0</v>
      </c>
      <c r="E46" s="62">
        <v>0</v>
      </c>
    </row>
    <row r="47" spans="1:216" ht="20.100000000000001" customHeight="1" x14ac:dyDescent="0.2">
      <c r="A47" s="301" t="s">
        <v>755</v>
      </c>
      <c r="B47" s="302">
        <v>0.23749999999999999</v>
      </c>
      <c r="C47" s="116">
        <v>0</v>
      </c>
      <c r="D47" s="118">
        <f>IF($D$8=0,0,'ESTIMATE DATA ENTRY '!C19)</f>
        <v>0</v>
      </c>
      <c r="E47" s="62">
        <v>0</v>
      </c>
    </row>
    <row r="48" spans="1:216" ht="20.100000000000001" customHeight="1" x14ac:dyDescent="0.2">
      <c r="A48" s="301" t="s">
        <v>756</v>
      </c>
      <c r="B48" s="302">
        <v>0.25</v>
      </c>
      <c r="C48" s="116">
        <v>0</v>
      </c>
      <c r="D48" s="118">
        <f>IF($D$8=0,0,'ESTIMATE DATA ENTRY '!C20)</f>
        <v>0</v>
      </c>
      <c r="E48" s="62">
        <v>0</v>
      </c>
    </row>
    <row r="49" spans="1:216" ht="20.100000000000001" customHeight="1" x14ac:dyDescent="0.2">
      <c r="A49" s="301" t="s">
        <v>757</v>
      </c>
      <c r="B49" s="302">
        <v>0.26250000000000001</v>
      </c>
      <c r="C49" s="116">
        <v>0</v>
      </c>
      <c r="D49" s="118">
        <f>IF($D$8=0,0,'ESTIMATE DATA ENTRY '!C21)</f>
        <v>0</v>
      </c>
      <c r="E49" s="62">
        <v>0</v>
      </c>
    </row>
    <row r="50" spans="1:216" ht="20.100000000000001" customHeight="1" thickBot="1" x14ac:dyDescent="0.25">
      <c r="A50" s="303" t="s">
        <v>915</v>
      </c>
      <c r="B50" s="302">
        <v>0.27500000000000002</v>
      </c>
      <c r="C50" s="116">
        <v>0</v>
      </c>
      <c r="D50" s="118">
        <f>IF($D$8=0,0,'ESTIMATE DATA ENTRY '!C22)</f>
        <v>0</v>
      </c>
      <c r="E50" s="62">
        <v>0</v>
      </c>
    </row>
    <row r="51" spans="1:216" ht="20.100000000000001" customHeight="1" thickTop="1" thickBot="1" x14ac:dyDescent="0.25">
      <c r="A51" s="518" t="s">
        <v>725</v>
      </c>
      <c r="B51" s="519"/>
      <c r="C51" s="66">
        <f>$B$46*C46+$B$47*$C$47+$B$48*C48+$B$49*C49+$B$50*C50</f>
        <v>0</v>
      </c>
      <c r="D51" s="176">
        <f>$B$46*D46+$B$47*$D$47+$B$48*D48+$B$49*D49+$B$50*D50</f>
        <v>0</v>
      </c>
      <c r="E51" s="66">
        <f>$B$46*E46+$B$47*E47+$B$48*E48+$B$49*E49+$B$50*E50</f>
        <v>0</v>
      </c>
    </row>
    <row r="52" spans="1:216" ht="20.100000000000001" customHeight="1" thickTop="1" x14ac:dyDescent="0.2">
      <c r="A52" s="207" t="s">
        <v>594</v>
      </c>
      <c r="B52" s="128">
        <v>2.41</v>
      </c>
      <c r="C52" s="116">
        <f>VLOOKUP('ESTIMATE DATA ENTRY '!C1,'INITIAL SOF'!B:HD,93,FALSE)</f>
        <v>0</v>
      </c>
      <c r="D52" s="118">
        <f>'ESTIMATE DATA ENTRY '!C7*'ESTIMATE DATA ENTRY '!$C$3*0.2936</f>
        <v>0</v>
      </c>
      <c r="E52" s="62">
        <v>0</v>
      </c>
    </row>
    <row r="53" spans="1:216" ht="30" customHeight="1" x14ac:dyDescent="0.2">
      <c r="A53" s="298" t="s">
        <v>698</v>
      </c>
      <c r="B53" s="299">
        <v>0.1</v>
      </c>
      <c r="C53" s="116">
        <f>VLOOKUP('ESTIMATE DATA ENTRY '!C38,'INITIAL SOF'!B:HD,143,FALSE)</f>
        <v>0</v>
      </c>
      <c r="D53" s="118">
        <f>'ESTIMATE DATA ENTRY '!C9*'ESTIMATE DATA ENTRY '!$C$3</f>
        <v>0</v>
      </c>
      <c r="E53" s="62">
        <v>0</v>
      </c>
    </row>
    <row r="54" spans="1:216" ht="20.100000000000001" customHeight="1" x14ac:dyDescent="0.2">
      <c r="A54" s="298" t="s">
        <v>722</v>
      </c>
      <c r="B54" s="300">
        <v>275</v>
      </c>
      <c r="C54" s="226">
        <v>0</v>
      </c>
      <c r="D54" s="118">
        <f>'ESTIMATE DATA ENTRY '!C10*'ESTIMATE DATA ENTRY '!$C$3</f>
        <v>0</v>
      </c>
      <c r="E54" s="742">
        <v>0</v>
      </c>
    </row>
    <row r="55" spans="1:216" ht="20.100000000000001" customHeight="1" x14ac:dyDescent="0.2">
      <c r="A55" s="298" t="s">
        <v>752</v>
      </c>
      <c r="B55" s="300">
        <v>5000</v>
      </c>
      <c r="C55" s="227">
        <v>0</v>
      </c>
      <c r="D55" s="228">
        <f>'ESTIMATE DATA ENTRY '!C76</f>
        <v>0</v>
      </c>
      <c r="E55" s="742">
        <v>0</v>
      </c>
    </row>
    <row r="56" spans="1:216" ht="28.5" x14ac:dyDescent="0.2">
      <c r="A56" s="298" t="s">
        <v>754</v>
      </c>
      <c r="B56" s="300">
        <v>3000</v>
      </c>
      <c r="C56" s="227">
        <v>0</v>
      </c>
      <c r="D56" s="228">
        <f>'ESTIMATE DATA ENTRY '!C77</f>
        <v>0</v>
      </c>
      <c r="E56" s="742">
        <v>0</v>
      </c>
    </row>
    <row r="57" spans="1:216" ht="20.100000000000001" customHeight="1" x14ac:dyDescent="0.2">
      <c r="A57" s="298" t="s">
        <v>753</v>
      </c>
      <c r="B57" s="300">
        <v>2000</v>
      </c>
      <c r="C57" s="227">
        <v>0</v>
      </c>
      <c r="D57" s="228">
        <f>'ESTIMATE DATA ENTRY '!C78</f>
        <v>0</v>
      </c>
      <c r="E57" s="742">
        <v>0</v>
      </c>
    </row>
    <row r="58" spans="1:216" ht="48" customHeight="1" thickBot="1" x14ac:dyDescent="0.25">
      <c r="A58" s="560" t="s">
        <v>901</v>
      </c>
      <c r="B58" s="557"/>
      <c r="C58" s="307">
        <f>ROUND((C106-C101-C102-C103-C104-C105)/C63,3)</f>
        <v>0</v>
      </c>
      <c r="D58" s="307">
        <f>ROUND((D106-D101-D102-D103-D104-D105)/D63,3)</f>
        <v>0</v>
      </c>
      <c r="E58" s="273">
        <f>IFERROR(ROUND((E106-E101-E102-E103-E104-E105)/E63,3),0)</f>
        <v>0</v>
      </c>
    </row>
    <row r="59" spans="1:216" s="4" customFormat="1" ht="33.950000000000003" customHeight="1" thickTop="1" x14ac:dyDescent="0.2">
      <c r="A59" s="520" t="s">
        <v>885</v>
      </c>
      <c r="B59" s="521"/>
      <c r="C59" s="521"/>
      <c r="D59" s="521"/>
      <c r="E59" s="522"/>
      <c r="F59" s="216"/>
      <c r="G59" s="216"/>
      <c r="H59" s="216"/>
      <c r="I59" s="216"/>
      <c r="J59" s="216"/>
      <c r="K59" s="216"/>
      <c r="L59" s="216"/>
      <c r="M59" s="216"/>
      <c r="N59" s="216"/>
      <c r="O59" s="216"/>
      <c r="P59" s="216"/>
      <c r="Q59" s="216"/>
      <c r="R59" s="216"/>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row>
    <row r="60" spans="1:216" ht="20.100000000000001" customHeight="1" x14ac:dyDescent="0.2">
      <c r="A60" s="531" t="s">
        <v>597</v>
      </c>
      <c r="B60" s="532"/>
      <c r="C60" s="271">
        <v>250</v>
      </c>
      <c r="D60" s="271">
        <v>250</v>
      </c>
      <c r="E60" s="271">
        <v>250</v>
      </c>
    </row>
    <row r="61" spans="1:216" ht="20.100000000000001" customHeight="1" x14ac:dyDescent="0.2">
      <c r="A61" s="531" t="s">
        <v>699</v>
      </c>
      <c r="B61" s="532"/>
      <c r="C61" s="271">
        <f>VLOOKUP('ESTIMATE DATA ENTRY '!$C$1,'INITIAL SOF'!B:HD,15,FALSE)</f>
        <v>0</v>
      </c>
      <c r="D61" s="271">
        <f>VLOOKUP('ESTIMATE DATA ENTRY '!$C$1,'INITIAL SOF'!B:HD,15,FALSE)</f>
        <v>0</v>
      </c>
      <c r="E61" s="271">
        <v>0</v>
      </c>
    </row>
    <row r="62" spans="1:216" ht="20.100000000000001" customHeight="1" x14ac:dyDescent="0.2">
      <c r="A62" s="531" t="s">
        <v>700</v>
      </c>
      <c r="B62" s="532"/>
      <c r="C62" s="271">
        <v>9.7200000000000006</v>
      </c>
      <c r="D62" s="271">
        <v>9.7200000000000006</v>
      </c>
      <c r="E62" s="271">
        <v>9.7200000000000006</v>
      </c>
    </row>
    <row r="63" spans="1:216" ht="20.100000000000001" customHeight="1" x14ac:dyDescent="0.2">
      <c r="A63" s="531" t="s">
        <v>686</v>
      </c>
      <c r="B63" s="532"/>
      <c r="C63" s="271">
        <v>6152.7236892999999</v>
      </c>
      <c r="D63" s="271">
        <v>6152.7236892999999</v>
      </c>
      <c r="E63" s="271">
        <v>6152.7236892999999</v>
      </c>
    </row>
    <row r="64" spans="1:216" ht="20.100000000000001" customHeight="1" x14ac:dyDescent="0.2">
      <c r="A64" s="531" t="s">
        <v>732</v>
      </c>
      <c r="B64" s="532"/>
      <c r="C64" s="271">
        <v>1060.0747083000001</v>
      </c>
      <c r="D64" s="271">
        <v>1060.0747083000001</v>
      </c>
      <c r="E64" s="271">
        <v>1060.0747083000001</v>
      </c>
    </row>
    <row r="65" spans="1:216" ht="20.100000000000001" customHeight="1" x14ac:dyDescent="0.2">
      <c r="A65" s="531" t="s">
        <v>601</v>
      </c>
      <c r="B65" s="532"/>
      <c r="C65" s="272">
        <v>5.9422547499999999E-2</v>
      </c>
      <c r="D65" s="272">
        <v>5.9422547499999999E-2</v>
      </c>
      <c r="E65" s="272">
        <v>5.9422547499999999E-2</v>
      </c>
    </row>
    <row r="66" spans="1:216" ht="20.100000000000001" customHeight="1" x14ac:dyDescent="0.2">
      <c r="A66" s="531" t="s">
        <v>602</v>
      </c>
      <c r="B66" s="532"/>
      <c r="C66" s="272">
        <v>2.6445427699999999E-2</v>
      </c>
      <c r="D66" s="272">
        <v>2.6445427699999999E-2</v>
      </c>
      <c r="E66" s="272">
        <v>2.6445427699999999E-2</v>
      </c>
    </row>
    <row r="67" spans="1:216" ht="20.100000000000001" customHeight="1" x14ac:dyDescent="0.2">
      <c r="A67" s="531" t="s">
        <v>606</v>
      </c>
      <c r="B67" s="532"/>
      <c r="C67" s="271">
        <v>4.9459341140845214E-2</v>
      </c>
      <c r="D67" s="271">
        <v>4.9459341140845214E-2</v>
      </c>
      <c r="E67" s="271">
        <v>4.9459341140845214E-2</v>
      </c>
    </row>
    <row r="68" spans="1:216" ht="20.100000000000001" customHeight="1" x14ac:dyDescent="0.2">
      <c r="A68" s="531" t="s">
        <v>603</v>
      </c>
      <c r="B68" s="532"/>
      <c r="C68" s="306">
        <v>36.799999999999997</v>
      </c>
      <c r="D68" s="306">
        <v>36.799999999999997</v>
      </c>
      <c r="E68" s="270">
        <v>36.799999999999997</v>
      </c>
    </row>
    <row r="69" spans="1:216" ht="20.100000000000001" customHeight="1" x14ac:dyDescent="0.2">
      <c r="A69" s="531" t="s">
        <v>604</v>
      </c>
      <c r="B69" s="532"/>
      <c r="C69" s="306">
        <v>98.56</v>
      </c>
      <c r="D69" s="306">
        <v>98.56</v>
      </c>
      <c r="E69" s="270">
        <v>98.56</v>
      </c>
    </row>
    <row r="70" spans="1:216" ht="20.100000000000001" customHeight="1" x14ac:dyDescent="0.2">
      <c r="A70" s="531" t="s">
        <v>605</v>
      </c>
      <c r="B70" s="532"/>
      <c r="C70" s="306">
        <v>49.28</v>
      </c>
      <c r="D70" s="306">
        <v>49.28</v>
      </c>
      <c r="E70" s="270">
        <v>49.28</v>
      </c>
    </row>
    <row r="71" spans="1:216" ht="24.95" customHeight="1" x14ac:dyDescent="0.2">
      <c r="A71" s="525" t="s">
        <v>716</v>
      </c>
      <c r="B71" s="535"/>
      <c r="C71" s="116"/>
      <c r="D71" s="116"/>
      <c r="E71" s="116"/>
    </row>
    <row r="72" spans="1:216" ht="20.100000000000001" customHeight="1" x14ac:dyDescent="0.2">
      <c r="A72" s="533" t="s">
        <v>704</v>
      </c>
      <c r="B72" s="534"/>
      <c r="C72" s="72">
        <f>C43*C63</f>
        <v>0</v>
      </c>
      <c r="D72" s="98">
        <f>D43*D63</f>
        <v>0</v>
      </c>
      <c r="E72" s="72">
        <f>E43*E63</f>
        <v>0</v>
      </c>
    </row>
    <row r="73" spans="1:216" ht="20.100000000000001" customHeight="1" x14ac:dyDescent="0.2">
      <c r="A73" s="533" t="s">
        <v>705</v>
      </c>
      <c r="B73" s="534"/>
      <c r="C73" s="72">
        <f>C64*C43</f>
        <v>0</v>
      </c>
      <c r="D73" s="98">
        <f>D64*D43</f>
        <v>0</v>
      </c>
      <c r="E73" s="72">
        <f>E64*E43</f>
        <v>0</v>
      </c>
    </row>
    <row r="74" spans="1:216" ht="18" customHeight="1" x14ac:dyDescent="0.2">
      <c r="A74" s="561" t="s">
        <v>711</v>
      </c>
      <c r="B74" s="562"/>
      <c r="C74" s="73"/>
      <c r="D74" s="82"/>
      <c r="E74" s="73"/>
    </row>
    <row r="75" spans="1:216" s="58" customFormat="1" ht="12.75" customHeight="1" x14ac:dyDescent="0.2">
      <c r="A75" s="563" t="s">
        <v>687</v>
      </c>
      <c r="B75" s="534"/>
      <c r="C75" s="74">
        <f>(C21-(C18*$B$18+C19*$B$19))*C63</f>
        <v>0</v>
      </c>
      <c r="D75" s="75">
        <f>(D21-(D18*$B$18+D19*$B$19))*D63</f>
        <v>0</v>
      </c>
      <c r="E75" s="74">
        <f>(E21-(E18*$B$18+E19*$B$19))*E63</f>
        <v>0</v>
      </c>
      <c r="F75" s="217"/>
      <c r="G75" s="217"/>
      <c r="H75" s="217"/>
      <c r="I75" s="217"/>
      <c r="J75" s="217"/>
      <c r="K75" s="217"/>
      <c r="L75" s="217"/>
      <c r="M75" s="217"/>
      <c r="N75" s="217"/>
      <c r="O75" s="217"/>
      <c r="P75" s="217"/>
      <c r="Q75" s="217"/>
      <c r="R75" s="21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row>
    <row r="76" spans="1:216" s="58" customFormat="1" ht="12.75" x14ac:dyDescent="0.2">
      <c r="A76" s="563" t="s">
        <v>688</v>
      </c>
      <c r="B76" s="534"/>
      <c r="C76" s="74">
        <f>C40*$B$40*C63</f>
        <v>0</v>
      </c>
      <c r="D76" s="75">
        <f>D40*$B$40*D63</f>
        <v>0</v>
      </c>
      <c r="E76" s="74">
        <f>E40*$B$40*E63</f>
        <v>0</v>
      </c>
      <c r="F76" s="217"/>
      <c r="G76" s="217"/>
      <c r="H76" s="217"/>
      <c r="I76" s="217"/>
      <c r="J76" s="217"/>
      <c r="K76" s="217"/>
      <c r="L76" s="217"/>
      <c r="M76" s="217"/>
      <c r="N76" s="217"/>
      <c r="O76" s="217"/>
      <c r="P76" s="217"/>
      <c r="Q76" s="217"/>
      <c r="R76" s="21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row>
    <row r="77" spans="1:216" s="58" customFormat="1" ht="12.75" x14ac:dyDescent="0.2">
      <c r="A77" s="563" t="s">
        <v>689</v>
      </c>
      <c r="B77" s="534"/>
      <c r="C77" s="74">
        <f>C19*$B$19*C63</f>
        <v>0</v>
      </c>
      <c r="D77" s="75">
        <f>D19*$B$19*D63</f>
        <v>0</v>
      </c>
      <c r="E77" s="74">
        <f>E19*$B$19*E63</f>
        <v>0</v>
      </c>
      <c r="F77" s="217"/>
      <c r="G77" s="217"/>
      <c r="H77" s="217"/>
      <c r="I77" s="217"/>
      <c r="J77" s="217"/>
      <c r="K77" s="217"/>
      <c r="L77" s="217"/>
      <c r="M77" s="217"/>
      <c r="N77" s="217"/>
      <c r="O77" s="217"/>
      <c r="P77" s="217"/>
      <c r="Q77" s="217"/>
      <c r="R77" s="21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row>
    <row r="78" spans="1:216" s="58" customFormat="1" ht="12.75" x14ac:dyDescent="0.2">
      <c r="A78" s="563" t="s">
        <v>690</v>
      </c>
      <c r="B78" s="534"/>
      <c r="C78" s="74">
        <f>C18*$B$18*C63</f>
        <v>0</v>
      </c>
      <c r="D78" s="75">
        <f>D18*$B$18*D63</f>
        <v>0</v>
      </c>
      <c r="E78" s="74">
        <f>E18*$B$18*E63</f>
        <v>0</v>
      </c>
      <c r="F78" s="217"/>
      <c r="G78" s="217"/>
      <c r="H78" s="217"/>
      <c r="I78" s="217"/>
      <c r="J78" s="217"/>
      <c r="K78" s="217"/>
      <c r="L78" s="217"/>
      <c r="M78" s="217"/>
      <c r="N78" s="217"/>
      <c r="O78" s="217"/>
      <c r="P78" s="217"/>
      <c r="Q78" s="217"/>
      <c r="R78" s="21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row>
    <row r="79" spans="1:216" s="58" customFormat="1" ht="12.75" x14ac:dyDescent="0.2">
      <c r="A79" s="563" t="s">
        <v>691</v>
      </c>
      <c r="B79" s="534"/>
      <c r="C79" s="74">
        <f>C34*C63*0.75</f>
        <v>0</v>
      </c>
      <c r="D79" s="75">
        <f>D34*D63*0.75</f>
        <v>0</v>
      </c>
      <c r="E79" s="74">
        <f>E34*E63*0.75</f>
        <v>0</v>
      </c>
      <c r="F79" s="217"/>
      <c r="G79" s="217"/>
      <c r="H79" s="217"/>
      <c r="I79" s="217"/>
      <c r="J79" s="217"/>
      <c r="K79" s="217"/>
      <c r="L79" s="217"/>
      <c r="M79" s="217"/>
      <c r="N79" s="217"/>
      <c r="O79" s="217"/>
      <c r="P79" s="217"/>
      <c r="Q79" s="217"/>
      <c r="R79" s="21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row>
    <row r="80" spans="1:216" ht="20.100000000000001" customHeight="1" thickBot="1" x14ac:dyDescent="0.25">
      <c r="A80" s="564" t="s">
        <v>715</v>
      </c>
      <c r="B80" s="565"/>
      <c r="C80" s="76">
        <f t="shared" ref="C80:E80" si="5">SUM(C75:C79)</f>
        <v>0</v>
      </c>
      <c r="D80" s="77">
        <f t="shared" si="5"/>
        <v>0</v>
      </c>
      <c r="E80" s="76">
        <f t="shared" si="5"/>
        <v>0</v>
      </c>
    </row>
    <row r="81" spans="1:216" ht="20.100000000000001" customHeight="1" thickTop="1" x14ac:dyDescent="0.2">
      <c r="A81" s="533" t="s">
        <v>706</v>
      </c>
      <c r="B81" s="534"/>
      <c r="C81" s="72">
        <f>C63*B44*C44</f>
        <v>0</v>
      </c>
      <c r="D81" s="229">
        <f>D63*$B$44*D44</f>
        <v>0</v>
      </c>
      <c r="E81" s="72">
        <f>E63*$B$44*E44</f>
        <v>0</v>
      </c>
    </row>
    <row r="82" spans="1:216" ht="14.25" x14ac:dyDescent="0.2">
      <c r="A82" s="566" t="s">
        <v>710</v>
      </c>
      <c r="B82" s="567"/>
      <c r="C82" s="78"/>
      <c r="D82" s="95"/>
      <c r="E82" s="78"/>
    </row>
    <row r="83" spans="1:216" s="58" customFormat="1" ht="12.75" x14ac:dyDescent="0.2">
      <c r="A83" s="568" t="s">
        <v>694</v>
      </c>
      <c r="B83" s="569"/>
      <c r="C83" s="79">
        <f>C51*C63</f>
        <v>0</v>
      </c>
      <c r="D83" s="178">
        <f>D51*D63</f>
        <v>0</v>
      </c>
      <c r="E83" s="178">
        <f>E51*E63</f>
        <v>0</v>
      </c>
      <c r="F83" s="217"/>
      <c r="G83" s="217"/>
      <c r="H83" s="217"/>
      <c r="I83" s="217"/>
      <c r="J83" s="217"/>
      <c r="K83" s="217"/>
      <c r="L83" s="217"/>
      <c r="M83" s="217"/>
      <c r="N83" s="217"/>
      <c r="O83" s="217"/>
      <c r="P83" s="217"/>
      <c r="Q83" s="217"/>
      <c r="R83" s="21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row>
    <row r="84" spans="1:216" s="58" customFormat="1" ht="12.75" x14ac:dyDescent="0.2">
      <c r="A84" s="568" t="s">
        <v>695</v>
      </c>
      <c r="B84" s="569"/>
      <c r="C84" s="79">
        <f>C52*$B$52*C63</f>
        <v>0</v>
      </c>
      <c r="D84" s="96">
        <f>D52*$B$52*D63</f>
        <v>0</v>
      </c>
      <c r="E84" s="79">
        <f>E52*$B$52*E63</f>
        <v>0</v>
      </c>
      <c r="F84" s="217"/>
      <c r="G84" s="217"/>
      <c r="H84" s="217"/>
      <c r="I84" s="217"/>
      <c r="J84" s="217"/>
      <c r="K84" s="217"/>
      <c r="L84" s="217"/>
      <c r="M84" s="217"/>
      <c r="N84" s="217"/>
      <c r="O84" s="217"/>
      <c r="P84" s="217"/>
      <c r="Q84" s="217"/>
      <c r="R84" s="21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row>
    <row r="85" spans="1:216" ht="20.100000000000001" customHeight="1" thickBot="1" x14ac:dyDescent="0.25">
      <c r="A85" s="564" t="s">
        <v>714</v>
      </c>
      <c r="B85" s="565"/>
      <c r="C85" s="76">
        <f>SUM(C83:C84)</f>
        <v>0</v>
      </c>
      <c r="D85" s="97">
        <f>SUM(D83:D84)</f>
        <v>0</v>
      </c>
      <c r="E85" s="76">
        <f>SUM(E83:E84)</f>
        <v>0</v>
      </c>
    </row>
    <row r="86" spans="1:216" ht="20.100000000000001" customHeight="1" thickTop="1" thickBot="1" x14ac:dyDescent="0.25">
      <c r="A86" s="564" t="s">
        <v>886</v>
      </c>
      <c r="B86" s="565"/>
      <c r="C86" s="105">
        <f>C39*C63</f>
        <v>0</v>
      </c>
      <c r="D86" s="115">
        <f>D39*D63</f>
        <v>0</v>
      </c>
      <c r="E86" s="135">
        <f>E39*E63</f>
        <v>0</v>
      </c>
    </row>
    <row r="87" spans="1:216" ht="15" thickTop="1" x14ac:dyDescent="0.2">
      <c r="A87" s="561" t="s">
        <v>709</v>
      </c>
      <c r="B87" s="562"/>
      <c r="C87" s="73"/>
      <c r="D87" s="82"/>
      <c r="E87" s="73"/>
    </row>
    <row r="88" spans="1:216" s="58" customFormat="1" ht="12.75" x14ac:dyDescent="0.2">
      <c r="A88" s="563" t="s">
        <v>692</v>
      </c>
      <c r="B88" s="534"/>
      <c r="C88" s="80">
        <f>C41*$B$41*C63</f>
        <v>0</v>
      </c>
      <c r="D88" s="99">
        <f>D41*$B$41*D63</f>
        <v>0</v>
      </c>
      <c r="E88" s="80">
        <f>E41*$B$41*E63</f>
        <v>0</v>
      </c>
      <c r="F88" s="217"/>
      <c r="G88" s="217"/>
      <c r="H88" s="217"/>
      <c r="I88" s="217"/>
      <c r="J88" s="217"/>
      <c r="K88" s="217"/>
      <c r="L88" s="217"/>
      <c r="M88" s="217"/>
      <c r="N88" s="217"/>
      <c r="O88" s="217"/>
      <c r="P88" s="217"/>
      <c r="Q88" s="217"/>
      <c r="R88" s="21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row>
    <row r="89" spans="1:216" s="58" customFormat="1" ht="12.75" x14ac:dyDescent="0.2">
      <c r="A89" s="563" t="s">
        <v>693</v>
      </c>
      <c r="B89" s="534"/>
      <c r="C89" s="80">
        <f>C42*$B$42</f>
        <v>0</v>
      </c>
      <c r="D89" s="99">
        <f>D42*$B$42</f>
        <v>0</v>
      </c>
      <c r="E89" s="80">
        <f>E42*$B$42</f>
        <v>0</v>
      </c>
      <c r="F89" s="217"/>
      <c r="G89" s="217"/>
      <c r="H89" s="217"/>
      <c r="I89" s="217"/>
      <c r="J89" s="217"/>
      <c r="K89" s="217"/>
      <c r="L89" s="217"/>
      <c r="M89" s="217"/>
      <c r="N89" s="217"/>
      <c r="O89" s="217"/>
      <c r="P89" s="217"/>
      <c r="Q89" s="217"/>
      <c r="R89" s="21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row>
    <row r="90" spans="1:216" ht="20.100000000000001" customHeight="1" thickBot="1" x14ac:dyDescent="0.25">
      <c r="A90" s="564" t="s">
        <v>713</v>
      </c>
      <c r="B90" s="565"/>
      <c r="C90" s="76">
        <f t="shared" ref="C90:E90" si="6">SUM(C88:C89)</f>
        <v>0</v>
      </c>
      <c r="D90" s="97">
        <f t="shared" si="6"/>
        <v>0</v>
      </c>
      <c r="E90" s="76">
        <f t="shared" si="6"/>
        <v>0</v>
      </c>
    </row>
    <row r="91" spans="1:216" ht="20.100000000000001" customHeight="1" thickTop="1" thickBot="1" x14ac:dyDescent="0.25">
      <c r="A91" s="564" t="s">
        <v>887</v>
      </c>
      <c r="B91" s="565"/>
      <c r="C91" s="105">
        <f>$B$53*C53*C63</f>
        <v>0</v>
      </c>
      <c r="D91" s="135">
        <f>$B$53*D53*D63</f>
        <v>0</v>
      </c>
      <c r="E91" s="135">
        <f>$B$53*E53*E63</f>
        <v>0</v>
      </c>
    </row>
    <row r="92" spans="1:216" ht="20.100000000000001" customHeight="1" thickTop="1" thickBot="1" x14ac:dyDescent="0.25">
      <c r="A92" s="564" t="s">
        <v>888</v>
      </c>
      <c r="B92" s="565"/>
      <c r="C92" s="72">
        <f>C55*$B$55+C56*$B$56+C$57*$B$57</f>
        <v>0</v>
      </c>
      <c r="D92" s="222">
        <f>D55*$B$55+D56*$B$56+D$57*$B$57</f>
        <v>0</v>
      </c>
      <c r="E92" s="222">
        <f>E55*$B$55+E56*$B$56+E$57*$B$57</f>
        <v>0</v>
      </c>
    </row>
    <row r="93" spans="1:216" ht="20.100000000000001" customHeight="1" thickTop="1" thickBot="1" x14ac:dyDescent="0.25">
      <c r="A93" s="564" t="s">
        <v>889</v>
      </c>
      <c r="B93" s="565"/>
      <c r="C93" s="72">
        <v>0</v>
      </c>
      <c r="D93" s="222">
        <f>'ESTIMATE DATA ENTRY '!C65</f>
        <v>0</v>
      </c>
      <c r="E93" s="221">
        <v>0</v>
      </c>
    </row>
    <row r="94" spans="1:216" ht="20.100000000000001" customHeight="1" thickTop="1" thickBot="1" x14ac:dyDescent="0.25">
      <c r="A94" s="564" t="s">
        <v>890</v>
      </c>
      <c r="B94" s="565"/>
      <c r="C94" s="72">
        <v>0</v>
      </c>
      <c r="D94" s="222">
        <f>'ESTIMATE DATA ENTRY '!C64</f>
        <v>0</v>
      </c>
      <c r="E94" s="221">
        <v>0</v>
      </c>
    </row>
    <row r="95" spans="1:216" ht="20.100000000000001" customHeight="1" thickTop="1" thickBot="1" x14ac:dyDescent="0.25">
      <c r="A95" s="564" t="s">
        <v>891</v>
      </c>
      <c r="B95" s="565"/>
      <c r="C95" s="72">
        <f>C62*C8</f>
        <v>0</v>
      </c>
      <c r="D95" s="222">
        <f>D62*D8</f>
        <v>0</v>
      </c>
      <c r="E95" s="221">
        <v>0</v>
      </c>
    </row>
    <row r="96" spans="1:216" ht="24.95" customHeight="1" thickTop="1" x14ac:dyDescent="0.2">
      <c r="A96" s="525" t="s">
        <v>717</v>
      </c>
      <c r="B96" s="517"/>
      <c r="C96" s="68"/>
      <c r="D96" s="94"/>
      <c r="E96" s="68"/>
    </row>
    <row r="97" spans="1:218" ht="14.25" x14ac:dyDescent="0.2">
      <c r="A97" s="561" t="s">
        <v>712</v>
      </c>
      <c r="B97" s="562"/>
      <c r="C97" s="73"/>
      <c r="D97" s="82"/>
      <c r="E97" s="73"/>
    </row>
    <row r="98" spans="1:218" s="58" customFormat="1" ht="14.25" x14ac:dyDescent="0.2">
      <c r="A98" s="563" t="s">
        <v>810</v>
      </c>
      <c r="B98" s="577"/>
      <c r="C98" s="89">
        <f>IF(D8=0,0,'ESTIMATE DATA ENTRY '!C69+'ESTIMATE DATA ENTRY '!C70)</f>
        <v>0</v>
      </c>
      <c r="D98" s="96">
        <f>IF(D8=0,0,'ESTIMATE DATA ENTRY '!C69+'ESTIMATE DATA ENTRY '!C70)</f>
        <v>0</v>
      </c>
      <c r="E98" s="192">
        <v>0</v>
      </c>
      <c r="F98" s="217"/>
      <c r="G98" s="217"/>
      <c r="H98" s="217"/>
      <c r="I98" s="217"/>
      <c r="J98" s="217"/>
      <c r="K98" s="217"/>
      <c r="L98" s="217"/>
      <c r="M98" s="217"/>
      <c r="N98" s="217"/>
      <c r="O98" s="217"/>
      <c r="P98" s="217"/>
      <c r="Q98" s="217"/>
      <c r="R98" s="21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row>
    <row r="99" spans="1:218" s="58" customFormat="1" ht="14.25" x14ac:dyDescent="0.2">
      <c r="A99" s="563" t="s">
        <v>696</v>
      </c>
      <c r="B99" s="534"/>
      <c r="C99" s="89">
        <f>VLOOKUP('ESTIMATE DATA ENTRY '!C1,'INITIAL SOF'!B:HD,171,FALSE)</f>
        <v>0</v>
      </c>
      <c r="D99" s="96">
        <f>IF(D8=0,0,'ESTIMATE DATA ENTRY '!C72)</f>
        <v>0</v>
      </c>
      <c r="E99" s="192">
        <v>0</v>
      </c>
      <c r="F99" s="217"/>
      <c r="G99" s="217"/>
      <c r="H99" s="217"/>
      <c r="I99" s="217"/>
      <c r="J99" s="217"/>
      <c r="K99" s="217"/>
      <c r="L99" s="217"/>
      <c r="M99" s="217"/>
      <c r="N99" s="217"/>
      <c r="O99" s="217"/>
      <c r="P99" s="217"/>
      <c r="Q99" s="217"/>
      <c r="R99" s="21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row>
    <row r="100" spans="1:218" s="58" customFormat="1" ht="14.25" x14ac:dyDescent="0.2">
      <c r="A100" s="563" t="s">
        <v>697</v>
      </c>
      <c r="B100" s="534"/>
      <c r="C100" s="89">
        <f>VLOOKUP('ESTIMATE DATA ENTRY '!C1,'INITIAL SOF'!B:HD,174,FALSE)</f>
        <v>0</v>
      </c>
      <c r="D100" s="96">
        <f>IF(D8=0,0,'ESTIMATE DATA ENTRY '!C73)</f>
        <v>0</v>
      </c>
      <c r="E100" s="193">
        <v>0</v>
      </c>
      <c r="F100" s="217"/>
      <c r="G100" s="217"/>
      <c r="H100" s="217"/>
      <c r="I100" s="217"/>
      <c r="J100" s="217"/>
      <c r="K100" s="217"/>
      <c r="L100" s="217"/>
      <c r="M100" s="217"/>
      <c r="N100" s="217"/>
      <c r="O100" s="217"/>
      <c r="P100" s="217"/>
      <c r="Q100" s="217"/>
      <c r="R100" s="21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row>
    <row r="101" spans="1:218" ht="20.100000000000001" customHeight="1" thickBot="1" x14ac:dyDescent="0.25">
      <c r="A101" s="589" t="s">
        <v>707</v>
      </c>
      <c r="B101" s="565"/>
      <c r="C101" s="76">
        <f>SUM(C98:C100)</f>
        <v>0</v>
      </c>
      <c r="D101" s="97">
        <f t="shared" ref="D101:E101" si="7">SUM(D98:D100)</f>
        <v>0</v>
      </c>
      <c r="E101" s="76">
        <f t="shared" si="7"/>
        <v>0</v>
      </c>
    </row>
    <row r="102" spans="1:218" ht="20.100000000000001" customHeight="1" thickTop="1" x14ac:dyDescent="0.2">
      <c r="A102" s="572" t="s">
        <v>708</v>
      </c>
      <c r="B102" s="573"/>
      <c r="C102" s="89">
        <f>VLOOKUP('ESTIMATE DATA ENTRY '!C1,'INITIAL SOF'!B:HD,194,FALSE)</f>
        <v>0</v>
      </c>
      <c r="D102" s="100">
        <f>IF(D8=0,0,C102)</f>
        <v>0</v>
      </c>
      <c r="E102" s="194">
        <v>0</v>
      </c>
    </row>
    <row r="103" spans="1:218" ht="30" customHeight="1" thickBot="1" x14ac:dyDescent="0.25">
      <c r="A103" s="570" t="s">
        <v>894</v>
      </c>
      <c r="B103" s="571"/>
      <c r="C103" s="223">
        <f>$B$54*C54</f>
        <v>0</v>
      </c>
      <c r="D103" s="223">
        <f>$B$54*D54</f>
        <v>0</v>
      </c>
      <c r="E103" s="223">
        <f>$B$54*E54</f>
        <v>0</v>
      </c>
    </row>
    <row r="104" spans="1:218" ht="20.100000000000001" customHeight="1" thickTop="1" thickBot="1" x14ac:dyDescent="0.25">
      <c r="A104" s="564" t="s">
        <v>892</v>
      </c>
      <c r="B104" s="565"/>
      <c r="C104" s="223">
        <v>0</v>
      </c>
      <c r="D104" s="223">
        <f>'ESTIMATE DATA ENTRY '!C66</f>
        <v>0</v>
      </c>
      <c r="E104" s="223"/>
    </row>
    <row r="105" spans="1:218" ht="18" customHeight="1" thickTop="1" thickBot="1" x14ac:dyDescent="0.25">
      <c r="A105" s="564" t="s">
        <v>893</v>
      </c>
      <c r="B105" s="565"/>
      <c r="C105" s="223">
        <v>0</v>
      </c>
      <c r="D105" s="223">
        <f>'ESTIMATE DATA ENTRY '!C67</f>
        <v>0</v>
      </c>
      <c r="E105" s="223"/>
    </row>
    <row r="106" spans="1:218" ht="20.100000000000001" customHeight="1" thickTop="1" thickBot="1" x14ac:dyDescent="0.3">
      <c r="A106" s="586" t="s">
        <v>703</v>
      </c>
      <c r="B106" s="579"/>
      <c r="C106" s="180">
        <f>SUM(C72+C73+C80+C81+C85+C86+C90+C91+C92+C93+C94+C95+C101+C102+C103+C104+C105)</f>
        <v>0</v>
      </c>
      <c r="D106" s="181">
        <f>SUM(D72+D73+D80+D81+D85+D86+D90+D91+D92+D93+D94+D95+D101+D102+D103+D104+D105)</f>
        <v>0</v>
      </c>
      <c r="E106" s="180">
        <f>SUM(E72+E73+E80+E81+E85+E86+E90+E91+E92+E93+E94+E95+E101+E102+E103+E104+E105)</f>
        <v>0</v>
      </c>
    </row>
    <row r="107" spans="1:218" ht="20.100000000000001" customHeight="1" thickTop="1" x14ac:dyDescent="0.2">
      <c r="A107" s="590" t="s">
        <v>701</v>
      </c>
      <c r="B107" s="591"/>
      <c r="C107" s="174"/>
      <c r="D107" s="179"/>
      <c r="E107" s="174"/>
    </row>
    <row r="108" spans="1:218" ht="18" customHeight="1" x14ac:dyDescent="0.2">
      <c r="A108" s="587" t="s">
        <v>609</v>
      </c>
      <c r="B108" s="588"/>
      <c r="C108" s="90">
        <f>ROUND((C69*C58*C65*100),1)</f>
        <v>0</v>
      </c>
      <c r="D108" s="101">
        <f>ROUND((D69*D58*D65*100),1)</f>
        <v>0</v>
      </c>
      <c r="E108" s="83">
        <f>ROUND((E69*E58*E65*100),1)</f>
        <v>0</v>
      </c>
    </row>
    <row r="109" spans="1:218" ht="18" customHeight="1" x14ac:dyDescent="0.2">
      <c r="A109" s="576" t="s">
        <v>610</v>
      </c>
      <c r="B109" s="577"/>
      <c r="C109" s="90">
        <f>ROUND((C70*C58*C66*100),1)</f>
        <v>0</v>
      </c>
      <c r="D109" s="101">
        <f>ROUND((D70*D58*D66*100),1)</f>
        <v>0</v>
      </c>
      <c r="E109" s="83">
        <f>ROUND((E70*E58*E66*100),1)</f>
        <v>0</v>
      </c>
    </row>
    <row r="110" spans="1:218" ht="20.100000000000001" customHeight="1" thickBot="1" x14ac:dyDescent="0.25">
      <c r="A110" s="578" t="s">
        <v>702</v>
      </c>
      <c r="B110" s="579"/>
      <c r="C110" s="91">
        <f t="shared" ref="C110:E110" si="8">SUM(C108:C109)</f>
        <v>0</v>
      </c>
      <c r="D110" s="102">
        <f t="shared" si="8"/>
        <v>0</v>
      </c>
      <c r="E110" s="84">
        <f t="shared" si="8"/>
        <v>0</v>
      </c>
    </row>
    <row r="111" spans="1:218" ht="20.100000000000001" customHeight="1" thickTop="1" thickBot="1" x14ac:dyDescent="0.25">
      <c r="A111" s="584" t="s">
        <v>12</v>
      </c>
      <c r="B111" s="585"/>
      <c r="C111" s="233"/>
      <c r="D111" s="234"/>
      <c r="E111" s="235"/>
    </row>
    <row r="112" spans="1:218" ht="14.25" customHeight="1" x14ac:dyDescent="0.2">
      <c r="A112" s="580" t="s">
        <v>838</v>
      </c>
      <c r="B112" s="581"/>
      <c r="C112" s="236" t="s">
        <v>71</v>
      </c>
      <c r="D112" s="237" t="str">
        <f>'ESTIMATE DATA ENTRY '!$C$59</f>
        <v>NO</v>
      </c>
      <c r="E112" s="238" t="str">
        <f>'ESTIMATE DATA ENTRY '!$C$59</f>
        <v>NO</v>
      </c>
      <c r="HI112" s="7"/>
      <c r="HJ112" s="7"/>
    </row>
    <row r="113" spans="1:216" ht="18" customHeight="1" thickBot="1" x14ac:dyDescent="0.25">
      <c r="A113" s="582" t="s">
        <v>837</v>
      </c>
      <c r="B113" s="583"/>
      <c r="C113" s="239">
        <f>IF(C112="YES", IFERROR(ROUND((C8*C67*C68*100),1),0), 0)</f>
        <v>0</v>
      </c>
      <c r="D113" s="240">
        <f>IF(D112="YES", IFERROR(ROUND((D8*D67*D68*100),1),0), 0)</f>
        <v>0</v>
      </c>
      <c r="E113" s="241">
        <f>IF(E112="YES", IFERROR(ROUND((E8*E67*E68*100),1),0), 0)</f>
        <v>0</v>
      </c>
    </row>
    <row r="114" spans="1:216" s="58" customFormat="1" ht="14.25" x14ac:dyDescent="0.2">
      <c r="A114" s="311" t="s">
        <v>876</v>
      </c>
      <c r="B114" s="312"/>
      <c r="C114" s="309">
        <f>'PRIOR LAW STATE AID'!C100</f>
        <v>0</v>
      </c>
      <c r="D114" s="309">
        <f>'PRIOR LAW STATE AID'!D100</f>
        <v>0</v>
      </c>
      <c r="E114" s="309">
        <f>'PRIOR LAW STATE AID'!E100</f>
        <v>0</v>
      </c>
      <c r="F114" s="217"/>
      <c r="G114" s="217"/>
      <c r="H114" s="217"/>
      <c r="I114" s="217"/>
      <c r="J114" s="217"/>
      <c r="K114" s="217"/>
      <c r="L114" s="217"/>
      <c r="M114" s="217"/>
      <c r="N114" s="217"/>
      <c r="O114" s="217"/>
      <c r="P114" s="217"/>
      <c r="Q114" s="217"/>
      <c r="R114" s="21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row>
    <row r="115" spans="1:216" s="58" customFormat="1" ht="14.25" x14ac:dyDescent="0.2">
      <c r="A115" s="311" t="s">
        <v>835</v>
      </c>
      <c r="B115" s="312"/>
      <c r="C115" s="309">
        <f>'PRIOR LAW STATE AID'!C101</f>
        <v>0</v>
      </c>
      <c r="D115" s="309">
        <f>'PRIOR LAW STATE AID'!D101</f>
        <v>0</v>
      </c>
      <c r="E115" s="309">
        <f>'PRIOR LAW STATE AID'!E101</f>
        <v>0</v>
      </c>
      <c r="F115" s="217"/>
      <c r="G115" s="217"/>
      <c r="H115" s="217"/>
      <c r="I115" s="217"/>
      <c r="J115" s="217"/>
      <c r="K115" s="217"/>
      <c r="L115" s="217"/>
      <c r="M115" s="217"/>
      <c r="N115" s="217"/>
      <c r="O115" s="217"/>
      <c r="P115" s="217"/>
      <c r="Q115" s="217"/>
      <c r="R115" s="21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row>
    <row r="116" spans="1:216" s="58" customFormat="1" ht="14.25" x14ac:dyDescent="0.2">
      <c r="A116" s="311" t="s">
        <v>877</v>
      </c>
      <c r="B116" s="312"/>
      <c r="C116" s="309">
        <f>C115*1.03</f>
        <v>0</v>
      </c>
      <c r="D116" s="309">
        <f t="shared" ref="D116:E116" si="9">D115*1.03</f>
        <v>0</v>
      </c>
      <c r="E116" s="309">
        <f t="shared" si="9"/>
        <v>0</v>
      </c>
      <c r="F116" s="217"/>
      <c r="G116" s="217"/>
      <c r="H116" s="217"/>
      <c r="I116" s="217"/>
      <c r="J116" s="217"/>
      <c r="K116" s="217"/>
      <c r="L116" s="217"/>
      <c r="M116" s="217"/>
      <c r="N116" s="217"/>
      <c r="O116" s="217"/>
      <c r="P116" s="217"/>
      <c r="Q116" s="217"/>
      <c r="R116" s="21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row>
    <row r="117" spans="1:216" s="58" customFormat="1" ht="14.25" x14ac:dyDescent="0.2">
      <c r="A117" s="311" t="s">
        <v>836</v>
      </c>
      <c r="B117" s="312"/>
      <c r="C117" s="309">
        <f>8884.998</f>
        <v>8884.9979999999996</v>
      </c>
      <c r="D117" s="309">
        <f t="shared" ref="D117:E117" si="10">8884.998</f>
        <v>8884.9979999999996</v>
      </c>
      <c r="E117" s="309">
        <f t="shared" si="10"/>
        <v>8884.9979999999996</v>
      </c>
      <c r="F117" s="217"/>
      <c r="G117" s="217"/>
      <c r="H117" s="217"/>
      <c r="I117" s="217"/>
      <c r="J117" s="217"/>
      <c r="K117" s="217"/>
      <c r="L117" s="217"/>
      <c r="M117" s="217"/>
      <c r="N117" s="217"/>
      <c r="O117" s="217"/>
      <c r="P117" s="217"/>
      <c r="Q117" s="217"/>
      <c r="R117" s="21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row>
    <row r="118" spans="1:216" s="58" customFormat="1" ht="14.25" x14ac:dyDescent="0.2">
      <c r="A118" s="311" t="s">
        <v>878</v>
      </c>
      <c r="B118" s="312"/>
      <c r="C118" s="309">
        <f>C117*1.28</f>
        <v>11372.79744</v>
      </c>
      <c r="D118" s="309">
        <f t="shared" ref="D118:E118" si="11">D117*1.28</f>
        <v>11372.79744</v>
      </c>
      <c r="E118" s="309">
        <f t="shared" si="11"/>
        <v>11372.79744</v>
      </c>
      <c r="F118" s="217"/>
      <c r="G118" s="217"/>
      <c r="H118" s="217"/>
      <c r="I118" s="217"/>
      <c r="J118" s="217"/>
      <c r="K118" s="217"/>
      <c r="L118" s="217"/>
      <c r="M118" s="217"/>
      <c r="N118" s="217"/>
      <c r="O118" s="217"/>
      <c r="P118" s="217"/>
      <c r="Q118" s="217"/>
      <c r="R118" s="21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row>
    <row r="119" spans="1:216" s="58" customFormat="1" ht="14.25" x14ac:dyDescent="0.2">
      <c r="A119" s="311" t="s">
        <v>879</v>
      </c>
      <c r="B119" s="312"/>
      <c r="C119" s="309">
        <f>MIN(C116,C118)</f>
        <v>0</v>
      </c>
      <c r="D119" s="309">
        <f t="shared" ref="D119:E119" si="12">MIN(D116,D118)</f>
        <v>0</v>
      </c>
      <c r="E119" s="309">
        <f t="shared" si="12"/>
        <v>0</v>
      </c>
      <c r="F119" s="217"/>
      <c r="G119" s="217"/>
      <c r="H119" s="217"/>
      <c r="I119" s="217"/>
      <c r="J119" s="217"/>
      <c r="K119" s="217"/>
      <c r="L119" s="217"/>
      <c r="M119" s="217"/>
      <c r="N119" s="217"/>
      <c r="O119" s="217"/>
      <c r="P119" s="217"/>
      <c r="Q119" s="217"/>
      <c r="R119" s="21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row>
    <row r="120" spans="1:216" s="58" customFormat="1" ht="14.25" x14ac:dyDescent="0.2">
      <c r="A120" s="311" t="s">
        <v>880</v>
      </c>
      <c r="B120" s="312"/>
      <c r="C120" s="309">
        <f>MAX(C114,C119*C8)</f>
        <v>0</v>
      </c>
      <c r="D120" s="309">
        <f t="shared" ref="D120:E120" si="13">MAX(D114,D119*D8)</f>
        <v>0</v>
      </c>
      <c r="E120" s="309">
        <f t="shared" si="13"/>
        <v>0</v>
      </c>
      <c r="F120" s="217"/>
      <c r="G120" s="217"/>
      <c r="H120" s="217"/>
      <c r="I120" s="217"/>
      <c r="J120" s="217"/>
      <c r="K120" s="217"/>
      <c r="L120" s="217"/>
      <c r="M120" s="217"/>
      <c r="N120" s="217"/>
      <c r="O120" s="217"/>
      <c r="P120" s="217"/>
      <c r="Q120" s="217"/>
      <c r="R120" s="21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row>
    <row r="121" spans="1:216" ht="23.25" customHeight="1" x14ac:dyDescent="0.2">
      <c r="A121" s="311" t="s">
        <v>881</v>
      </c>
      <c r="B121" s="312"/>
      <c r="C121" s="309">
        <f>C106+C110+C113</f>
        <v>0</v>
      </c>
      <c r="D121" s="309">
        <f t="shared" ref="D121:E121" si="14">D106+D110+D113</f>
        <v>0</v>
      </c>
      <c r="E121" s="309">
        <f t="shared" si="14"/>
        <v>0</v>
      </c>
    </row>
    <row r="122" spans="1:216" ht="23.25" customHeight="1" x14ac:dyDescent="0.2">
      <c r="A122" s="311" t="s">
        <v>882</v>
      </c>
      <c r="B122" s="312"/>
      <c r="C122" s="309">
        <f>IFERROR(C121/C8,0)</f>
        <v>0</v>
      </c>
      <c r="D122" s="309">
        <f>IFERROR(D121/D8,0)</f>
        <v>0</v>
      </c>
      <c r="E122" s="309">
        <f>IFERROR(E121/E8,0)</f>
        <v>0</v>
      </c>
    </row>
    <row r="123" spans="1:216" ht="23.25" customHeight="1" x14ac:dyDescent="0.2">
      <c r="A123" s="311" t="s">
        <v>883</v>
      </c>
      <c r="B123" s="312"/>
      <c r="C123" s="310">
        <f>IF(C120&gt;C121,C120-C121,0)</f>
        <v>0</v>
      </c>
      <c r="D123" s="310">
        <f t="shared" ref="D123:E123" si="15">IF(D120&gt;D121,D120-D121,0)</f>
        <v>0</v>
      </c>
      <c r="E123" s="310">
        <f t="shared" si="15"/>
        <v>0</v>
      </c>
    </row>
    <row r="124" spans="1:216" s="6" customFormat="1" ht="20.100000000000001" customHeight="1" thickBot="1" x14ac:dyDescent="0.25">
      <c r="A124" s="574" t="s">
        <v>484</v>
      </c>
      <c r="B124" s="575"/>
      <c r="C124" s="267">
        <f>C113+C123</f>
        <v>0</v>
      </c>
      <c r="D124" s="267">
        <f>D113+D123</f>
        <v>0</v>
      </c>
      <c r="E124" s="267">
        <f>E113+E123</f>
        <v>0</v>
      </c>
      <c r="F124" s="218"/>
      <c r="G124" s="218"/>
      <c r="H124" s="218"/>
      <c r="I124" s="218"/>
      <c r="J124" s="218"/>
      <c r="K124" s="218"/>
      <c r="L124" s="218"/>
      <c r="M124" s="218"/>
      <c r="N124" s="218"/>
      <c r="O124" s="218"/>
      <c r="P124" s="218"/>
      <c r="Q124" s="218"/>
      <c r="R124" s="218"/>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row>
    <row r="125" spans="1:216" s="60" customFormat="1" ht="30" customHeight="1" thickTop="1" thickBot="1" x14ac:dyDescent="0.3">
      <c r="A125" s="553" t="s">
        <v>577</v>
      </c>
      <c r="B125" s="554"/>
      <c r="C125" s="268">
        <f>C106+C110+C124</f>
        <v>0</v>
      </c>
      <c r="D125" s="269">
        <f>D106+D110+D124</f>
        <v>0</v>
      </c>
      <c r="E125" s="268">
        <f>E106+E110+E124</f>
        <v>0</v>
      </c>
      <c r="F125" s="219"/>
      <c r="G125" s="219"/>
      <c r="H125" s="219"/>
      <c r="I125" s="219"/>
      <c r="J125" s="219"/>
      <c r="K125" s="219"/>
      <c r="L125" s="219"/>
      <c r="M125" s="219"/>
      <c r="N125" s="219"/>
      <c r="O125" s="219"/>
      <c r="P125" s="219"/>
      <c r="Q125" s="219"/>
      <c r="R125" s="21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c r="GX125" s="59"/>
      <c r="GY125" s="59"/>
      <c r="GZ125" s="59"/>
      <c r="HA125" s="59"/>
      <c r="HB125" s="59"/>
      <c r="HC125" s="59"/>
      <c r="HD125" s="59"/>
      <c r="HE125" s="59"/>
      <c r="HF125" s="59"/>
      <c r="HG125" s="59"/>
      <c r="HH125" s="59"/>
    </row>
    <row r="126" spans="1:216" ht="18" customHeight="1" thickTop="1" thickBot="1" x14ac:dyDescent="0.25">
      <c r="A126" s="555" t="s">
        <v>614</v>
      </c>
      <c r="B126" s="230" t="s">
        <v>612</v>
      </c>
      <c r="C126" s="92">
        <f>IF(C8=0,0,C61*C60)</f>
        <v>0</v>
      </c>
      <c r="D126" s="103">
        <f>IF(D8=0,0,D61*D60)</f>
        <v>0</v>
      </c>
      <c r="E126" s="92">
        <f>IF(E8=0,0,E61*E60)</f>
        <v>0</v>
      </c>
    </row>
    <row r="127" spans="1:216" ht="18" customHeight="1" thickTop="1" thickBot="1" x14ac:dyDescent="0.25">
      <c r="A127" s="556"/>
      <c r="B127" s="231" t="s">
        <v>613</v>
      </c>
      <c r="C127" s="93">
        <f>C125-C126</f>
        <v>0</v>
      </c>
      <c r="D127" s="104">
        <f>D125-D126</f>
        <v>0</v>
      </c>
      <c r="E127" s="220">
        <f t="shared" ref="E127" si="16">E125-E126</f>
        <v>0</v>
      </c>
    </row>
    <row r="128" spans="1:216" s="7" customFormat="1" ht="20.100000000000001" customHeight="1" thickTop="1" x14ac:dyDescent="0.2">
      <c r="A128" s="10"/>
      <c r="B128" s="133"/>
      <c r="F128" s="214"/>
      <c r="G128" s="214"/>
      <c r="H128" s="214"/>
      <c r="I128" s="214"/>
      <c r="J128" s="214"/>
      <c r="K128" s="214"/>
      <c r="L128" s="214"/>
      <c r="M128" s="214"/>
      <c r="N128" s="214"/>
      <c r="O128" s="214"/>
      <c r="P128" s="214"/>
      <c r="Q128" s="214"/>
      <c r="R128" s="214"/>
    </row>
    <row r="129" spans="1:18" s="7" customFormat="1" ht="20.100000000000001" customHeight="1" x14ac:dyDescent="0.2">
      <c r="A129" s="10"/>
      <c r="B129" s="133"/>
      <c r="F129" s="214"/>
      <c r="G129" s="214"/>
      <c r="H129" s="214"/>
      <c r="I129" s="214"/>
      <c r="J129" s="214"/>
      <c r="K129" s="214"/>
      <c r="L129" s="214"/>
      <c r="M129" s="214"/>
      <c r="N129" s="214"/>
      <c r="O129" s="214"/>
      <c r="P129" s="214"/>
      <c r="Q129" s="214"/>
      <c r="R129" s="214"/>
    </row>
    <row r="130" spans="1:18" s="7" customFormat="1" ht="20.100000000000001" customHeight="1" x14ac:dyDescent="0.2">
      <c r="A130" s="10"/>
      <c r="B130" s="133"/>
      <c r="F130" s="214"/>
      <c r="G130" s="214"/>
      <c r="H130" s="214"/>
      <c r="I130" s="214"/>
      <c r="J130" s="214"/>
      <c r="K130" s="214"/>
      <c r="L130" s="214"/>
      <c r="M130" s="214"/>
      <c r="N130" s="214"/>
      <c r="O130" s="214"/>
      <c r="P130" s="214"/>
      <c r="Q130" s="214"/>
      <c r="R130" s="214"/>
    </row>
    <row r="131" spans="1:18" s="7" customFormat="1" ht="20.100000000000001" customHeight="1" x14ac:dyDescent="0.2">
      <c r="A131" s="10"/>
      <c r="B131" s="133"/>
      <c r="F131" s="214"/>
      <c r="G131" s="214"/>
      <c r="H131" s="214"/>
      <c r="I131" s="214"/>
      <c r="J131" s="214"/>
      <c r="K131" s="214"/>
      <c r="L131" s="214"/>
      <c r="M131" s="214"/>
      <c r="N131" s="214"/>
      <c r="O131" s="214"/>
      <c r="P131" s="214"/>
      <c r="Q131" s="214"/>
      <c r="R131" s="214"/>
    </row>
    <row r="132" spans="1:18" s="7" customFormat="1" ht="20.100000000000001" customHeight="1" x14ac:dyDescent="0.2">
      <c r="A132" s="10"/>
      <c r="B132" s="133"/>
      <c r="F132" s="214"/>
      <c r="G132" s="214"/>
      <c r="H132" s="214"/>
      <c r="I132" s="214"/>
      <c r="J132" s="214"/>
      <c r="K132" s="214"/>
      <c r="L132" s="214"/>
      <c r="M132" s="214"/>
      <c r="N132" s="214"/>
      <c r="O132" s="214"/>
      <c r="P132" s="214"/>
      <c r="Q132" s="214"/>
      <c r="R132" s="214"/>
    </row>
    <row r="133" spans="1:18" s="7" customFormat="1" ht="20.100000000000001" customHeight="1" x14ac:dyDescent="0.2">
      <c r="A133" s="10"/>
      <c r="B133" s="133"/>
      <c r="F133" s="214"/>
      <c r="G133" s="214"/>
      <c r="H133" s="214"/>
      <c r="I133" s="214"/>
      <c r="J133" s="214"/>
      <c r="K133" s="214"/>
      <c r="L133" s="214"/>
      <c r="M133" s="214"/>
      <c r="N133" s="214"/>
      <c r="O133" s="214"/>
      <c r="P133" s="214"/>
      <c r="Q133" s="214"/>
      <c r="R133" s="214"/>
    </row>
    <row r="134" spans="1:18" s="7" customFormat="1" ht="20.100000000000001" customHeight="1" x14ac:dyDescent="0.2">
      <c r="A134" s="10"/>
      <c r="B134" s="133"/>
      <c r="F134" s="214"/>
      <c r="G134" s="214"/>
      <c r="H134" s="214"/>
      <c r="I134" s="214"/>
      <c r="J134" s="214"/>
      <c r="K134" s="214"/>
      <c r="L134" s="214"/>
      <c r="M134" s="214"/>
      <c r="N134" s="214"/>
      <c r="O134" s="214"/>
      <c r="P134" s="214"/>
      <c r="Q134" s="214"/>
      <c r="R134" s="214"/>
    </row>
    <row r="135" spans="1:18" s="7" customFormat="1" ht="20.100000000000001" customHeight="1" x14ac:dyDescent="0.2">
      <c r="A135" s="10"/>
      <c r="B135" s="133"/>
      <c r="F135" s="214"/>
      <c r="G135" s="214"/>
      <c r="H135" s="214"/>
      <c r="I135" s="214"/>
      <c r="J135" s="214"/>
      <c r="K135" s="214"/>
      <c r="L135" s="214"/>
      <c r="M135" s="214"/>
      <c r="N135" s="214"/>
      <c r="O135" s="214"/>
      <c r="P135" s="214"/>
      <c r="Q135" s="214"/>
      <c r="R135" s="214"/>
    </row>
    <row r="136" spans="1:18" s="7" customFormat="1" ht="20.100000000000001" customHeight="1" x14ac:dyDescent="0.2">
      <c r="A136" s="10"/>
      <c r="B136" s="133"/>
      <c r="F136" s="214"/>
      <c r="G136" s="214"/>
      <c r="H136" s="214"/>
      <c r="I136" s="214"/>
      <c r="J136" s="214"/>
      <c r="K136" s="214"/>
      <c r="L136" s="214"/>
      <c r="M136" s="214"/>
      <c r="N136" s="214"/>
      <c r="O136" s="214"/>
      <c r="P136" s="214"/>
      <c r="Q136" s="214"/>
      <c r="R136" s="214"/>
    </row>
    <row r="137" spans="1:18" s="7" customFormat="1" ht="20.100000000000001" customHeight="1" x14ac:dyDescent="0.2">
      <c r="A137" s="10"/>
      <c r="B137" s="133"/>
      <c r="F137" s="214"/>
      <c r="G137" s="214"/>
      <c r="H137" s="214"/>
      <c r="I137" s="214"/>
      <c r="J137" s="214"/>
      <c r="K137" s="214"/>
      <c r="L137" s="214"/>
      <c r="M137" s="214"/>
      <c r="N137" s="214"/>
      <c r="O137" s="214"/>
      <c r="P137" s="214"/>
      <c r="Q137" s="214"/>
      <c r="R137" s="214"/>
    </row>
    <row r="138" spans="1:18" s="7" customFormat="1" ht="20.100000000000001" customHeight="1" x14ac:dyDescent="0.2">
      <c r="A138" s="10"/>
      <c r="B138" s="133"/>
      <c r="F138" s="214"/>
      <c r="G138" s="214"/>
      <c r="H138" s="214"/>
      <c r="I138" s="214"/>
      <c r="J138" s="214"/>
      <c r="K138" s="214"/>
      <c r="L138" s="214"/>
      <c r="M138" s="214"/>
      <c r="N138" s="214"/>
      <c r="O138" s="214"/>
      <c r="P138" s="214"/>
      <c r="Q138" s="214"/>
      <c r="R138" s="214"/>
    </row>
    <row r="139" spans="1:18" s="7" customFormat="1" ht="20.100000000000001" customHeight="1" x14ac:dyDescent="0.2">
      <c r="A139" s="10"/>
      <c r="B139" s="133"/>
      <c r="F139" s="214"/>
      <c r="G139" s="214"/>
      <c r="H139" s="214"/>
      <c r="I139" s="214"/>
      <c r="J139" s="214"/>
      <c r="K139" s="214"/>
      <c r="L139" s="214"/>
      <c r="M139" s="214"/>
      <c r="N139" s="214"/>
      <c r="O139" s="214"/>
      <c r="P139" s="214"/>
      <c r="Q139" s="214"/>
      <c r="R139" s="214"/>
    </row>
    <row r="140" spans="1:18" s="7" customFormat="1" ht="20.100000000000001" customHeight="1" x14ac:dyDescent="0.2">
      <c r="A140" s="10"/>
      <c r="B140" s="133"/>
      <c r="F140" s="214"/>
      <c r="G140" s="214"/>
      <c r="H140" s="214"/>
      <c r="I140" s="214"/>
      <c r="J140" s="214"/>
      <c r="K140" s="214"/>
      <c r="L140" s="214"/>
      <c r="M140" s="214"/>
      <c r="N140" s="214"/>
      <c r="O140" s="214"/>
      <c r="P140" s="214"/>
      <c r="Q140" s="214"/>
      <c r="R140" s="214"/>
    </row>
    <row r="141" spans="1:18" s="7" customFormat="1" ht="20.100000000000001" customHeight="1" x14ac:dyDescent="0.2">
      <c r="A141" s="10"/>
      <c r="B141" s="133"/>
      <c r="F141" s="214"/>
      <c r="G141" s="214"/>
      <c r="H141" s="214"/>
      <c r="I141" s="214"/>
      <c r="J141" s="214"/>
      <c r="K141" s="214"/>
      <c r="L141" s="214"/>
      <c r="M141" s="214"/>
      <c r="N141" s="214"/>
      <c r="O141" s="214"/>
      <c r="P141" s="214"/>
      <c r="Q141" s="214"/>
      <c r="R141" s="214"/>
    </row>
    <row r="142" spans="1:18" s="7" customFormat="1" ht="20.100000000000001" customHeight="1" x14ac:dyDescent="0.2">
      <c r="A142" s="10"/>
      <c r="B142" s="133"/>
      <c r="F142" s="214"/>
      <c r="G142" s="214"/>
      <c r="H142" s="214"/>
      <c r="I142" s="214"/>
      <c r="J142" s="214"/>
      <c r="K142" s="214"/>
      <c r="L142" s="214"/>
      <c r="M142" s="214"/>
      <c r="N142" s="214"/>
      <c r="O142" s="214"/>
      <c r="P142" s="214"/>
      <c r="Q142" s="214"/>
      <c r="R142" s="214"/>
    </row>
    <row r="143" spans="1:18" s="7" customFormat="1" ht="20.100000000000001" customHeight="1" x14ac:dyDescent="0.2">
      <c r="A143" s="10"/>
      <c r="B143" s="133"/>
      <c r="F143" s="214"/>
      <c r="G143" s="214"/>
      <c r="H143" s="214"/>
      <c r="I143" s="214"/>
      <c r="J143" s="214"/>
      <c r="K143" s="214"/>
      <c r="L143" s="214"/>
      <c r="M143" s="214"/>
      <c r="N143" s="214"/>
      <c r="O143" s="214"/>
      <c r="P143" s="214"/>
      <c r="Q143" s="214"/>
      <c r="R143" s="214"/>
    </row>
    <row r="144" spans="1:18" s="7" customFormat="1" ht="20.100000000000001" customHeight="1" x14ac:dyDescent="0.2">
      <c r="A144" s="10"/>
      <c r="B144" s="133"/>
      <c r="F144" s="214"/>
      <c r="G144" s="214"/>
      <c r="H144" s="214"/>
      <c r="I144" s="214"/>
      <c r="J144" s="214"/>
      <c r="K144" s="214"/>
      <c r="L144" s="214"/>
      <c r="M144" s="214"/>
      <c r="N144" s="214"/>
      <c r="O144" s="214"/>
      <c r="P144" s="214"/>
      <c r="Q144" s="214"/>
      <c r="R144" s="214"/>
    </row>
    <row r="145" spans="1:18" s="7" customFormat="1" ht="20.100000000000001" customHeight="1" x14ac:dyDescent="0.2">
      <c r="A145" s="10"/>
      <c r="B145" s="133"/>
      <c r="F145" s="214"/>
      <c r="G145" s="214"/>
      <c r="H145" s="214"/>
      <c r="I145" s="214"/>
      <c r="J145" s="214"/>
      <c r="K145" s="214"/>
      <c r="L145" s="214"/>
      <c r="M145" s="214"/>
      <c r="N145" s="214"/>
      <c r="O145" s="214"/>
      <c r="P145" s="214"/>
      <c r="Q145" s="214"/>
      <c r="R145" s="214"/>
    </row>
    <row r="146" spans="1:18" s="7" customFormat="1" ht="20.100000000000001" customHeight="1" x14ac:dyDescent="0.2">
      <c r="A146" s="10"/>
      <c r="B146" s="133"/>
      <c r="F146" s="214"/>
      <c r="G146" s="214"/>
      <c r="H146" s="214"/>
      <c r="I146" s="214"/>
      <c r="J146" s="214"/>
      <c r="K146" s="214"/>
      <c r="L146" s="214"/>
      <c r="M146" s="214"/>
      <c r="N146" s="214"/>
      <c r="O146" s="214"/>
      <c r="P146" s="214"/>
      <c r="Q146" s="214"/>
      <c r="R146" s="214"/>
    </row>
    <row r="147" spans="1:18" s="7" customFormat="1" ht="20.100000000000001" customHeight="1" x14ac:dyDescent="0.2">
      <c r="A147" s="10"/>
      <c r="B147" s="133"/>
      <c r="F147" s="214"/>
      <c r="G147" s="214"/>
      <c r="H147" s="214"/>
      <c r="I147" s="214"/>
      <c r="J147" s="214"/>
      <c r="K147" s="214"/>
      <c r="L147" s="214"/>
      <c r="M147" s="214"/>
      <c r="N147" s="214"/>
      <c r="O147" s="214"/>
      <c r="P147" s="214"/>
      <c r="Q147" s="214"/>
      <c r="R147" s="214"/>
    </row>
    <row r="148" spans="1:18" s="7" customFormat="1" ht="20.100000000000001" customHeight="1" x14ac:dyDescent="0.2">
      <c r="A148" s="10"/>
      <c r="B148" s="133"/>
      <c r="F148" s="214"/>
      <c r="G148" s="214"/>
      <c r="H148" s="214"/>
      <c r="I148" s="214"/>
      <c r="J148" s="214"/>
      <c r="K148" s="214"/>
      <c r="L148" s="214"/>
      <c r="M148" s="214"/>
      <c r="N148" s="214"/>
      <c r="O148" s="214"/>
      <c r="P148" s="214"/>
      <c r="Q148" s="214"/>
      <c r="R148" s="214"/>
    </row>
    <row r="149" spans="1:18" s="7" customFormat="1" ht="20.100000000000001" customHeight="1" x14ac:dyDescent="0.2">
      <c r="A149" s="10"/>
      <c r="B149" s="133"/>
      <c r="F149" s="214"/>
      <c r="G149" s="214"/>
      <c r="H149" s="214"/>
      <c r="I149" s="214"/>
      <c r="J149" s="214"/>
      <c r="K149" s="214"/>
      <c r="L149" s="214"/>
      <c r="M149" s="214"/>
      <c r="N149" s="214"/>
      <c r="O149" s="214"/>
      <c r="P149" s="214"/>
      <c r="Q149" s="214"/>
      <c r="R149" s="214"/>
    </row>
    <row r="150" spans="1:18" s="7" customFormat="1" ht="20.100000000000001" customHeight="1" x14ac:dyDescent="0.2">
      <c r="A150" s="10"/>
      <c r="B150" s="133"/>
      <c r="F150" s="214"/>
      <c r="G150" s="214"/>
      <c r="H150" s="214"/>
      <c r="I150" s="214"/>
      <c r="J150" s="214"/>
      <c r="K150" s="214"/>
      <c r="L150" s="214"/>
      <c r="M150" s="214"/>
      <c r="N150" s="214"/>
      <c r="O150" s="214"/>
      <c r="P150" s="214"/>
      <c r="Q150" s="214"/>
      <c r="R150" s="214"/>
    </row>
    <row r="151" spans="1:18" s="7" customFormat="1" ht="20.100000000000001" customHeight="1" x14ac:dyDescent="0.2">
      <c r="A151" s="10"/>
      <c r="B151" s="133"/>
      <c r="F151" s="214"/>
      <c r="G151" s="214"/>
      <c r="H151" s="214"/>
      <c r="I151" s="214"/>
      <c r="J151" s="214"/>
      <c r="K151" s="214"/>
      <c r="L151" s="214"/>
      <c r="M151" s="214"/>
      <c r="N151" s="214"/>
      <c r="O151" s="214"/>
      <c r="P151" s="214"/>
      <c r="Q151" s="214"/>
      <c r="R151" s="214"/>
    </row>
    <row r="152" spans="1:18" s="7" customFormat="1" ht="20.100000000000001" customHeight="1" x14ac:dyDescent="0.2">
      <c r="A152" s="10"/>
      <c r="B152" s="133"/>
      <c r="F152" s="214"/>
      <c r="G152" s="214"/>
      <c r="H152" s="214"/>
      <c r="I152" s="214"/>
      <c r="J152" s="214"/>
      <c r="K152" s="214"/>
      <c r="L152" s="214"/>
      <c r="M152" s="214"/>
      <c r="N152" s="214"/>
      <c r="O152" s="214"/>
      <c r="P152" s="214"/>
      <c r="Q152" s="214"/>
      <c r="R152" s="214"/>
    </row>
    <row r="153" spans="1:18" s="7" customFormat="1" ht="20.100000000000001" customHeight="1" x14ac:dyDescent="0.2">
      <c r="A153" s="10"/>
      <c r="B153" s="133"/>
      <c r="F153" s="214"/>
      <c r="G153" s="214"/>
      <c r="H153" s="214"/>
      <c r="I153" s="214"/>
      <c r="J153" s="214"/>
      <c r="K153" s="214"/>
      <c r="L153" s="214"/>
      <c r="M153" s="214"/>
      <c r="N153" s="214"/>
      <c r="O153" s="214"/>
      <c r="P153" s="214"/>
      <c r="Q153" s="214"/>
      <c r="R153" s="214"/>
    </row>
    <row r="154" spans="1:18" s="7" customFormat="1" ht="20.100000000000001" customHeight="1" x14ac:dyDescent="0.2">
      <c r="A154" s="10"/>
      <c r="B154" s="133"/>
      <c r="F154" s="214"/>
      <c r="G154" s="214"/>
      <c r="H154" s="214"/>
      <c r="I154" s="214"/>
      <c r="J154" s="214"/>
      <c r="K154" s="214"/>
      <c r="L154" s="214"/>
      <c r="M154" s="214"/>
      <c r="N154" s="214"/>
      <c r="O154" s="214"/>
      <c r="P154" s="214"/>
      <c r="Q154" s="214"/>
      <c r="R154" s="214"/>
    </row>
    <row r="155" spans="1:18" s="7" customFormat="1" ht="20.100000000000001" customHeight="1" x14ac:dyDescent="0.2">
      <c r="A155" s="10"/>
      <c r="B155" s="133"/>
      <c r="F155" s="214"/>
      <c r="G155" s="214"/>
      <c r="H155" s="214"/>
      <c r="I155" s="214"/>
      <c r="J155" s="214"/>
      <c r="K155" s="214"/>
      <c r="L155" s="214"/>
      <c r="M155" s="214"/>
      <c r="N155" s="214"/>
      <c r="O155" s="214"/>
      <c r="P155" s="214"/>
      <c r="Q155" s="214"/>
      <c r="R155" s="214"/>
    </row>
    <row r="156" spans="1:18" s="7" customFormat="1" ht="20.100000000000001" customHeight="1" x14ac:dyDescent="0.2">
      <c r="A156" s="10"/>
      <c r="B156" s="133"/>
      <c r="F156" s="214"/>
      <c r="G156" s="214"/>
      <c r="H156" s="214"/>
      <c r="I156" s="214"/>
      <c r="J156" s="214"/>
      <c r="K156" s="214"/>
      <c r="L156" s="214"/>
      <c r="M156" s="214"/>
      <c r="N156" s="214"/>
      <c r="O156" s="214"/>
      <c r="P156" s="214"/>
      <c r="Q156" s="214"/>
      <c r="R156" s="214"/>
    </row>
    <row r="157" spans="1:18" s="7" customFormat="1" ht="20.100000000000001" customHeight="1" x14ac:dyDescent="0.2">
      <c r="A157" s="10"/>
      <c r="B157" s="133"/>
      <c r="F157" s="214"/>
      <c r="G157" s="214"/>
      <c r="H157" s="214"/>
      <c r="I157" s="214"/>
      <c r="J157" s="214"/>
      <c r="K157" s="214"/>
      <c r="L157" s="214"/>
      <c r="M157" s="214"/>
      <c r="N157" s="214"/>
      <c r="O157" s="214"/>
      <c r="P157" s="214"/>
      <c r="Q157" s="214"/>
      <c r="R157" s="214"/>
    </row>
    <row r="158" spans="1:18" s="7" customFormat="1" ht="20.100000000000001" customHeight="1" x14ac:dyDescent="0.2">
      <c r="A158" s="10"/>
      <c r="B158" s="133"/>
      <c r="F158" s="214"/>
      <c r="G158" s="214"/>
      <c r="H158" s="214"/>
      <c r="I158" s="214"/>
      <c r="J158" s="214"/>
      <c r="K158" s="214"/>
      <c r="L158" s="214"/>
      <c r="M158" s="214"/>
      <c r="N158" s="214"/>
      <c r="O158" s="214"/>
      <c r="P158" s="214"/>
      <c r="Q158" s="214"/>
      <c r="R158" s="214"/>
    </row>
    <row r="159" spans="1:18" s="7" customFormat="1" ht="20.100000000000001" customHeight="1" x14ac:dyDescent="0.2">
      <c r="A159" s="10"/>
      <c r="B159" s="133"/>
      <c r="F159" s="214"/>
      <c r="G159" s="214"/>
      <c r="H159" s="214"/>
      <c r="I159" s="214"/>
      <c r="J159" s="214"/>
      <c r="K159" s="214"/>
      <c r="L159" s="214"/>
      <c r="M159" s="214"/>
      <c r="N159" s="214"/>
      <c r="O159" s="214"/>
      <c r="P159" s="214"/>
      <c r="Q159" s="214"/>
      <c r="R159" s="214"/>
    </row>
    <row r="160" spans="1:18" s="7" customFormat="1" ht="20.100000000000001" customHeight="1" x14ac:dyDescent="0.2">
      <c r="A160" s="10"/>
      <c r="B160" s="133"/>
      <c r="F160" s="214"/>
      <c r="G160" s="214"/>
      <c r="H160" s="214"/>
      <c r="I160" s="214"/>
      <c r="J160" s="214"/>
      <c r="K160" s="214"/>
      <c r="L160" s="214"/>
      <c r="M160" s="214"/>
      <c r="N160" s="214"/>
      <c r="O160" s="214"/>
      <c r="P160" s="214"/>
      <c r="Q160" s="214"/>
      <c r="R160" s="214"/>
    </row>
    <row r="161" spans="1:18" s="7" customFormat="1" ht="20.100000000000001" customHeight="1" x14ac:dyDescent="0.2">
      <c r="A161" s="10"/>
      <c r="B161" s="133"/>
      <c r="F161" s="214"/>
      <c r="G161" s="214"/>
      <c r="H161" s="214"/>
      <c r="I161" s="214"/>
      <c r="J161" s="214"/>
      <c r="K161" s="214"/>
      <c r="L161" s="214"/>
      <c r="M161" s="214"/>
      <c r="N161" s="214"/>
      <c r="O161" s="214"/>
      <c r="P161" s="214"/>
      <c r="Q161" s="214"/>
      <c r="R161" s="214"/>
    </row>
    <row r="162" spans="1:18" s="7" customFormat="1" ht="20.100000000000001" customHeight="1" x14ac:dyDescent="0.2">
      <c r="A162" s="10"/>
      <c r="B162" s="133"/>
      <c r="F162" s="214"/>
      <c r="G162" s="214"/>
      <c r="H162" s="214"/>
      <c r="I162" s="214"/>
      <c r="J162" s="214"/>
      <c r="K162" s="214"/>
      <c r="L162" s="214"/>
      <c r="M162" s="214"/>
      <c r="N162" s="214"/>
      <c r="O162" s="214"/>
      <c r="P162" s="214"/>
      <c r="Q162" s="214"/>
      <c r="R162" s="214"/>
    </row>
    <row r="163" spans="1:18" s="7" customFormat="1" ht="20.100000000000001" customHeight="1" x14ac:dyDescent="0.2">
      <c r="A163" s="10"/>
      <c r="B163" s="133"/>
      <c r="F163" s="214"/>
      <c r="G163" s="214"/>
      <c r="H163" s="214"/>
      <c r="I163" s="214"/>
      <c r="J163" s="214"/>
      <c r="K163" s="214"/>
      <c r="L163" s="214"/>
      <c r="M163" s="214"/>
      <c r="N163" s="214"/>
      <c r="O163" s="214"/>
      <c r="P163" s="214"/>
      <c r="Q163" s="214"/>
      <c r="R163" s="214"/>
    </row>
    <row r="164" spans="1:18" s="7" customFormat="1" ht="20.100000000000001" customHeight="1" x14ac:dyDescent="0.2">
      <c r="A164" s="10"/>
      <c r="B164" s="133"/>
      <c r="F164" s="214"/>
      <c r="G164" s="214"/>
      <c r="H164" s="214"/>
      <c r="I164" s="214"/>
      <c r="J164" s="214"/>
      <c r="K164" s="214"/>
      <c r="L164" s="214"/>
      <c r="M164" s="214"/>
      <c r="N164" s="214"/>
      <c r="O164" s="214"/>
      <c r="P164" s="214"/>
      <c r="Q164" s="214"/>
      <c r="R164" s="214"/>
    </row>
    <row r="165" spans="1:18" s="7" customFormat="1" ht="20.100000000000001" customHeight="1" x14ac:dyDescent="0.2">
      <c r="A165" s="10"/>
      <c r="B165" s="133"/>
      <c r="F165" s="214"/>
      <c r="G165" s="214"/>
      <c r="H165" s="214"/>
      <c r="I165" s="214"/>
      <c r="J165" s="214"/>
      <c r="K165" s="214"/>
      <c r="L165" s="214"/>
      <c r="M165" s="214"/>
      <c r="N165" s="214"/>
      <c r="O165" s="214"/>
      <c r="P165" s="214"/>
      <c r="Q165" s="214"/>
      <c r="R165" s="214"/>
    </row>
    <row r="166" spans="1:18" s="7" customFormat="1" ht="20.100000000000001" customHeight="1" x14ac:dyDescent="0.2">
      <c r="A166" s="10"/>
      <c r="B166" s="133"/>
      <c r="F166" s="214"/>
      <c r="G166" s="214"/>
      <c r="H166" s="214"/>
      <c r="I166" s="214"/>
      <c r="J166" s="214"/>
      <c r="K166" s="214"/>
      <c r="L166" s="214"/>
      <c r="M166" s="214"/>
      <c r="N166" s="214"/>
      <c r="O166" s="214"/>
      <c r="P166" s="214"/>
      <c r="Q166" s="214"/>
      <c r="R166" s="214"/>
    </row>
    <row r="167" spans="1:18" s="7" customFormat="1" ht="20.100000000000001" customHeight="1" x14ac:dyDescent="0.2">
      <c r="A167" s="10"/>
      <c r="B167" s="133"/>
      <c r="F167" s="214"/>
      <c r="G167" s="214"/>
      <c r="H167" s="214"/>
      <c r="I167" s="214"/>
      <c r="J167" s="214"/>
      <c r="K167" s="214"/>
      <c r="L167" s="214"/>
      <c r="M167" s="214"/>
      <c r="N167" s="214"/>
      <c r="O167" s="214"/>
      <c r="P167" s="214"/>
      <c r="Q167" s="214"/>
      <c r="R167" s="214"/>
    </row>
    <row r="168" spans="1:18" s="7" customFormat="1" ht="20.100000000000001" customHeight="1" x14ac:dyDescent="0.2">
      <c r="A168" s="10"/>
      <c r="B168" s="133"/>
      <c r="F168" s="214"/>
      <c r="G168" s="214"/>
      <c r="H168" s="214"/>
      <c r="I168" s="214"/>
      <c r="J168" s="214"/>
      <c r="K168" s="214"/>
      <c r="L168" s="214"/>
      <c r="M168" s="214"/>
      <c r="N168" s="214"/>
      <c r="O168" s="214"/>
      <c r="P168" s="214"/>
      <c r="Q168" s="214"/>
      <c r="R168" s="214"/>
    </row>
    <row r="169" spans="1:18" s="7" customFormat="1" ht="20.100000000000001" customHeight="1" x14ac:dyDescent="0.2">
      <c r="A169" s="10"/>
      <c r="B169" s="133"/>
      <c r="F169" s="214"/>
      <c r="G169" s="214"/>
      <c r="H169" s="214"/>
      <c r="I169" s="214"/>
      <c r="J169" s="214"/>
      <c r="K169" s="214"/>
      <c r="L169" s="214"/>
      <c r="M169" s="214"/>
      <c r="N169" s="214"/>
      <c r="O169" s="214"/>
      <c r="P169" s="214"/>
      <c r="Q169" s="214"/>
      <c r="R169" s="214"/>
    </row>
    <row r="170" spans="1:18" s="7" customFormat="1" ht="20.100000000000001" customHeight="1" x14ac:dyDescent="0.2">
      <c r="A170" s="10"/>
      <c r="B170" s="133"/>
      <c r="F170" s="214"/>
      <c r="G170" s="214"/>
      <c r="H170" s="214"/>
      <c r="I170" s="214"/>
      <c r="J170" s="214"/>
      <c r="K170" s="214"/>
      <c r="L170" s="214"/>
      <c r="M170" s="214"/>
      <c r="N170" s="214"/>
      <c r="O170" s="214"/>
      <c r="P170" s="214"/>
      <c r="Q170" s="214"/>
      <c r="R170" s="214"/>
    </row>
    <row r="171" spans="1:18" s="7" customFormat="1" ht="20.100000000000001" customHeight="1" x14ac:dyDescent="0.2">
      <c r="A171" s="10"/>
      <c r="B171" s="133"/>
      <c r="F171" s="214"/>
      <c r="G171" s="214"/>
      <c r="H171" s="214"/>
      <c r="I171" s="214"/>
      <c r="J171" s="214"/>
      <c r="K171" s="214"/>
      <c r="L171" s="214"/>
      <c r="M171" s="214"/>
      <c r="N171" s="214"/>
      <c r="O171" s="214"/>
      <c r="P171" s="214"/>
      <c r="Q171" s="214"/>
      <c r="R171" s="214"/>
    </row>
    <row r="172" spans="1:18" s="7" customFormat="1" ht="20.100000000000001" customHeight="1" x14ac:dyDescent="0.2">
      <c r="A172" s="10"/>
      <c r="B172" s="133"/>
      <c r="F172" s="214"/>
      <c r="G172" s="214"/>
      <c r="H172" s="214"/>
      <c r="I172" s="214"/>
      <c r="J172" s="214"/>
      <c r="K172" s="214"/>
      <c r="L172" s="214"/>
      <c r="M172" s="214"/>
      <c r="N172" s="214"/>
      <c r="O172" s="214"/>
      <c r="P172" s="214"/>
      <c r="Q172" s="214"/>
      <c r="R172" s="214"/>
    </row>
    <row r="173" spans="1:18" s="7" customFormat="1" ht="20.100000000000001" customHeight="1" x14ac:dyDescent="0.2">
      <c r="A173" s="10"/>
      <c r="B173" s="133"/>
      <c r="F173" s="214"/>
      <c r="G173" s="214"/>
      <c r="H173" s="214"/>
      <c r="I173" s="214"/>
      <c r="J173" s="214"/>
      <c r="K173" s="214"/>
      <c r="L173" s="214"/>
      <c r="M173" s="214"/>
      <c r="N173" s="214"/>
      <c r="O173" s="214"/>
      <c r="P173" s="214"/>
      <c r="Q173" s="214"/>
      <c r="R173" s="214"/>
    </row>
    <row r="174" spans="1:18" s="7" customFormat="1" ht="20.100000000000001" customHeight="1" x14ac:dyDescent="0.2">
      <c r="A174" s="10"/>
      <c r="B174" s="133"/>
      <c r="F174" s="214"/>
      <c r="G174" s="214"/>
      <c r="H174" s="214"/>
      <c r="I174" s="214"/>
      <c r="J174" s="214"/>
      <c r="K174" s="214"/>
      <c r="L174" s="214"/>
      <c r="M174" s="214"/>
      <c r="N174" s="214"/>
      <c r="O174" s="214"/>
      <c r="P174" s="214"/>
      <c r="Q174" s="214"/>
      <c r="R174" s="214"/>
    </row>
    <row r="175" spans="1:18" s="7" customFormat="1" ht="20.100000000000001" customHeight="1" x14ac:dyDescent="0.2">
      <c r="A175" s="10"/>
      <c r="B175" s="133"/>
      <c r="F175" s="214"/>
      <c r="G175" s="214"/>
      <c r="H175" s="214"/>
      <c r="I175" s="214"/>
      <c r="J175" s="214"/>
      <c r="K175" s="214"/>
      <c r="L175" s="214"/>
      <c r="M175" s="214"/>
      <c r="N175" s="214"/>
      <c r="O175" s="214"/>
      <c r="P175" s="214"/>
      <c r="Q175" s="214"/>
      <c r="R175" s="214"/>
    </row>
    <row r="176" spans="1:18" s="7" customFormat="1" ht="20.100000000000001" customHeight="1" x14ac:dyDescent="0.2">
      <c r="A176" s="10"/>
      <c r="B176" s="133"/>
      <c r="F176" s="214"/>
      <c r="G176" s="214"/>
      <c r="H176" s="214"/>
      <c r="I176" s="214"/>
      <c r="J176" s="214"/>
      <c r="K176" s="214"/>
      <c r="L176" s="214"/>
      <c r="M176" s="214"/>
      <c r="N176" s="214"/>
      <c r="O176" s="214"/>
      <c r="P176" s="214"/>
      <c r="Q176" s="214"/>
      <c r="R176" s="214"/>
    </row>
    <row r="177" spans="1:18" s="7" customFormat="1" ht="20.100000000000001" customHeight="1" x14ac:dyDescent="0.2">
      <c r="A177" s="10"/>
      <c r="B177" s="133"/>
      <c r="F177" s="214"/>
      <c r="G177" s="214"/>
      <c r="H177" s="214"/>
      <c r="I177" s="214"/>
      <c r="J177" s="214"/>
      <c r="K177" s="214"/>
      <c r="L177" s="214"/>
      <c r="M177" s="214"/>
      <c r="N177" s="214"/>
      <c r="O177" s="214"/>
      <c r="P177" s="214"/>
      <c r="Q177" s="214"/>
      <c r="R177" s="214"/>
    </row>
    <row r="178" spans="1:18" s="7" customFormat="1" ht="20.100000000000001" customHeight="1" x14ac:dyDescent="0.2">
      <c r="A178" s="10"/>
      <c r="B178" s="133"/>
      <c r="F178" s="214"/>
      <c r="G178" s="214"/>
      <c r="H178" s="214"/>
      <c r="I178" s="214"/>
      <c r="J178" s="214"/>
      <c r="K178" s="214"/>
      <c r="L178" s="214"/>
      <c r="M178" s="214"/>
      <c r="N178" s="214"/>
      <c r="O178" s="214"/>
      <c r="P178" s="214"/>
      <c r="Q178" s="214"/>
      <c r="R178" s="214"/>
    </row>
    <row r="179" spans="1:18" s="7" customFormat="1" ht="20.100000000000001" customHeight="1" x14ac:dyDescent="0.2">
      <c r="A179" s="10"/>
      <c r="B179" s="133"/>
      <c r="F179" s="214"/>
      <c r="G179" s="214"/>
      <c r="H179" s="214"/>
      <c r="I179" s="214"/>
      <c r="J179" s="214"/>
      <c r="K179" s="214"/>
      <c r="L179" s="214"/>
      <c r="M179" s="214"/>
      <c r="N179" s="214"/>
      <c r="O179" s="214"/>
      <c r="P179" s="214"/>
      <c r="Q179" s="214"/>
      <c r="R179" s="214"/>
    </row>
    <row r="180" spans="1:18" s="7" customFormat="1" ht="20.100000000000001" customHeight="1" x14ac:dyDescent="0.2">
      <c r="A180" s="10"/>
      <c r="B180" s="133"/>
      <c r="F180" s="214"/>
      <c r="G180" s="214"/>
      <c r="H180" s="214"/>
      <c r="I180" s="214"/>
      <c r="J180" s="214"/>
      <c r="K180" s="214"/>
      <c r="L180" s="214"/>
      <c r="M180" s="214"/>
      <c r="N180" s="214"/>
      <c r="O180" s="214"/>
      <c r="P180" s="214"/>
      <c r="Q180" s="214"/>
      <c r="R180" s="214"/>
    </row>
    <row r="181" spans="1:18" s="7" customFormat="1" ht="20.100000000000001" customHeight="1" x14ac:dyDescent="0.2">
      <c r="A181" s="10"/>
      <c r="B181" s="133"/>
      <c r="F181" s="214"/>
      <c r="G181" s="214"/>
      <c r="H181" s="214"/>
      <c r="I181" s="214"/>
      <c r="J181" s="214"/>
      <c r="K181" s="214"/>
      <c r="L181" s="214"/>
      <c r="M181" s="214"/>
      <c r="N181" s="214"/>
      <c r="O181" s="214"/>
      <c r="P181" s="214"/>
      <c r="Q181" s="214"/>
      <c r="R181" s="214"/>
    </row>
    <row r="182" spans="1:18" s="7" customFormat="1" ht="20.100000000000001" customHeight="1" x14ac:dyDescent="0.2">
      <c r="A182" s="10"/>
      <c r="B182" s="133"/>
      <c r="F182" s="214"/>
      <c r="G182" s="214"/>
      <c r="H182" s="214"/>
      <c r="I182" s="214"/>
      <c r="J182" s="214"/>
      <c r="K182" s="214"/>
      <c r="L182" s="214"/>
      <c r="M182" s="214"/>
      <c r="N182" s="214"/>
      <c r="O182" s="214"/>
      <c r="P182" s="214"/>
      <c r="Q182" s="214"/>
      <c r="R182" s="214"/>
    </row>
    <row r="183" spans="1:18" s="7" customFormat="1" ht="20.100000000000001" customHeight="1" x14ac:dyDescent="0.2">
      <c r="A183" s="10"/>
      <c r="B183" s="133"/>
      <c r="F183" s="214"/>
      <c r="G183" s="214"/>
      <c r="H183" s="214"/>
      <c r="I183" s="214"/>
      <c r="J183" s="214"/>
      <c r="K183" s="214"/>
      <c r="L183" s="214"/>
      <c r="M183" s="214"/>
      <c r="N183" s="214"/>
      <c r="O183" s="214"/>
      <c r="P183" s="214"/>
      <c r="Q183" s="214"/>
      <c r="R183" s="214"/>
    </row>
    <row r="184" spans="1:18" s="7" customFormat="1" ht="20.100000000000001" customHeight="1" x14ac:dyDescent="0.2">
      <c r="A184" s="10"/>
      <c r="B184" s="133"/>
      <c r="F184" s="214"/>
      <c r="G184" s="214"/>
      <c r="H184" s="214"/>
      <c r="I184" s="214"/>
      <c r="J184" s="214"/>
      <c r="K184" s="214"/>
      <c r="L184" s="214"/>
      <c r="M184" s="214"/>
      <c r="N184" s="214"/>
      <c r="O184" s="214"/>
      <c r="P184" s="214"/>
      <c r="Q184" s="214"/>
      <c r="R184" s="214"/>
    </row>
    <row r="185" spans="1:18" s="7" customFormat="1" ht="20.100000000000001" customHeight="1" x14ac:dyDescent="0.2">
      <c r="A185" s="10"/>
      <c r="B185" s="133"/>
      <c r="F185" s="214"/>
      <c r="G185" s="214"/>
      <c r="H185" s="214"/>
      <c r="I185" s="214"/>
      <c r="J185" s="214"/>
      <c r="K185" s="214"/>
      <c r="L185" s="214"/>
      <c r="M185" s="214"/>
      <c r="N185" s="214"/>
      <c r="O185" s="214"/>
      <c r="P185" s="214"/>
      <c r="Q185" s="214"/>
      <c r="R185" s="214"/>
    </row>
    <row r="186" spans="1:18" s="7" customFormat="1" ht="20.100000000000001" customHeight="1" x14ac:dyDescent="0.2">
      <c r="A186" s="10"/>
      <c r="B186" s="133"/>
      <c r="F186" s="214"/>
      <c r="G186" s="214"/>
      <c r="H186" s="214"/>
      <c r="I186" s="214"/>
      <c r="J186" s="214"/>
      <c r="K186" s="214"/>
      <c r="L186" s="214"/>
      <c r="M186" s="214"/>
      <c r="N186" s="214"/>
      <c r="O186" s="214"/>
      <c r="P186" s="214"/>
      <c r="Q186" s="214"/>
      <c r="R186" s="214"/>
    </row>
    <row r="187" spans="1:18" s="7" customFormat="1" ht="20.100000000000001" customHeight="1" x14ac:dyDescent="0.2">
      <c r="A187" s="10"/>
      <c r="B187" s="133"/>
      <c r="F187" s="214"/>
      <c r="G187" s="214"/>
      <c r="H187" s="214"/>
      <c r="I187" s="214"/>
      <c r="J187" s="214"/>
      <c r="K187" s="214"/>
      <c r="L187" s="214"/>
      <c r="M187" s="214"/>
      <c r="N187" s="214"/>
      <c r="O187" s="214"/>
      <c r="P187" s="214"/>
      <c r="Q187" s="214"/>
      <c r="R187" s="214"/>
    </row>
    <row r="188" spans="1:18" s="7" customFormat="1" ht="20.100000000000001" customHeight="1" x14ac:dyDescent="0.2">
      <c r="A188" s="10"/>
      <c r="B188" s="133"/>
      <c r="F188" s="214"/>
      <c r="G188" s="214"/>
      <c r="H188" s="214"/>
      <c r="I188" s="214"/>
      <c r="J188" s="214"/>
      <c r="K188" s="214"/>
      <c r="L188" s="214"/>
      <c r="M188" s="214"/>
      <c r="N188" s="214"/>
      <c r="O188" s="214"/>
      <c r="P188" s="214"/>
      <c r="Q188" s="214"/>
      <c r="R188" s="214"/>
    </row>
    <row r="189" spans="1:18" s="7" customFormat="1" ht="20.100000000000001" customHeight="1" x14ac:dyDescent="0.2">
      <c r="A189" s="10"/>
      <c r="B189" s="133"/>
      <c r="F189" s="214"/>
      <c r="G189" s="214"/>
      <c r="H189" s="214"/>
      <c r="I189" s="214"/>
      <c r="J189" s="214"/>
      <c r="K189" s="214"/>
      <c r="L189" s="214"/>
      <c r="M189" s="214"/>
      <c r="N189" s="214"/>
      <c r="O189" s="214"/>
      <c r="P189" s="214"/>
      <c r="Q189" s="214"/>
      <c r="R189" s="214"/>
    </row>
    <row r="190" spans="1:18" s="7" customFormat="1" ht="20.100000000000001" customHeight="1" x14ac:dyDescent="0.2">
      <c r="A190" s="10"/>
      <c r="B190" s="133"/>
      <c r="F190" s="214"/>
      <c r="G190" s="214"/>
      <c r="H190" s="214"/>
      <c r="I190" s="214"/>
      <c r="J190" s="214"/>
      <c r="K190" s="214"/>
      <c r="L190" s="214"/>
      <c r="M190" s="214"/>
      <c r="N190" s="214"/>
      <c r="O190" s="214"/>
      <c r="P190" s="214"/>
      <c r="Q190" s="214"/>
      <c r="R190" s="214"/>
    </row>
    <row r="191" spans="1:18" s="7" customFormat="1" ht="20.100000000000001" customHeight="1" x14ac:dyDescent="0.2">
      <c r="A191" s="10"/>
      <c r="B191" s="133"/>
      <c r="F191" s="214"/>
      <c r="G191" s="214"/>
      <c r="H191" s="214"/>
      <c r="I191" s="214"/>
      <c r="J191" s="214"/>
      <c r="K191" s="214"/>
      <c r="L191" s="214"/>
      <c r="M191" s="214"/>
      <c r="N191" s="214"/>
      <c r="O191" s="214"/>
      <c r="P191" s="214"/>
      <c r="Q191" s="214"/>
      <c r="R191" s="214"/>
    </row>
    <row r="192" spans="1:18" s="7" customFormat="1" ht="20.100000000000001" customHeight="1" x14ac:dyDescent="0.2">
      <c r="A192" s="10"/>
      <c r="B192" s="133"/>
      <c r="F192" s="214"/>
      <c r="G192" s="214"/>
      <c r="H192" s="214"/>
      <c r="I192" s="214"/>
      <c r="J192" s="214"/>
      <c r="K192" s="214"/>
      <c r="L192" s="214"/>
      <c r="M192" s="214"/>
      <c r="N192" s="214"/>
      <c r="O192" s="214"/>
      <c r="P192" s="214"/>
      <c r="Q192" s="214"/>
      <c r="R192" s="214"/>
    </row>
    <row r="193" spans="1:18" s="7" customFormat="1" ht="20.100000000000001" customHeight="1" x14ac:dyDescent="0.2">
      <c r="A193" s="10"/>
      <c r="B193" s="133"/>
      <c r="F193" s="214"/>
      <c r="G193" s="214"/>
      <c r="H193" s="214"/>
      <c r="I193" s="214"/>
      <c r="J193" s="214"/>
      <c r="K193" s="214"/>
      <c r="L193" s="214"/>
      <c r="M193" s="214"/>
      <c r="N193" s="214"/>
      <c r="O193" s="214"/>
      <c r="P193" s="214"/>
      <c r="Q193" s="214"/>
      <c r="R193" s="214"/>
    </row>
    <row r="194" spans="1:18" s="7" customFormat="1" ht="20.100000000000001" customHeight="1" x14ac:dyDescent="0.2">
      <c r="A194" s="10"/>
      <c r="B194" s="133"/>
      <c r="F194" s="214"/>
      <c r="G194" s="214"/>
      <c r="H194" s="214"/>
      <c r="I194" s="214"/>
      <c r="J194" s="214"/>
      <c r="K194" s="214"/>
      <c r="L194" s="214"/>
      <c r="M194" s="214"/>
      <c r="N194" s="214"/>
      <c r="O194" s="214"/>
      <c r="P194" s="214"/>
      <c r="Q194" s="214"/>
      <c r="R194" s="214"/>
    </row>
    <row r="195" spans="1:18" s="7" customFormat="1" ht="20.100000000000001" customHeight="1" x14ac:dyDescent="0.2">
      <c r="A195" s="10"/>
      <c r="B195" s="133"/>
      <c r="F195" s="214"/>
      <c r="G195" s="214"/>
      <c r="H195" s="214"/>
      <c r="I195" s="214"/>
      <c r="J195" s="214"/>
      <c r="K195" s="214"/>
      <c r="L195" s="214"/>
      <c r="M195" s="214"/>
      <c r="N195" s="214"/>
      <c r="O195" s="214"/>
      <c r="P195" s="214"/>
      <c r="Q195" s="214"/>
      <c r="R195" s="214"/>
    </row>
    <row r="196" spans="1:18" s="7" customFormat="1" ht="20.100000000000001" customHeight="1" x14ac:dyDescent="0.2">
      <c r="A196" s="10"/>
      <c r="B196" s="133"/>
      <c r="F196" s="214"/>
      <c r="G196" s="214"/>
      <c r="H196" s="214"/>
      <c r="I196" s="214"/>
      <c r="J196" s="214"/>
      <c r="K196" s="214"/>
      <c r="L196" s="214"/>
      <c r="M196" s="214"/>
      <c r="N196" s="214"/>
      <c r="O196" s="214"/>
      <c r="P196" s="214"/>
      <c r="Q196" s="214"/>
      <c r="R196" s="214"/>
    </row>
    <row r="197" spans="1:18" s="7" customFormat="1" ht="20.100000000000001" customHeight="1" x14ac:dyDescent="0.2">
      <c r="A197" s="10"/>
      <c r="B197" s="133"/>
      <c r="F197" s="214"/>
      <c r="G197" s="214"/>
      <c r="H197" s="214"/>
      <c r="I197" s="214"/>
      <c r="J197" s="214"/>
      <c r="K197" s="214"/>
      <c r="L197" s="214"/>
      <c r="M197" s="214"/>
      <c r="N197" s="214"/>
      <c r="O197" s="214"/>
      <c r="P197" s="214"/>
      <c r="Q197" s="214"/>
      <c r="R197" s="214"/>
    </row>
    <row r="198" spans="1:18" s="7" customFormat="1" ht="20.100000000000001" customHeight="1" x14ac:dyDescent="0.2">
      <c r="A198" s="10"/>
      <c r="B198" s="133"/>
      <c r="F198" s="214"/>
      <c r="G198" s="214"/>
      <c r="H198" s="214"/>
      <c r="I198" s="214"/>
      <c r="J198" s="214"/>
      <c r="K198" s="214"/>
      <c r="L198" s="214"/>
      <c r="M198" s="214"/>
      <c r="N198" s="214"/>
      <c r="O198" s="214"/>
      <c r="P198" s="214"/>
      <c r="Q198" s="214"/>
      <c r="R198" s="214"/>
    </row>
    <row r="199" spans="1:18" s="7" customFormat="1" ht="20.100000000000001" customHeight="1" x14ac:dyDescent="0.2">
      <c r="A199" s="10"/>
      <c r="B199" s="133"/>
      <c r="F199" s="214"/>
      <c r="G199" s="214"/>
      <c r="H199" s="214"/>
      <c r="I199" s="214"/>
      <c r="J199" s="214"/>
      <c r="K199" s="214"/>
      <c r="L199" s="214"/>
      <c r="M199" s="214"/>
      <c r="N199" s="214"/>
      <c r="O199" s="214"/>
      <c r="P199" s="214"/>
      <c r="Q199" s="214"/>
      <c r="R199" s="214"/>
    </row>
    <row r="200" spans="1:18" s="7" customFormat="1" ht="20.100000000000001" customHeight="1" x14ac:dyDescent="0.2">
      <c r="A200" s="10"/>
      <c r="B200" s="133"/>
      <c r="F200" s="214"/>
      <c r="G200" s="214"/>
      <c r="H200" s="214"/>
      <c r="I200" s="214"/>
      <c r="J200" s="214"/>
      <c r="K200" s="214"/>
      <c r="L200" s="214"/>
      <c r="M200" s="214"/>
      <c r="N200" s="214"/>
      <c r="O200" s="214"/>
      <c r="P200" s="214"/>
      <c r="Q200" s="214"/>
      <c r="R200" s="214"/>
    </row>
    <row r="201" spans="1:18" s="7" customFormat="1" ht="20.100000000000001" customHeight="1" x14ac:dyDescent="0.2">
      <c r="A201" s="10"/>
      <c r="B201" s="133"/>
      <c r="F201" s="214"/>
      <c r="G201" s="214"/>
      <c r="H201" s="214"/>
      <c r="I201" s="214"/>
      <c r="J201" s="214"/>
      <c r="K201" s="214"/>
      <c r="L201" s="214"/>
      <c r="M201" s="214"/>
      <c r="N201" s="214"/>
      <c r="O201" s="214"/>
      <c r="P201" s="214"/>
      <c r="Q201" s="214"/>
      <c r="R201" s="214"/>
    </row>
    <row r="202" spans="1:18" s="7" customFormat="1" ht="20.100000000000001" customHeight="1" x14ac:dyDescent="0.2">
      <c r="A202" s="10"/>
      <c r="B202" s="133"/>
      <c r="F202" s="214"/>
      <c r="G202" s="214"/>
      <c r="H202" s="214"/>
      <c r="I202" s="214"/>
      <c r="J202" s="214"/>
      <c r="K202" s="214"/>
      <c r="L202" s="214"/>
      <c r="M202" s="214"/>
      <c r="N202" s="214"/>
      <c r="O202" s="214"/>
      <c r="P202" s="214"/>
      <c r="Q202" s="214"/>
      <c r="R202" s="214"/>
    </row>
    <row r="203" spans="1:18" s="7" customFormat="1" ht="20.100000000000001" customHeight="1" x14ac:dyDescent="0.2">
      <c r="A203" s="10"/>
      <c r="B203" s="133"/>
      <c r="F203" s="214"/>
      <c r="G203" s="214"/>
      <c r="H203" s="214"/>
      <c r="I203" s="214"/>
      <c r="J203" s="214"/>
      <c r="K203" s="214"/>
      <c r="L203" s="214"/>
      <c r="M203" s="214"/>
      <c r="N203" s="214"/>
      <c r="O203" s="214"/>
      <c r="P203" s="214"/>
      <c r="Q203" s="214"/>
      <c r="R203" s="214"/>
    </row>
    <row r="204" spans="1:18" s="7" customFormat="1" ht="20.100000000000001" customHeight="1" x14ac:dyDescent="0.2">
      <c r="A204" s="10"/>
      <c r="B204" s="133"/>
      <c r="F204" s="214"/>
      <c r="G204" s="214"/>
      <c r="H204" s="214"/>
      <c r="I204" s="214"/>
      <c r="J204" s="214"/>
      <c r="K204" s="214"/>
      <c r="L204" s="214"/>
      <c r="M204" s="214"/>
      <c r="N204" s="214"/>
      <c r="O204" s="214"/>
      <c r="P204" s="214"/>
      <c r="Q204" s="214"/>
      <c r="R204" s="214"/>
    </row>
    <row r="205" spans="1:18" s="7" customFormat="1" ht="20.100000000000001" customHeight="1" x14ac:dyDescent="0.2">
      <c r="A205" s="10"/>
      <c r="B205" s="133"/>
      <c r="F205" s="214"/>
      <c r="G205" s="214"/>
      <c r="H205" s="214"/>
      <c r="I205" s="214"/>
      <c r="J205" s="214"/>
      <c r="K205" s="214"/>
      <c r="L205" s="214"/>
      <c r="M205" s="214"/>
      <c r="N205" s="214"/>
      <c r="O205" s="214"/>
      <c r="P205" s="214"/>
      <c r="Q205" s="214"/>
      <c r="R205" s="214"/>
    </row>
    <row r="206" spans="1:18" s="7" customFormat="1" ht="20.100000000000001" customHeight="1" x14ac:dyDescent="0.2">
      <c r="A206" s="10"/>
      <c r="B206" s="133"/>
      <c r="F206" s="214"/>
      <c r="G206" s="214"/>
      <c r="H206" s="214"/>
      <c r="I206" s="214"/>
      <c r="J206" s="214"/>
      <c r="K206" s="214"/>
      <c r="L206" s="214"/>
      <c r="M206" s="214"/>
      <c r="N206" s="214"/>
      <c r="O206" s="214"/>
      <c r="P206" s="214"/>
      <c r="Q206" s="214"/>
      <c r="R206" s="214"/>
    </row>
    <row r="207" spans="1:18" s="7" customFormat="1" ht="20.100000000000001" customHeight="1" x14ac:dyDescent="0.2">
      <c r="A207" s="10"/>
      <c r="B207" s="133"/>
      <c r="F207" s="214"/>
      <c r="G207" s="214"/>
      <c r="H207" s="214"/>
      <c r="I207" s="214"/>
      <c r="J207" s="214"/>
      <c r="K207" s="214"/>
      <c r="L207" s="214"/>
      <c r="M207" s="214"/>
      <c r="N207" s="214"/>
      <c r="O207" s="214"/>
      <c r="P207" s="214"/>
      <c r="Q207" s="214"/>
      <c r="R207" s="214"/>
    </row>
    <row r="208" spans="1:18" s="7" customFormat="1" ht="20.100000000000001" customHeight="1" x14ac:dyDescent="0.2">
      <c r="A208" s="10"/>
      <c r="B208" s="133"/>
      <c r="F208" s="214"/>
      <c r="G208" s="214"/>
      <c r="H208" s="214"/>
      <c r="I208" s="214"/>
      <c r="J208" s="214"/>
      <c r="K208" s="214"/>
      <c r="L208" s="214"/>
      <c r="M208" s="214"/>
      <c r="N208" s="214"/>
      <c r="O208" s="214"/>
      <c r="P208" s="214"/>
      <c r="Q208" s="214"/>
      <c r="R208" s="214"/>
    </row>
    <row r="209" spans="1:18" s="7" customFormat="1" ht="20.100000000000001" customHeight="1" x14ac:dyDescent="0.2">
      <c r="A209" s="10"/>
      <c r="B209" s="133"/>
      <c r="F209" s="214"/>
      <c r="G209" s="214"/>
      <c r="H209" s="214"/>
      <c r="I209" s="214"/>
      <c r="J209" s="214"/>
      <c r="K209" s="214"/>
      <c r="L209" s="214"/>
      <c r="M209" s="214"/>
      <c r="N209" s="214"/>
      <c r="O209" s="214"/>
      <c r="P209" s="214"/>
      <c r="Q209" s="214"/>
      <c r="R209" s="214"/>
    </row>
    <row r="210" spans="1:18" s="7" customFormat="1" ht="20.100000000000001" customHeight="1" x14ac:dyDescent="0.2">
      <c r="A210" s="10"/>
      <c r="B210" s="133"/>
      <c r="F210" s="214"/>
      <c r="G210" s="214"/>
      <c r="H210" s="214"/>
      <c r="I210" s="214"/>
      <c r="J210" s="214"/>
      <c r="K210" s="214"/>
      <c r="L210" s="214"/>
      <c r="M210" s="214"/>
      <c r="N210" s="214"/>
      <c r="O210" s="214"/>
      <c r="P210" s="214"/>
      <c r="Q210" s="214"/>
      <c r="R210" s="214"/>
    </row>
    <row r="211" spans="1:18" s="7" customFormat="1" ht="20.100000000000001" customHeight="1" x14ac:dyDescent="0.2">
      <c r="A211" s="10"/>
      <c r="B211" s="133"/>
      <c r="F211" s="214"/>
      <c r="G211" s="214"/>
      <c r="H211" s="214"/>
      <c r="I211" s="214"/>
      <c r="J211" s="214"/>
      <c r="K211" s="214"/>
      <c r="L211" s="214"/>
      <c r="M211" s="214"/>
      <c r="N211" s="214"/>
      <c r="O211" s="214"/>
      <c r="P211" s="214"/>
      <c r="Q211" s="214"/>
      <c r="R211" s="214"/>
    </row>
    <row r="212" spans="1:18" s="7" customFormat="1" ht="20.100000000000001" customHeight="1" x14ac:dyDescent="0.2">
      <c r="A212" s="10"/>
      <c r="B212" s="133"/>
      <c r="F212" s="214"/>
      <c r="G212" s="214"/>
      <c r="H212" s="214"/>
      <c r="I212" s="214"/>
      <c r="J212" s="214"/>
      <c r="K212" s="214"/>
      <c r="L212" s="214"/>
      <c r="M212" s="214"/>
      <c r="N212" s="214"/>
      <c r="O212" s="214"/>
      <c r="P212" s="214"/>
      <c r="Q212" s="214"/>
      <c r="R212" s="214"/>
    </row>
    <row r="213" spans="1:18" s="7" customFormat="1" ht="20.100000000000001" customHeight="1" x14ac:dyDescent="0.2">
      <c r="A213" s="10"/>
      <c r="B213" s="133"/>
      <c r="F213" s="214"/>
      <c r="G213" s="214"/>
      <c r="H213" s="214"/>
      <c r="I213" s="214"/>
      <c r="J213" s="214"/>
      <c r="K213" s="214"/>
      <c r="L213" s="214"/>
      <c r="M213" s="214"/>
      <c r="N213" s="214"/>
      <c r="O213" s="214"/>
      <c r="P213" s="214"/>
      <c r="Q213" s="214"/>
      <c r="R213" s="214"/>
    </row>
    <row r="214" spans="1:18" s="7" customFormat="1" ht="20.100000000000001" customHeight="1" x14ac:dyDescent="0.2">
      <c r="A214" s="10"/>
      <c r="B214" s="133"/>
      <c r="F214" s="214"/>
      <c r="G214" s="214"/>
      <c r="H214" s="214"/>
      <c r="I214" s="214"/>
      <c r="J214" s="214"/>
      <c r="K214" s="214"/>
      <c r="L214" s="214"/>
      <c r="M214" s="214"/>
      <c r="N214" s="214"/>
      <c r="O214" s="214"/>
      <c r="P214" s="214"/>
      <c r="Q214" s="214"/>
      <c r="R214" s="214"/>
    </row>
    <row r="215" spans="1:18" s="7" customFormat="1" ht="20.100000000000001" customHeight="1" x14ac:dyDescent="0.2">
      <c r="A215" s="10"/>
      <c r="B215" s="133"/>
      <c r="F215" s="214"/>
      <c r="G215" s="214"/>
      <c r="H215" s="214"/>
      <c r="I215" s="214"/>
      <c r="J215" s="214"/>
      <c r="K215" s="214"/>
      <c r="L215" s="214"/>
      <c r="M215" s="214"/>
      <c r="N215" s="214"/>
      <c r="O215" s="214"/>
      <c r="P215" s="214"/>
      <c r="Q215" s="214"/>
      <c r="R215" s="214"/>
    </row>
    <row r="216" spans="1:18" s="7" customFormat="1" ht="20.100000000000001" customHeight="1" x14ac:dyDescent="0.2">
      <c r="A216" s="10"/>
      <c r="B216" s="133"/>
      <c r="F216" s="214"/>
      <c r="G216" s="214"/>
      <c r="H216" s="214"/>
      <c r="I216" s="214"/>
      <c r="J216" s="214"/>
      <c r="K216" s="214"/>
      <c r="L216" s="214"/>
      <c r="M216" s="214"/>
      <c r="N216" s="214"/>
      <c r="O216" s="214"/>
      <c r="P216" s="214"/>
      <c r="Q216" s="214"/>
      <c r="R216" s="214"/>
    </row>
    <row r="217" spans="1:18" s="7" customFormat="1" ht="20.100000000000001" customHeight="1" x14ac:dyDescent="0.2">
      <c r="A217" s="10"/>
      <c r="B217" s="133"/>
      <c r="F217" s="214"/>
      <c r="G217" s="214"/>
      <c r="H217" s="214"/>
      <c r="I217" s="214"/>
      <c r="J217" s="214"/>
      <c r="K217" s="214"/>
      <c r="L217" s="214"/>
      <c r="M217" s="214"/>
      <c r="N217" s="214"/>
      <c r="O217" s="214"/>
      <c r="P217" s="214"/>
      <c r="Q217" s="214"/>
      <c r="R217" s="214"/>
    </row>
    <row r="218" spans="1:18" s="7" customFormat="1" ht="20.100000000000001" customHeight="1" x14ac:dyDescent="0.2">
      <c r="A218" s="10"/>
      <c r="B218" s="133"/>
      <c r="F218" s="214"/>
      <c r="G218" s="214"/>
      <c r="H218" s="214"/>
      <c r="I218" s="214"/>
      <c r="J218" s="214"/>
      <c r="K218" s="214"/>
      <c r="L218" s="214"/>
      <c r="M218" s="214"/>
      <c r="N218" s="214"/>
      <c r="O218" s="214"/>
      <c r="P218" s="214"/>
      <c r="Q218" s="214"/>
      <c r="R218" s="214"/>
    </row>
    <row r="219" spans="1:18" s="7" customFormat="1" ht="20.100000000000001" customHeight="1" x14ac:dyDescent="0.2">
      <c r="A219" s="10"/>
      <c r="B219" s="133"/>
      <c r="F219" s="214"/>
      <c r="G219" s="214"/>
      <c r="H219" s="214"/>
      <c r="I219" s="214"/>
      <c r="J219" s="214"/>
      <c r="K219" s="214"/>
      <c r="L219" s="214"/>
      <c r="M219" s="214"/>
      <c r="N219" s="214"/>
      <c r="O219" s="214"/>
      <c r="P219" s="214"/>
      <c r="Q219" s="214"/>
      <c r="R219" s="214"/>
    </row>
    <row r="220" spans="1:18" s="7" customFormat="1" ht="20.100000000000001" customHeight="1" x14ac:dyDescent="0.2">
      <c r="A220" s="10"/>
      <c r="B220" s="133"/>
      <c r="F220" s="214"/>
      <c r="G220" s="214"/>
      <c r="H220" s="214"/>
      <c r="I220" s="214"/>
      <c r="J220" s="214"/>
      <c r="K220" s="214"/>
      <c r="L220" s="214"/>
      <c r="M220" s="214"/>
      <c r="N220" s="214"/>
      <c r="O220" s="214"/>
      <c r="P220" s="214"/>
      <c r="Q220" s="214"/>
      <c r="R220" s="214"/>
    </row>
    <row r="221" spans="1:18" s="7" customFormat="1" ht="20.100000000000001" customHeight="1" x14ac:dyDescent="0.2">
      <c r="A221" s="10"/>
      <c r="B221" s="133"/>
      <c r="F221" s="214"/>
      <c r="G221" s="214"/>
      <c r="H221" s="214"/>
      <c r="I221" s="214"/>
      <c r="J221" s="214"/>
      <c r="K221" s="214"/>
      <c r="L221" s="214"/>
      <c r="M221" s="214"/>
      <c r="N221" s="214"/>
      <c r="O221" s="214"/>
      <c r="P221" s="214"/>
      <c r="Q221" s="214"/>
      <c r="R221" s="214"/>
    </row>
    <row r="222" spans="1:18" s="7" customFormat="1" ht="20.100000000000001" customHeight="1" x14ac:dyDescent="0.2">
      <c r="A222" s="10"/>
      <c r="B222" s="133"/>
      <c r="F222" s="214"/>
      <c r="G222" s="214"/>
      <c r="H222" s="214"/>
      <c r="I222" s="214"/>
      <c r="J222" s="214"/>
      <c r="K222" s="214"/>
      <c r="L222" s="214"/>
      <c r="M222" s="214"/>
      <c r="N222" s="214"/>
      <c r="O222" s="214"/>
      <c r="P222" s="214"/>
      <c r="Q222" s="214"/>
      <c r="R222" s="214"/>
    </row>
    <row r="223" spans="1:18" s="7" customFormat="1" ht="20.100000000000001" customHeight="1" x14ac:dyDescent="0.2">
      <c r="A223" s="10"/>
      <c r="B223" s="133"/>
      <c r="F223" s="214"/>
      <c r="G223" s="214"/>
      <c r="H223" s="214"/>
      <c r="I223" s="214"/>
      <c r="J223" s="214"/>
      <c r="K223" s="214"/>
      <c r="L223" s="214"/>
      <c r="M223" s="214"/>
      <c r="N223" s="214"/>
      <c r="O223" s="214"/>
      <c r="P223" s="214"/>
      <c r="Q223" s="214"/>
      <c r="R223" s="214"/>
    </row>
    <row r="224" spans="1:18" s="7" customFormat="1" ht="20.100000000000001" customHeight="1" x14ac:dyDescent="0.2">
      <c r="A224" s="10"/>
      <c r="B224" s="133"/>
      <c r="F224" s="214"/>
      <c r="G224" s="214"/>
      <c r="H224" s="214"/>
      <c r="I224" s="214"/>
      <c r="J224" s="214"/>
      <c r="K224" s="214"/>
      <c r="L224" s="214"/>
      <c r="M224" s="214"/>
      <c r="N224" s="214"/>
      <c r="O224" s="214"/>
      <c r="P224" s="214"/>
      <c r="Q224" s="214"/>
      <c r="R224" s="214"/>
    </row>
    <row r="225" spans="1:18" s="7" customFormat="1" ht="20.100000000000001" customHeight="1" x14ac:dyDescent="0.2">
      <c r="A225" s="10"/>
      <c r="B225" s="133"/>
      <c r="F225" s="214"/>
      <c r="G225" s="214"/>
      <c r="H225" s="214"/>
      <c r="I225" s="214"/>
      <c r="J225" s="214"/>
      <c r="K225" s="214"/>
      <c r="L225" s="214"/>
      <c r="M225" s="214"/>
      <c r="N225" s="214"/>
      <c r="O225" s="214"/>
      <c r="P225" s="214"/>
      <c r="Q225" s="214"/>
      <c r="R225" s="214"/>
    </row>
    <row r="226" spans="1:18" s="7" customFormat="1" ht="20.100000000000001" customHeight="1" x14ac:dyDescent="0.2">
      <c r="A226" s="10"/>
      <c r="B226" s="133"/>
      <c r="F226" s="214"/>
      <c r="G226" s="214"/>
      <c r="H226" s="214"/>
      <c r="I226" s="214"/>
      <c r="J226" s="214"/>
      <c r="K226" s="214"/>
      <c r="L226" s="214"/>
      <c r="M226" s="214"/>
      <c r="N226" s="214"/>
      <c r="O226" s="214"/>
      <c r="P226" s="214"/>
      <c r="Q226" s="214"/>
      <c r="R226" s="214"/>
    </row>
    <row r="227" spans="1:18" s="7" customFormat="1" ht="20.100000000000001" customHeight="1" x14ac:dyDescent="0.2">
      <c r="A227" s="10"/>
      <c r="B227" s="133"/>
      <c r="F227" s="214"/>
      <c r="G227" s="214"/>
      <c r="H227" s="214"/>
      <c r="I227" s="214"/>
      <c r="J227" s="214"/>
      <c r="K227" s="214"/>
      <c r="L227" s="214"/>
      <c r="M227" s="214"/>
      <c r="N227" s="214"/>
      <c r="O227" s="214"/>
      <c r="P227" s="214"/>
      <c r="Q227" s="214"/>
      <c r="R227" s="214"/>
    </row>
    <row r="228" spans="1:18" s="7" customFormat="1" ht="20.100000000000001" customHeight="1" x14ac:dyDescent="0.2">
      <c r="A228" s="10"/>
      <c r="B228" s="133"/>
      <c r="F228" s="214"/>
      <c r="G228" s="214"/>
      <c r="H228" s="214"/>
      <c r="I228" s="214"/>
      <c r="J228" s="214"/>
      <c r="K228" s="214"/>
      <c r="L228" s="214"/>
      <c r="M228" s="214"/>
      <c r="N228" s="214"/>
      <c r="O228" s="214"/>
      <c r="P228" s="214"/>
      <c r="Q228" s="214"/>
      <c r="R228" s="214"/>
    </row>
    <row r="229" spans="1:18" s="7" customFormat="1" ht="20.100000000000001" customHeight="1" x14ac:dyDescent="0.2">
      <c r="A229" s="10"/>
      <c r="B229" s="133"/>
      <c r="F229" s="214"/>
      <c r="G229" s="214"/>
      <c r="H229" s="214"/>
      <c r="I229" s="214"/>
      <c r="J229" s="214"/>
      <c r="K229" s="214"/>
      <c r="L229" s="214"/>
      <c r="M229" s="214"/>
      <c r="N229" s="214"/>
      <c r="O229" s="214"/>
      <c r="P229" s="214"/>
      <c r="Q229" s="214"/>
      <c r="R229" s="214"/>
    </row>
    <row r="230" spans="1:18" s="7" customFormat="1" ht="20.100000000000001" customHeight="1" x14ac:dyDescent="0.2">
      <c r="A230" s="10"/>
      <c r="B230" s="133"/>
      <c r="F230" s="214"/>
      <c r="G230" s="214"/>
      <c r="H230" s="214"/>
      <c r="I230" s="214"/>
      <c r="J230" s="214"/>
      <c r="K230" s="214"/>
      <c r="L230" s="214"/>
      <c r="M230" s="214"/>
      <c r="N230" s="214"/>
      <c r="O230" s="214"/>
      <c r="P230" s="214"/>
      <c r="Q230" s="214"/>
      <c r="R230" s="214"/>
    </row>
    <row r="231" spans="1:18" s="7" customFormat="1" ht="20.100000000000001" customHeight="1" x14ac:dyDescent="0.2">
      <c r="A231" s="10"/>
      <c r="B231" s="133"/>
      <c r="F231" s="214"/>
      <c r="G231" s="214"/>
      <c r="H231" s="214"/>
      <c r="I231" s="214"/>
      <c r="J231" s="214"/>
      <c r="K231" s="214"/>
      <c r="L231" s="214"/>
      <c r="M231" s="214"/>
      <c r="N231" s="214"/>
      <c r="O231" s="214"/>
      <c r="P231" s="214"/>
      <c r="Q231" s="214"/>
      <c r="R231" s="214"/>
    </row>
    <row r="232" spans="1:18" s="7" customFormat="1" ht="20.100000000000001" customHeight="1" x14ac:dyDescent="0.2">
      <c r="A232" s="10"/>
      <c r="B232" s="133"/>
      <c r="F232" s="214"/>
      <c r="G232" s="214"/>
      <c r="H232" s="214"/>
      <c r="I232" s="214"/>
      <c r="J232" s="214"/>
      <c r="K232" s="214"/>
      <c r="L232" s="214"/>
      <c r="M232" s="214"/>
      <c r="N232" s="214"/>
      <c r="O232" s="214"/>
      <c r="P232" s="214"/>
      <c r="Q232" s="214"/>
      <c r="R232" s="214"/>
    </row>
    <row r="233" spans="1:18" s="7" customFormat="1" ht="20.100000000000001" customHeight="1" x14ac:dyDescent="0.2">
      <c r="A233" s="10"/>
      <c r="B233" s="133"/>
      <c r="F233" s="214"/>
      <c r="G233" s="214"/>
      <c r="H233" s="214"/>
      <c r="I233" s="214"/>
      <c r="J233" s="214"/>
      <c r="K233" s="214"/>
      <c r="L233" s="214"/>
      <c r="M233" s="214"/>
      <c r="N233" s="214"/>
      <c r="O233" s="214"/>
      <c r="P233" s="214"/>
      <c r="Q233" s="214"/>
      <c r="R233" s="214"/>
    </row>
    <row r="234" spans="1:18" s="7" customFormat="1" ht="20.100000000000001" customHeight="1" x14ac:dyDescent="0.2">
      <c r="A234" s="10"/>
      <c r="B234" s="133"/>
      <c r="F234" s="214"/>
      <c r="G234" s="214"/>
      <c r="H234" s="214"/>
      <c r="I234" s="214"/>
      <c r="J234" s="214"/>
      <c r="K234" s="214"/>
      <c r="L234" s="214"/>
      <c r="M234" s="214"/>
      <c r="N234" s="214"/>
      <c r="O234" s="214"/>
      <c r="P234" s="214"/>
      <c r="Q234" s="214"/>
      <c r="R234" s="214"/>
    </row>
    <row r="235" spans="1:18" s="7" customFormat="1" ht="20.100000000000001" customHeight="1" x14ac:dyDescent="0.2">
      <c r="A235" s="10"/>
      <c r="B235" s="133"/>
      <c r="F235" s="214"/>
      <c r="G235" s="214"/>
      <c r="H235" s="214"/>
      <c r="I235" s="214"/>
      <c r="J235" s="214"/>
      <c r="K235" s="214"/>
      <c r="L235" s="214"/>
      <c r="M235" s="214"/>
      <c r="N235" s="214"/>
      <c r="O235" s="214"/>
      <c r="P235" s="214"/>
      <c r="Q235" s="214"/>
      <c r="R235" s="214"/>
    </row>
    <row r="236" spans="1:18" s="7" customFormat="1" ht="20.100000000000001" customHeight="1" x14ac:dyDescent="0.2">
      <c r="A236" s="10"/>
      <c r="B236" s="133"/>
      <c r="F236" s="214"/>
      <c r="G236" s="214"/>
      <c r="H236" s="214"/>
      <c r="I236" s="214"/>
      <c r="J236" s="214"/>
      <c r="K236" s="214"/>
      <c r="L236" s="214"/>
      <c r="M236" s="214"/>
      <c r="N236" s="214"/>
      <c r="O236" s="214"/>
      <c r="P236" s="214"/>
      <c r="Q236" s="214"/>
      <c r="R236" s="214"/>
    </row>
    <row r="237" spans="1:18" s="7" customFormat="1" ht="20.100000000000001" customHeight="1" x14ac:dyDescent="0.2">
      <c r="A237" s="10"/>
      <c r="B237" s="133"/>
      <c r="F237" s="214"/>
      <c r="G237" s="214"/>
      <c r="H237" s="214"/>
      <c r="I237" s="214"/>
      <c r="J237" s="214"/>
      <c r="K237" s="214"/>
      <c r="L237" s="214"/>
      <c r="M237" s="214"/>
      <c r="N237" s="214"/>
      <c r="O237" s="214"/>
      <c r="P237" s="214"/>
      <c r="Q237" s="214"/>
      <c r="R237" s="214"/>
    </row>
    <row r="238" spans="1:18" s="7" customFormat="1" ht="20.100000000000001" customHeight="1" x14ac:dyDescent="0.2">
      <c r="A238" s="10"/>
      <c r="B238" s="133"/>
      <c r="F238" s="214"/>
      <c r="G238" s="214"/>
      <c r="H238" s="214"/>
      <c r="I238" s="214"/>
      <c r="J238" s="214"/>
      <c r="K238" s="214"/>
      <c r="L238" s="214"/>
      <c r="M238" s="214"/>
      <c r="N238" s="214"/>
      <c r="O238" s="214"/>
      <c r="P238" s="214"/>
      <c r="Q238" s="214"/>
      <c r="R238" s="214"/>
    </row>
    <row r="239" spans="1:18" s="7" customFormat="1" ht="20.100000000000001" customHeight="1" x14ac:dyDescent="0.2">
      <c r="A239" s="10"/>
      <c r="B239" s="133"/>
      <c r="F239" s="214"/>
      <c r="G239" s="214"/>
      <c r="H239" s="214"/>
      <c r="I239" s="214"/>
      <c r="J239" s="214"/>
      <c r="K239" s="214"/>
      <c r="L239" s="214"/>
      <c r="M239" s="214"/>
      <c r="N239" s="214"/>
      <c r="O239" s="214"/>
      <c r="P239" s="214"/>
      <c r="Q239" s="214"/>
      <c r="R239" s="214"/>
    </row>
    <row r="240" spans="1:18" s="7" customFormat="1" ht="20.100000000000001" customHeight="1" x14ac:dyDescent="0.2">
      <c r="A240" s="10"/>
      <c r="B240" s="133"/>
      <c r="F240" s="214"/>
      <c r="G240" s="214"/>
      <c r="H240" s="214"/>
      <c r="I240" s="214"/>
      <c r="J240" s="214"/>
      <c r="K240" s="214"/>
      <c r="L240" s="214"/>
      <c r="M240" s="214"/>
      <c r="N240" s="214"/>
      <c r="O240" s="214"/>
      <c r="P240" s="214"/>
      <c r="Q240" s="214"/>
      <c r="R240" s="214"/>
    </row>
    <row r="241" spans="1:18" s="7" customFormat="1" ht="20.100000000000001" customHeight="1" x14ac:dyDescent="0.2">
      <c r="A241" s="10"/>
      <c r="B241" s="133"/>
      <c r="F241" s="214"/>
      <c r="G241" s="214"/>
      <c r="H241" s="214"/>
      <c r="I241" s="214"/>
      <c r="J241" s="214"/>
      <c r="K241" s="214"/>
      <c r="L241" s="214"/>
      <c r="M241" s="214"/>
      <c r="N241" s="214"/>
      <c r="O241" s="214"/>
      <c r="P241" s="214"/>
      <c r="Q241" s="214"/>
      <c r="R241" s="214"/>
    </row>
    <row r="242" spans="1:18" s="7" customFormat="1" ht="20.100000000000001" customHeight="1" x14ac:dyDescent="0.2">
      <c r="A242" s="10"/>
      <c r="B242" s="133"/>
      <c r="F242" s="214"/>
      <c r="G242" s="214"/>
      <c r="H242" s="214"/>
      <c r="I242" s="214"/>
      <c r="J242" s="214"/>
      <c r="K242" s="214"/>
      <c r="L242" s="214"/>
      <c r="M242" s="214"/>
      <c r="N242" s="214"/>
      <c r="O242" s="214"/>
      <c r="P242" s="214"/>
      <c r="Q242" s="214"/>
      <c r="R242" s="214"/>
    </row>
    <row r="243" spans="1:18" s="7" customFormat="1" ht="20.100000000000001" customHeight="1" x14ac:dyDescent="0.2">
      <c r="A243" s="10"/>
      <c r="B243" s="133"/>
      <c r="F243" s="214"/>
      <c r="G243" s="214"/>
      <c r="H243" s="214"/>
      <c r="I243" s="214"/>
      <c r="J243" s="214"/>
      <c r="K243" s="214"/>
      <c r="L243" s="214"/>
      <c r="M243" s="214"/>
      <c r="N243" s="214"/>
      <c r="O243" s="214"/>
      <c r="P243" s="214"/>
      <c r="Q243" s="214"/>
      <c r="R243" s="214"/>
    </row>
    <row r="244" spans="1:18" s="7" customFormat="1" ht="20.100000000000001" customHeight="1" x14ac:dyDescent="0.2">
      <c r="A244" s="10"/>
      <c r="B244" s="133"/>
      <c r="F244" s="214"/>
      <c r="G244" s="214"/>
      <c r="H244" s="214"/>
      <c r="I244" s="214"/>
      <c r="J244" s="214"/>
      <c r="K244" s="214"/>
      <c r="L244" s="214"/>
      <c r="M244" s="214"/>
      <c r="N244" s="214"/>
      <c r="O244" s="214"/>
      <c r="P244" s="214"/>
      <c r="Q244" s="214"/>
      <c r="R244" s="214"/>
    </row>
    <row r="245" spans="1:18" s="7" customFormat="1" ht="20.100000000000001" customHeight="1" x14ac:dyDescent="0.2">
      <c r="A245" s="10"/>
      <c r="B245" s="133"/>
      <c r="F245" s="214"/>
      <c r="G245" s="214"/>
      <c r="H245" s="214"/>
      <c r="I245" s="214"/>
      <c r="J245" s="214"/>
      <c r="K245" s="214"/>
      <c r="L245" s="214"/>
      <c r="M245" s="214"/>
      <c r="N245" s="214"/>
      <c r="O245" s="214"/>
      <c r="P245" s="214"/>
      <c r="Q245" s="214"/>
      <c r="R245" s="214"/>
    </row>
    <row r="246" spans="1:18" s="7" customFormat="1" ht="20.100000000000001" customHeight="1" x14ac:dyDescent="0.2">
      <c r="A246" s="10"/>
      <c r="B246" s="133"/>
      <c r="F246" s="214"/>
      <c r="G246" s="214"/>
      <c r="H246" s="214"/>
      <c r="I246" s="214"/>
      <c r="J246" s="214"/>
      <c r="K246" s="214"/>
      <c r="L246" s="214"/>
      <c r="M246" s="214"/>
      <c r="N246" s="214"/>
      <c r="O246" s="214"/>
      <c r="P246" s="214"/>
      <c r="Q246" s="214"/>
      <c r="R246" s="214"/>
    </row>
    <row r="247" spans="1:18" s="7" customFormat="1" ht="20.100000000000001" customHeight="1" x14ac:dyDescent="0.2">
      <c r="A247" s="10"/>
      <c r="B247" s="133"/>
      <c r="F247" s="214"/>
      <c r="G247" s="214"/>
      <c r="H247" s="214"/>
      <c r="I247" s="214"/>
      <c r="J247" s="214"/>
      <c r="K247" s="214"/>
      <c r="L247" s="214"/>
      <c r="M247" s="214"/>
      <c r="N247" s="214"/>
      <c r="O247" s="214"/>
      <c r="P247" s="214"/>
      <c r="Q247" s="214"/>
      <c r="R247" s="214"/>
    </row>
    <row r="248" spans="1:18" s="7" customFormat="1" ht="20.100000000000001" customHeight="1" x14ac:dyDescent="0.2">
      <c r="A248" s="10"/>
      <c r="B248" s="133"/>
      <c r="F248" s="214"/>
      <c r="G248" s="214"/>
      <c r="H248" s="214"/>
      <c r="I248" s="214"/>
      <c r="J248" s="214"/>
      <c r="K248" s="214"/>
      <c r="L248" s="214"/>
      <c r="M248" s="214"/>
      <c r="N248" s="214"/>
      <c r="O248" s="214"/>
      <c r="P248" s="214"/>
      <c r="Q248" s="214"/>
      <c r="R248" s="214"/>
    </row>
    <row r="249" spans="1:18" s="7" customFormat="1" ht="20.100000000000001" customHeight="1" x14ac:dyDescent="0.2">
      <c r="A249" s="10"/>
      <c r="B249" s="133"/>
      <c r="F249" s="214"/>
      <c r="G249" s="214"/>
      <c r="H249" s="214"/>
      <c r="I249" s="214"/>
      <c r="J249" s="214"/>
      <c r="K249" s="214"/>
      <c r="L249" s="214"/>
      <c r="M249" s="214"/>
      <c r="N249" s="214"/>
      <c r="O249" s="214"/>
      <c r="P249" s="214"/>
      <c r="Q249" s="214"/>
      <c r="R249" s="214"/>
    </row>
    <row r="250" spans="1:18" s="7" customFormat="1" ht="20.100000000000001" customHeight="1" x14ac:dyDescent="0.2">
      <c r="A250" s="10"/>
      <c r="B250" s="133"/>
      <c r="F250" s="214"/>
      <c r="G250" s="214"/>
      <c r="H250" s="214"/>
      <c r="I250" s="214"/>
      <c r="J250" s="214"/>
      <c r="K250" s="214"/>
      <c r="L250" s="214"/>
      <c r="M250" s="214"/>
      <c r="N250" s="214"/>
      <c r="O250" s="214"/>
      <c r="P250" s="214"/>
      <c r="Q250" s="214"/>
      <c r="R250" s="214"/>
    </row>
    <row r="251" spans="1:18" s="7" customFormat="1" ht="20.100000000000001" customHeight="1" x14ac:dyDescent="0.2">
      <c r="A251" s="10"/>
      <c r="B251" s="133"/>
      <c r="F251" s="214"/>
      <c r="G251" s="214"/>
      <c r="H251" s="214"/>
      <c r="I251" s="214"/>
      <c r="J251" s="214"/>
      <c r="K251" s="214"/>
      <c r="L251" s="214"/>
      <c r="M251" s="214"/>
      <c r="N251" s="214"/>
      <c r="O251" s="214"/>
      <c r="P251" s="214"/>
      <c r="Q251" s="214"/>
      <c r="R251" s="214"/>
    </row>
    <row r="252" spans="1:18" s="7" customFormat="1" ht="20.100000000000001" customHeight="1" x14ac:dyDescent="0.2">
      <c r="A252" s="10"/>
      <c r="B252" s="133"/>
      <c r="F252" s="214"/>
      <c r="G252" s="214"/>
      <c r="H252" s="214"/>
      <c r="I252" s="214"/>
      <c r="J252" s="214"/>
      <c r="K252" s="214"/>
      <c r="L252" s="214"/>
      <c r="M252" s="214"/>
      <c r="N252" s="214"/>
      <c r="O252" s="214"/>
      <c r="P252" s="214"/>
      <c r="Q252" s="214"/>
      <c r="R252" s="214"/>
    </row>
    <row r="253" spans="1:18" s="7" customFormat="1" ht="20.100000000000001" customHeight="1" x14ac:dyDescent="0.2">
      <c r="A253" s="10"/>
      <c r="B253" s="133"/>
      <c r="F253" s="214"/>
      <c r="G253" s="214"/>
      <c r="H253" s="214"/>
      <c r="I253" s="214"/>
      <c r="J253" s="214"/>
      <c r="K253" s="214"/>
      <c r="L253" s="214"/>
      <c r="M253" s="214"/>
      <c r="N253" s="214"/>
      <c r="O253" s="214"/>
      <c r="P253" s="214"/>
      <c r="Q253" s="214"/>
      <c r="R253" s="214"/>
    </row>
    <row r="254" spans="1:18" s="7" customFormat="1" ht="20.100000000000001" customHeight="1" x14ac:dyDescent="0.2">
      <c r="A254" s="10"/>
      <c r="B254" s="133"/>
      <c r="F254" s="214"/>
      <c r="G254" s="214"/>
      <c r="H254" s="214"/>
      <c r="I254" s="214"/>
      <c r="J254" s="214"/>
      <c r="K254" s="214"/>
      <c r="L254" s="214"/>
      <c r="M254" s="214"/>
      <c r="N254" s="214"/>
      <c r="O254" s="214"/>
      <c r="P254" s="214"/>
      <c r="Q254" s="214"/>
      <c r="R254" s="214"/>
    </row>
    <row r="255" spans="1:18" s="7" customFormat="1" ht="20.100000000000001" customHeight="1" x14ac:dyDescent="0.2">
      <c r="A255" s="10"/>
      <c r="B255" s="133"/>
      <c r="F255" s="214"/>
      <c r="G255" s="214"/>
      <c r="H255" s="214"/>
      <c r="I255" s="214"/>
      <c r="J255" s="214"/>
      <c r="K255" s="214"/>
      <c r="L255" s="214"/>
      <c r="M255" s="214"/>
      <c r="N255" s="214"/>
      <c r="O255" s="214"/>
      <c r="P255" s="214"/>
      <c r="Q255" s="214"/>
      <c r="R255" s="214"/>
    </row>
    <row r="256" spans="1:18" s="7" customFormat="1" ht="20.100000000000001" customHeight="1" x14ac:dyDescent="0.2">
      <c r="A256" s="10"/>
      <c r="B256" s="133"/>
      <c r="F256" s="214"/>
      <c r="G256" s="214"/>
      <c r="H256" s="214"/>
      <c r="I256" s="214"/>
      <c r="J256" s="214"/>
      <c r="K256" s="214"/>
      <c r="L256" s="214"/>
      <c r="M256" s="214"/>
      <c r="N256" s="214"/>
      <c r="O256" s="214"/>
      <c r="P256" s="214"/>
      <c r="Q256" s="214"/>
      <c r="R256" s="214"/>
    </row>
    <row r="257" spans="1:18" s="7" customFormat="1" ht="20.100000000000001" customHeight="1" x14ac:dyDescent="0.2">
      <c r="A257" s="10"/>
      <c r="B257" s="133"/>
      <c r="F257" s="214"/>
      <c r="G257" s="214"/>
      <c r="H257" s="214"/>
      <c r="I257" s="214"/>
      <c r="J257" s="214"/>
      <c r="K257" s="214"/>
      <c r="L257" s="214"/>
      <c r="M257" s="214"/>
      <c r="N257" s="214"/>
      <c r="O257" s="214"/>
      <c r="P257" s="214"/>
      <c r="Q257" s="214"/>
      <c r="R257" s="214"/>
    </row>
    <row r="258" spans="1:18" s="7" customFormat="1" ht="20.100000000000001" customHeight="1" x14ac:dyDescent="0.2">
      <c r="A258" s="10"/>
      <c r="B258" s="133"/>
      <c r="F258" s="214"/>
      <c r="G258" s="214"/>
      <c r="H258" s="214"/>
      <c r="I258" s="214"/>
      <c r="J258" s="214"/>
      <c r="K258" s="214"/>
      <c r="L258" s="214"/>
      <c r="M258" s="214"/>
      <c r="N258" s="214"/>
      <c r="O258" s="214"/>
      <c r="P258" s="214"/>
      <c r="Q258" s="214"/>
      <c r="R258" s="214"/>
    </row>
    <row r="259" spans="1:18" s="7" customFormat="1" ht="20.100000000000001" customHeight="1" x14ac:dyDescent="0.2">
      <c r="A259" s="10"/>
      <c r="B259" s="133"/>
      <c r="F259" s="214"/>
      <c r="G259" s="214"/>
      <c r="H259" s="214"/>
      <c r="I259" s="214"/>
      <c r="J259" s="214"/>
      <c r="K259" s="214"/>
      <c r="L259" s="214"/>
      <c r="M259" s="214"/>
      <c r="N259" s="214"/>
      <c r="O259" s="214"/>
      <c r="P259" s="214"/>
      <c r="Q259" s="214"/>
      <c r="R259" s="214"/>
    </row>
    <row r="260" spans="1:18" s="7" customFormat="1" ht="20.100000000000001" customHeight="1" x14ac:dyDescent="0.2">
      <c r="A260" s="10"/>
      <c r="B260" s="133"/>
      <c r="F260" s="214"/>
      <c r="G260" s="214"/>
      <c r="H260" s="214"/>
      <c r="I260" s="214"/>
      <c r="J260" s="214"/>
      <c r="K260" s="214"/>
      <c r="L260" s="214"/>
      <c r="M260" s="214"/>
      <c r="N260" s="214"/>
      <c r="O260" s="214"/>
      <c r="P260" s="214"/>
      <c r="Q260" s="214"/>
      <c r="R260" s="214"/>
    </row>
    <row r="261" spans="1:18" s="7" customFormat="1" ht="20.100000000000001" customHeight="1" x14ac:dyDescent="0.2">
      <c r="A261" s="10"/>
      <c r="B261" s="133"/>
      <c r="F261" s="214"/>
      <c r="G261" s="214"/>
      <c r="H261" s="214"/>
      <c r="I261" s="214"/>
      <c r="J261" s="214"/>
      <c r="K261" s="214"/>
      <c r="L261" s="214"/>
      <c r="M261" s="214"/>
      <c r="N261" s="214"/>
      <c r="O261" s="214"/>
      <c r="P261" s="214"/>
      <c r="Q261" s="214"/>
      <c r="R261" s="214"/>
    </row>
    <row r="262" spans="1:18" s="7" customFormat="1" ht="20.100000000000001" customHeight="1" x14ac:dyDescent="0.2">
      <c r="A262" s="10"/>
      <c r="B262" s="133"/>
      <c r="F262" s="214"/>
      <c r="G262" s="214"/>
      <c r="H262" s="214"/>
      <c r="I262" s="214"/>
      <c r="J262" s="214"/>
      <c r="K262" s="214"/>
      <c r="L262" s="214"/>
      <c r="M262" s="214"/>
      <c r="N262" s="214"/>
      <c r="O262" s="214"/>
      <c r="P262" s="214"/>
      <c r="Q262" s="214"/>
      <c r="R262" s="214"/>
    </row>
    <row r="263" spans="1:18" s="7" customFormat="1" ht="20.100000000000001" customHeight="1" x14ac:dyDescent="0.2">
      <c r="A263" s="10"/>
      <c r="B263" s="133"/>
      <c r="F263" s="214"/>
      <c r="G263" s="214"/>
      <c r="H263" s="214"/>
      <c r="I263" s="214"/>
      <c r="J263" s="214"/>
      <c r="K263" s="214"/>
      <c r="L263" s="214"/>
      <c r="M263" s="214"/>
      <c r="N263" s="214"/>
      <c r="O263" s="214"/>
      <c r="P263" s="214"/>
      <c r="Q263" s="214"/>
      <c r="R263" s="214"/>
    </row>
    <row r="264" spans="1:18" s="7" customFormat="1" ht="20.100000000000001" customHeight="1" x14ac:dyDescent="0.2">
      <c r="A264" s="10"/>
      <c r="B264" s="133"/>
      <c r="F264" s="214"/>
      <c r="G264" s="214"/>
      <c r="H264" s="214"/>
      <c r="I264" s="214"/>
      <c r="J264" s="214"/>
      <c r="K264" s="214"/>
      <c r="L264" s="214"/>
      <c r="M264" s="214"/>
      <c r="N264" s="214"/>
      <c r="O264" s="214"/>
      <c r="P264" s="214"/>
      <c r="Q264" s="214"/>
      <c r="R264" s="214"/>
    </row>
    <row r="265" spans="1:18" s="7" customFormat="1" ht="20.100000000000001" customHeight="1" x14ac:dyDescent="0.2">
      <c r="A265" s="10"/>
      <c r="B265" s="133"/>
      <c r="F265" s="214"/>
      <c r="G265" s="214"/>
      <c r="H265" s="214"/>
      <c r="I265" s="214"/>
      <c r="J265" s="214"/>
      <c r="K265" s="214"/>
      <c r="L265" s="214"/>
      <c r="M265" s="214"/>
      <c r="N265" s="214"/>
      <c r="O265" s="214"/>
      <c r="P265" s="214"/>
      <c r="Q265" s="214"/>
      <c r="R265" s="214"/>
    </row>
    <row r="266" spans="1:18" s="7" customFormat="1" ht="20.100000000000001" customHeight="1" x14ac:dyDescent="0.2">
      <c r="A266" s="10"/>
      <c r="B266" s="133"/>
      <c r="F266" s="214"/>
      <c r="G266" s="214"/>
      <c r="H266" s="214"/>
      <c r="I266" s="214"/>
      <c r="J266" s="214"/>
      <c r="K266" s="214"/>
      <c r="L266" s="214"/>
      <c r="M266" s="214"/>
      <c r="N266" s="214"/>
      <c r="O266" s="214"/>
      <c r="P266" s="214"/>
      <c r="Q266" s="214"/>
      <c r="R266" s="214"/>
    </row>
    <row r="267" spans="1:18" s="7" customFormat="1" ht="20.100000000000001" customHeight="1" x14ac:dyDescent="0.2">
      <c r="A267" s="10"/>
      <c r="B267" s="133"/>
      <c r="F267" s="214"/>
      <c r="G267" s="214"/>
      <c r="H267" s="214"/>
      <c r="I267" s="214"/>
      <c r="J267" s="214"/>
      <c r="K267" s="214"/>
      <c r="L267" s="214"/>
      <c r="M267" s="214"/>
      <c r="N267" s="214"/>
      <c r="O267" s="214"/>
      <c r="P267" s="214"/>
      <c r="Q267" s="214"/>
      <c r="R267" s="214"/>
    </row>
    <row r="268" spans="1:18" s="7" customFormat="1" ht="20.100000000000001" customHeight="1" x14ac:dyDescent="0.2">
      <c r="A268" s="10"/>
      <c r="B268" s="133"/>
      <c r="F268" s="214"/>
      <c r="G268" s="214"/>
      <c r="H268" s="214"/>
      <c r="I268" s="214"/>
      <c r="J268" s="214"/>
      <c r="K268" s="214"/>
      <c r="L268" s="214"/>
      <c r="M268" s="214"/>
      <c r="N268" s="214"/>
      <c r="O268" s="214"/>
      <c r="P268" s="214"/>
      <c r="Q268" s="214"/>
      <c r="R268" s="214"/>
    </row>
    <row r="269" spans="1:18" s="7" customFormat="1" ht="20.100000000000001" customHeight="1" x14ac:dyDescent="0.2">
      <c r="A269" s="10"/>
      <c r="B269" s="133"/>
      <c r="F269" s="214"/>
      <c r="G269" s="214"/>
      <c r="H269" s="214"/>
      <c r="I269" s="214"/>
      <c r="J269" s="214"/>
      <c r="K269" s="214"/>
      <c r="L269" s="214"/>
      <c r="M269" s="214"/>
      <c r="N269" s="214"/>
      <c r="O269" s="214"/>
      <c r="P269" s="214"/>
      <c r="Q269" s="214"/>
      <c r="R269" s="214"/>
    </row>
    <row r="270" spans="1:18" s="7" customFormat="1" ht="20.100000000000001" customHeight="1" x14ac:dyDescent="0.2">
      <c r="A270" s="10"/>
      <c r="B270" s="133"/>
      <c r="F270" s="214"/>
      <c r="G270" s="214"/>
      <c r="H270" s="214"/>
      <c r="I270" s="214"/>
      <c r="J270" s="214"/>
      <c r="K270" s="214"/>
      <c r="L270" s="214"/>
      <c r="M270" s="214"/>
      <c r="N270" s="214"/>
      <c r="O270" s="214"/>
      <c r="P270" s="214"/>
      <c r="Q270" s="214"/>
      <c r="R270" s="214"/>
    </row>
    <row r="271" spans="1:18" s="7" customFormat="1" ht="20.100000000000001" customHeight="1" x14ac:dyDescent="0.2">
      <c r="A271" s="10"/>
      <c r="B271" s="133"/>
      <c r="F271" s="214"/>
      <c r="G271" s="214"/>
      <c r="H271" s="214"/>
      <c r="I271" s="214"/>
      <c r="J271" s="214"/>
      <c r="K271" s="214"/>
      <c r="L271" s="214"/>
      <c r="M271" s="214"/>
      <c r="N271" s="214"/>
      <c r="O271" s="214"/>
      <c r="P271" s="214"/>
      <c r="Q271" s="214"/>
      <c r="R271" s="214"/>
    </row>
    <row r="272" spans="1:18" s="7" customFormat="1" ht="20.100000000000001" customHeight="1" x14ac:dyDescent="0.2">
      <c r="A272" s="10"/>
      <c r="B272" s="133"/>
      <c r="F272" s="214"/>
      <c r="G272" s="214"/>
      <c r="H272" s="214"/>
      <c r="I272" s="214"/>
      <c r="J272" s="214"/>
      <c r="K272" s="214"/>
      <c r="L272" s="214"/>
      <c r="M272" s="214"/>
      <c r="N272" s="214"/>
      <c r="O272" s="214"/>
      <c r="P272" s="214"/>
      <c r="Q272" s="214"/>
      <c r="R272" s="214"/>
    </row>
    <row r="273" spans="1:18" s="7" customFormat="1" ht="20.100000000000001" customHeight="1" x14ac:dyDescent="0.2">
      <c r="A273" s="10"/>
      <c r="B273" s="133"/>
      <c r="F273" s="214"/>
      <c r="G273" s="214"/>
      <c r="H273" s="214"/>
      <c r="I273" s="214"/>
      <c r="J273" s="214"/>
      <c r="K273" s="214"/>
      <c r="L273" s="214"/>
      <c r="M273" s="214"/>
      <c r="N273" s="214"/>
      <c r="O273" s="214"/>
      <c r="P273" s="214"/>
      <c r="Q273" s="214"/>
      <c r="R273" s="214"/>
    </row>
    <row r="274" spans="1:18" s="7" customFormat="1" ht="20.100000000000001" customHeight="1" x14ac:dyDescent="0.2">
      <c r="A274" s="10"/>
      <c r="B274" s="133"/>
      <c r="F274" s="214"/>
      <c r="G274" s="214"/>
      <c r="H274" s="214"/>
      <c r="I274" s="214"/>
      <c r="J274" s="214"/>
      <c r="K274" s="214"/>
      <c r="L274" s="214"/>
      <c r="M274" s="214"/>
      <c r="N274" s="214"/>
      <c r="O274" s="214"/>
      <c r="P274" s="214"/>
      <c r="Q274" s="214"/>
      <c r="R274" s="214"/>
    </row>
    <row r="275" spans="1:18" s="7" customFormat="1" ht="20.100000000000001" customHeight="1" x14ac:dyDescent="0.2">
      <c r="A275" s="10"/>
      <c r="B275" s="133"/>
      <c r="F275" s="214"/>
      <c r="G275" s="214"/>
      <c r="H275" s="214"/>
      <c r="I275" s="214"/>
      <c r="J275" s="214"/>
      <c r="K275" s="214"/>
      <c r="L275" s="214"/>
      <c r="M275" s="214"/>
      <c r="N275" s="214"/>
      <c r="O275" s="214"/>
      <c r="P275" s="214"/>
      <c r="Q275" s="214"/>
      <c r="R275" s="214"/>
    </row>
    <row r="276" spans="1:18" s="7" customFormat="1" ht="20.100000000000001" customHeight="1" x14ac:dyDescent="0.2">
      <c r="A276" s="10"/>
      <c r="B276" s="133"/>
      <c r="F276" s="214"/>
      <c r="G276" s="214"/>
      <c r="H276" s="214"/>
      <c r="I276" s="214"/>
      <c r="J276" s="214"/>
      <c r="K276" s="214"/>
      <c r="L276" s="214"/>
      <c r="M276" s="214"/>
      <c r="N276" s="214"/>
      <c r="O276" s="214"/>
      <c r="P276" s="214"/>
      <c r="Q276" s="214"/>
      <c r="R276" s="214"/>
    </row>
    <row r="277" spans="1:18" s="7" customFormat="1" ht="20.100000000000001" customHeight="1" x14ac:dyDescent="0.2">
      <c r="A277" s="10"/>
      <c r="B277" s="133"/>
      <c r="F277" s="214"/>
      <c r="G277" s="214"/>
      <c r="H277" s="214"/>
      <c r="I277" s="214"/>
      <c r="J277" s="214"/>
      <c r="K277" s="214"/>
      <c r="L277" s="214"/>
      <c r="M277" s="214"/>
      <c r="N277" s="214"/>
      <c r="O277" s="214"/>
      <c r="P277" s="214"/>
      <c r="Q277" s="214"/>
      <c r="R277" s="214"/>
    </row>
    <row r="278" spans="1:18" s="7" customFormat="1" ht="20.100000000000001" customHeight="1" x14ac:dyDescent="0.2">
      <c r="A278" s="10"/>
      <c r="B278" s="133"/>
      <c r="F278" s="214"/>
      <c r="G278" s="214"/>
      <c r="H278" s="214"/>
      <c r="I278" s="214"/>
      <c r="J278" s="214"/>
      <c r="K278" s="214"/>
      <c r="L278" s="214"/>
      <c r="M278" s="214"/>
      <c r="N278" s="214"/>
      <c r="O278" s="214"/>
      <c r="P278" s="214"/>
      <c r="Q278" s="214"/>
      <c r="R278" s="214"/>
    </row>
    <row r="279" spans="1:18" s="7" customFormat="1" ht="20.100000000000001" customHeight="1" x14ac:dyDescent="0.2">
      <c r="A279" s="10"/>
      <c r="B279" s="133"/>
      <c r="F279" s="214"/>
      <c r="G279" s="214"/>
      <c r="H279" s="214"/>
      <c r="I279" s="214"/>
      <c r="J279" s="214"/>
      <c r="K279" s="214"/>
      <c r="L279" s="214"/>
      <c r="M279" s="214"/>
      <c r="N279" s="214"/>
      <c r="O279" s="214"/>
      <c r="P279" s="214"/>
      <c r="Q279" s="214"/>
      <c r="R279" s="214"/>
    </row>
    <row r="280" spans="1:18" s="7" customFormat="1" ht="20.100000000000001" customHeight="1" x14ac:dyDescent="0.2">
      <c r="A280" s="10"/>
      <c r="B280" s="133"/>
      <c r="F280" s="214"/>
      <c r="G280" s="214"/>
      <c r="H280" s="214"/>
      <c r="I280" s="214"/>
      <c r="J280" s="214"/>
      <c r="K280" s="214"/>
      <c r="L280" s="214"/>
      <c r="M280" s="214"/>
      <c r="N280" s="214"/>
      <c r="O280" s="214"/>
      <c r="P280" s="214"/>
      <c r="Q280" s="214"/>
      <c r="R280" s="214"/>
    </row>
    <row r="281" spans="1:18" s="7" customFormat="1" ht="20.100000000000001" customHeight="1" x14ac:dyDescent="0.2">
      <c r="A281" s="10"/>
      <c r="B281" s="133"/>
      <c r="F281" s="214"/>
      <c r="G281" s="214"/>
      <c r="H281" s="214"/>
      <c r="I281" s="214"/>
      <c r="J281" s="214"/>
      <c r="K281" s="214"/>
      <c r="L281" s="214"/>
      <c r="M281" s="214"/>
      <c r="N281" s="214"/>
      <c r="O281" s="214"/>
      <c r="P281" s="214"/>
      <c r="Q281" s="214"/>
      <c r="R281" s="214"/>
    </row>
    <row r="282" spans="1:18" s="7" customFormat="1" ht="20.100000000000001" customHeight="1" x14ac:dyDescent="0.2">
      <c r="A282" s="10"/>
      <c r="B282" s="133"/>
      <c r="F282" s="214"/>
      <c r="G282" s="214"/>
      <c r="H282" s="214"/>
      <c r="I282" s="214"/>
      <c r="J282" s="214"/>
      <c r="K282" s="214"/>
      <c r="L282" s="214"/>
      <c r="M282" s="214"/>
      <c r="N282" s="214"/>
      <c r="O282" s="214"/>
      <c r="P282" s="214"/>
      <c r="Q282" s="214"/>
      <c r="R282" s="214"/>
    </row>
    <row r="283" spans="1:18" s="7" customFormat="1" ht="20.100000000000001" customHeight="1" x14ac:dyDescent="0.2">
      <c r="A283" s="10"/>
      <c r="B283" s="133"/>
      <c r="F283" s="214"/>
      <c r="G283" s="214"/>
      <c r="H283" s="214"/>
      <c r="I283" s="214"/>
      <c r="J283" s="214"/>
      <c r="K283" s="214"/>
      <c r="L283" s="214"/>
      <c r="M283" s="214"/>
      <c r="N283" s="214"/>
      <c r="O283" s="214"/>
      <c r="P283" s="214"/>
      <c r="Q283" s="214"/>
      <c r="R283" s="214"/>
    </row>
    <row r="284" spans="1:18" s="7" customFormat="1" ht="20.100000000000001" customHeight="1" x14ac:dyDescent="0.2">
      <c r="A284" s="10"/>
      <c r="B284" s="133"/>
      <c r="F284" s="214"/>
      <c r="G284" s="214"/>
      <c r="H284" s="214"/>
      <c r="I284" s="214"/>
      <c r="J284" s="214"/>
      <c r="K284" s="214"/>
      <c r="L284" s="214"/>
      <c r="M284" s="214"/>
      <c r="N284" s="214"/>
      <c r="O284" s="214"/>
      <c r="P284" s="214"/>
      <c r="Q284" s="214"/>
      <c r="R284" s="214"/>
    </row>
    <row r="285" spans="1:18" s="7" customFormat="1" ht="20.100000000000001" customHeight="1" x14ac:dyDescent="0.2">
      <c r="A285" s="10"/>
      <c r="B285" s="133"/>
      <c r="F285" s="214"/>
      <c r="G285" s="214"/>
      <c r="H285" s="214"/>
      <c r="I285" s="214"/>
      <c r="J285" s="214"/>
      <c r="K285" s="214"/>
      <c r="L285" s="214"/>
      <c r="M285" s="214"/>
      <c r="N285" s="214"/>
      <c r="O285" s="214"/>
      <c r="P285" s="214"/>
      <c r="Q285" s="214"/>
      <c r="R285" s="214"/>
    </row>
    <row r="286" spans="1:18" s="7" customFormat="1" ht="20.100000000000001" customHeight="1" x14ac:dyDescent="0.2">
      <c r="A286" s="10"/>
      <c r="B286" s="133"/>
      <c r="F286" s="214"/>
      <c r="G286" s="214"/>
      <c r="H286" s="214"/>
      <c r="I286" s="214"/>
      <c r="J286" s="214"/>
      <c r="K286" s="214"/>
      <c r="L286" s="214"/>
      <c r="M286" s="214"/>
      <c r="N286" s="214"/>
      <c r="O286" s="214"/>
      <c r="P286" s="214"/>
      <c r="Q286" s="214"/>
      <c r="R286" s="214"/>
    </row>
    <row r="287" spans="1:18" s="7" customFormat="1" ht="20.100000000000001" customHeight="1" x14ac:dyDescent="0.2">
      <c r="A287" s="10"/>
      <c r="B287" s="133"/>
      <c r="F287" s="214"/>
      <c r="G287" s="214"/>
      <c r="H287" s="214"/>
      <c r="I287" s="214"/>
      <c r="J287" s="214"/>
      <c r="K287" s="214"/>
      <c r="L287" s="214"/>
      <c r="M287" s="214"/>
      <c r="N287" s="214"/>
      <c r="O287" s="214"/>
      <c r="P287" s="214"/>
      <c r="Q287" s="214"/>
      <c r="R287" s="214"/>
    </row>
    <row r="288" spans="1:18" s="7" customFormat="1" ht="20.100000000000001" customHeight="1" x14ac:dyDescent="0.2">
      <c r="A288" s="10"/>
      <c r="B288" s="133"/>
      <c r="F288" s="214"/>
      <c r="G288" s="214"/>
      <c r="H288" s="214"/>
      <c r="I288" s="214"/>
      <c r="J288" s="214"/>
      <c r="K288" s="214"/>
      <c r="L288" s="214"/>
      <c r="M288" s="214"/>
      <c r="N288" s="214"/>
      <c r="O288" s="214"/>
      <c r="P288" s="214"/>
      <c r="Q288" s="214"/>
      <c r="R288" s="214"/>
    </row>
    <row r="289" spans="1:18" s="7" customFormat="1" ht="20.100000000000001" customHeight="1" x14ac:dyDescent="0.2">
      <c r="A289" s="10"/>
      <c r="B289" s="133"/>
      <c r="F289" s="214"/>
      <c r="G289" s="214"/>
      <c r="H289" s="214"/>
      <c r="I289" s="214"/>
      <c r="J289" s="214"/>
      <c r="K289" s="214"/>
      <c r="L289" s="214"/>
      <c r="M289" s="214"/>
      <c r="N289" s="214"/>
      <c r="O289" s="214"/>
      <c r="P289" s="214"/>
      <c r="Q289" s="214"/>
      <c r="R289" s="214"/>
    </row>
    <row r="290" spans="1:18" s="7" customFormat="1" ht="20.100000000000001" customHeight="1" x14ac:dyDescent="0.2">
      <c r="A290" s="10"/>
      <c r="B290" s="133"/>
      <c r="F290" s="214"/>
      <c r="G290" s="214"/>
      <c r="H290" s="214"/>
      <c r="I290" s="214"/>
      <c r="J290" s="214"/>
      <c r="K290" s="214"/>
      <c r="L290" s="214"/>
      <c r="M290" s="214"/>
      <c r="N290" s="214"/>
      <c r="O290" s="214"/>
      <c r="P290" s="214"/>
      <c r="Q290" s="214"/>
      <c r="R290" s="214"/>
    </row>
    <row r="291" spans="1:18" s="7" customFormat="1" ht="20.100000000000001" customHeight="1" x14ac:dyDescent="0.2">
      <c r="A291" s="10"/>
      <c r="B291" s="133"/>
      <c r="F291" s="214"/>
      <c r="G291" s="214"/>
      <c r="H291" s="214"/>
      <c r="I291" s="214"/>
      <c r="J291" s="214"/>
      <c r="K291" s="214"/>
      <c r="L291" s="214"/>
      <c r="M291" s="214"/>
      <c r="N291" s="214"/>
      <c r="O291" s="214"/>
      <c r="P291" s="214"/>
      <c r="Q291" s="214"/>
      <c r="R291" s="214"/>
    </row>
    <row r="292" spans="1:18" s="7" customFormat="1" ht="20.100000000000001" customHeight="1" x14ac:dyDescent="0.2">
      <c r="A292" s="10"/>
      <c r="B292" s="133"/>
      <c r="F292" s="214"/>
      <c r="G292" s="214"/>
      <c r="H292" s="214"/>
      <c r="I292" s="214"/>
      <c r="J292" s="214"/>
      <c r="K292" s="214"/>
      <c r="L292" s="214"/>
      <c r="M292" s="214"/>
      <c r="N292" s="214"/>
      <c r="O292" s="214"/>
      <c r="P292" s="214"/>
      <c r="Q292" s="214"/>
      <c r="R292" s="214"/>
    </row>
    <row r="293" spans="1:18" s="7" customFormat="1" ht="20.100000000000001" customHeight="1" x14ac:dyDescent="0.2">
      <c r="A293" s="10"/>
      <c r="B293" s="133"/>
      <c r="F293" s="214"/>
      <c r="G293" s="214"/>
      <c r="H293" s="214"/>
      <c r="I293" s="214"/>
      <c r="J293" s="214"/>
      <c r="K293" s="214"/>
      <c r="L293" s="214"/>
      <c r="M293" s="214"/>
      <c r="N293" s="214"/>
      <c r="O293" s="214"/>
      <c r="P293" s="214"/>
      <c r="Q293" s="214"/>
      <c r="R293" s="214"/>
    </row>
    <row r="294" spans="1:18" s="7" customFormat="1" ht="20.100000000000001" customHeight="1" x14ac:dyDescent="0.2">
      <c r="A294" s="10"/>
      <c r="B294" s="133"/>
      <c r="F294" s="214"/>
      <c r="G294" s="214"/>
      <c r="H294" s="214"/>
      <c r="I294" s="214"/>
      <c r="J294" s="214"/>
      <c r="K294" s="214"/>
      <c r="L294" s="214"/>
      <c r="M294" s="214"/>
      <c r="N294" s="214"/>
      <c r="O294" s="214"/>
      <c r="P294" s="214"/>
      <c r="Q294" s="214"/>
      <c r="R294" s="214"/>
    </row>
    <row r="295" spans="1:18" s="7" customFormat="1" ht="20.100000000000001" customHeight="1" x14ac:dyDescent="0.2">
      <c r="A295" s="10"/>
      <c r="B295" s="133"/>
      <c r="F295" s="214"/>
      <c r="G295" s="214"/>
      <c r="H295" s="214"/>
      <c r="I295" s="214"/>
      <c r="J295" s="214"/>
      <c r="K295" s="214"/>
      <c r="L295" s="214"/>
      <c r="M295" s="214"/>
      <c r="N295" s="214"/>
      <c r="O295" s="214"/>
      <c r="P295" s="214"/>
      <c r="Q295" s="214"/>
      <c r="R295" s="214"/>
    </row>
    <row r="296" spans="1:18" s="7" customFormat="1" ht="20.100000000000001" customHeight="1" x14ac:dyDescent="0.2">
      <c r="A296" s="10"/>
      <c r="B296" s="133"/>
      <c r="F296" s="214"/>
      <c r="G296" s="214"/>
      <c r="H296" s="214"/>
      <c r="I296" s="214"/>
      <c r="J296" s="214"/>
      <c r="K296" s="214"/>
      <c r="L296" s="214"/>
      <c r="M296" s="214"/>
      <c r="N296" s="214"/>
      <c r="O296" s="214"/>
      <c r="P296" s="214"/>
      <c r="Q296" s="214"/>
      <c r="R296" s="214"/>
    </row>
    <row r="297" spans="1:18" s="7" customFormat="1" ht="20.100000000000001" customHeight="1" x14ac:dyDescent="0.2">
      <c r="A297" s="10"/>
      <c r="B297" s="133"/>
      <c r="F297" s="214"/>
      <c r="G297" s="214"/>
      <c r="H297" s="214"/>
      <c r="I297" s="214"/>
      <c r="J297" s="214"/>
      <c r="K297" s="214"/>
      <c r="L297" s="214"/>
      <c r="M297" s="214"/>
      <c r="N297" s="214"/>
      <c r="O297" s="214"/>
      <c r="P297" s="214"/>
      <c r="Q297" s="214"/>
      <c r="R297" s="214"/>
    </row>
    <row r="298" spans="1:18" s="7" customFormat="1" ht="20.100000000000001" customHeight="1" x14ac:dyDescent="0.2">
      <c r="A298" s="10"/>
      <c r="B298" s="133"/>
      <c r="F298" s="214"/>
      <c r="G298" s="214"/>
      <c r="H298" s="214"/>
      <c r="I298" s="214"/>
      <c r="J298" s="214"/>
      <c r="K298" s="214"/>
      <c r="L298" s="214"/>
      <c r="M298" s="214"/>
      <c r="N298" s="214"/>
      <c r="O298" s="214"/>
      <c r="P298" s="214"/>
      <c r="Q298" s="214"/>
      <c r="R298" s="214"/>
    </row>
    <row r="299" spans="1:18" s="7" customFormat="1" ht="20.100000000000001" customHeight="1" x14ac:dyDescent="0.2">
      <c r="A299" s="10"/>
      <c r="B299" s="133"/>
      <c r="F299" s="214"/>
      <c r="G299" s="214"/>
      <c r="H299" s="214"/>
      <c r="I299" s="214"/>
      <c r="J299" s="214"/>
      <c r="K299" s="214"/>
      <c r="L299" s="214"/>
      <c r="M299" s="214"/>
      <c r="N299" s="214"/>
      <c r="O299" s="214"/>
      <c r="P299" s="214"/>
      <c r="Q299" s="214"/>
      <c r="R299" s="214"/>
    </row>
    <row r="300" spans="1:18" s="7" customFormat="1" ht="20.100000000000001" customHeight="1" x14ac:dyDescent="0.2">
      <c r="A300" s="10"/>
      <c r="B300" s="133"/>
      <c r="F300" s="214"/>
      <c r="G300" s="214"/>
      <c r="H300" s="214"/>
      <c r="I300" s="214"/>
      <c r="J300" s="214"/>
      <c r="K300" s="214"/>
      <c r="L300" s="214"/>
      <c r="M300" s="214"/>
      <c r="N300" s="214"/>
      <c r="O300" s="214"/>
      <c r="P300" s="214"/>
      <c r="Q300" s="214"/>
      <c r="R300" s="214"/>
    </row>
    <row r="301" spans="1:18" s="7" customFormat="1" ht="20.100000000000001" customHeight="1" x14ac:dyDescent="0.2">
      <c r="A301" s="10"/>
      <c r="B301" s="133"/>
      <c r="F301" s="214"/>
      <c r="G301" s="214"/>
      <c r="H301" s="214"/>
      <c r="I301" s="214"/>
      <c r="J301" s="214"/>
      <c r="K301" s="214"/>
      <c r="L301" s="214"/>
      <c r="M301" s="214"/>
      <c r="N301" s="214"/>
      <c r="O301" s="214"/>
      <c r="P301" s="214"/>
      <c r="Q301" s="214"/>
      <c r="R301" s="214"/>
    </row>
    <row r="302" spans="1:18" s="7" customFormat="1" ht="20.100000000000001" customHeight="1" x14ac:dyDescent="0.2">
      <c r="A302" s="10"/>
      <c r="B302" s="133"/>
      <c r="F302" s="214"/>
      <c r="G302" s="214"/>
      <c r="H302" s="214"/>
      <c r="I302" s="214"/>
      <c r="J302" s="214"/>
      <c r="K302" s="214"/>
      <c r="L302" s="214"/>
      <c r="M302" s="214"/>
      <c r="N302" s="214"/>
      <c r="O302" s="214"/>
      <c r="P302" s="214"/>
      <c r="Q302" s="214"/>
      <c r="R302" s="214"/>
    </row>
    <row r="303" spans="1:18" s="7" customFormat="1" ht="20.100000000000001" customHeight="1" x14ac:dyDescent="0.2">
      <c r="A303" s="10"/>
      <c r="B303" s="133"/>
      <c r="F303" s="214"/>
      <c r="G303" s="214"/>
      <c r="H303" s="214"/>
      <c r="I303" s="214"/>
      <c r="J303" s="214"/>
      <c r="K303" s="214"/>
      <c r="L303" s="214"/>
      <c r="M303" s="214"/>
      <c r="N303" s="214"/>
      <c r="O303" s="214"/>
      <c r="P303" s="214"/>
      <c r="Q303" s="214"/>
      <c r="R303" s="214"/>
    </row>
    <row r="304" spans="1:18" s="7" customFormat="1" ht="20.100000000000001" customHeight="1" x14ac:dyDescent="0.2">
      <c r="A304" s="10"/>
      <c r="B304" s="133"/>
      <c r="F304" s="214"/>
      <c r="G304" s="214"/>
      <c r="H304" s="214"/>
      <c r="I304" s="214"/>
      <c r="J304" s="214"/>
      <c r="K304" s="214"/>
      <c r="L304" s="214"/>
      <c r="M304" s="214"/>
      <c r="N304" s="214"/>
      <c r="O304" s="214"/>
      <c r="P304" s="214"/>
      <c r="Q304" s="214"/>
      <c r="R304" s="214"/>
    </row>
    <row r="305" spans="1:18" s="7" customFormat="1" ht="20.100000000000001" customHeight="1" x14ac:dyDescent="0.2">
      <c r="A305" s="10"/>
      <c r="B305" s="133"/>
      <c r="F305" s="214"/>
      <c r="G305" s="214"/>
      <c r="H305" s="214"/>
      <c r="I305" s="214"/>
      <c r="J305" s="214"/>
      <c r="K305" s="214"/>
      <c r="L305" s="214"/>
      <c r="M305" s="214"/>
      <c r="N305" s="214"/>
      <c r="O305" s="214"/>
      <c r="P305" s="214"/>
      <c r="Q305" s="214"/>
      <c r="R305" s="214"/>
    </row>
    <row r="306" spans="1:18" s="7" customFormat="1" ht="20.100000000000001" customHeight="1" x14ac:dyDescent="0.2">
      <c r="A306" s="10"/>
      <c r="B306" s="133"/>
      <c r="F306" s="214"/>
      <c r="G306" s="214"/>
      <c r="H306" s="214"/>
      <c r="I306" s="214"/>
      <c r="J306" s="214"/>
      <c r="K306" s="214"/>
      <c r="L306" s="214"/>
      <c r="M306" s="214"/>
      <c r="N306" s="214"/>
      <c r="O306" s="214"/>
      <c r="P306" s="214"/>
      <c r="Q306" s="214"/>
      <c r="R306" s="214"/>
    </row>
    <row r="307" spans="1:18" s="7" customFormat="1" ht="20.100000000000001" customHeight="1" x14ac:dyDescent="0.2">
      <c r="A307" s="10"/>
      <c r="B307" s="133"/>
      <c r="F307" s="214"/>
      <c r="G307" s="214"/>
      <c r="H307" s="214"/>
      <c r="I307" s="214"/>
      <c r="J307" s="214"/>
      <c r="K307" s="214"/>
      <c r="L307" s="214"/>
      <c r="M307" s="214"/>
      <c r="N307" s="214"/>
      <c r="O307" s="214"/>
      <c r="P307" s="214"/>
      <c r="Q307" s="214"/>
      <c r="R307" s="214"/>
    </row>
    <row r="308" spans="1:18" s="7" customFormat="1" ht="20.100000000000001" customHeight="1" x14ac:dyDescent="0.2">
      <c r="A308" s="10"/>
      <c r="B308" s="133"/>
      <c r="F308" s="214"/>
      <c r="G308" s="214"/>
      <c r="H308" s="214"/>
      <c r="I308" s="214"/>
      <c r="J308" s="214"/>
      <c r="K308" s="214"/>
      <c r="L308" s="214"/>
      <c r="M308" s="214"/>
      <c r="N308" s="214"/>
      <c r="O308" s="214"/>
      <c r="P308" s="214"/>
      <c r="Q308" s="214"/>
      <c r="R308" s="214"/>
    </row>
    <row r="309" spans="1:18" s="7" customFormat="1" ht="20.100000000000001" customHeight="1" x14ac:dyDescent="0.2">
      <c r="A309" s="10"/>
      <c r="B309" s="133"/>
      <c r="F309" s="214"/>
      <c r="G309" s="214"/>
      <c r="H309" s="214"/>
      <c r="I309" s="214"/>
      <c r="J309" s="214"/>
      <c r="K309" s="214"/>
      <c r="L309" s="214"/>
      <c r="M309" s="214"/>
      <c r="N309" s="214"/>
      <c r="O309" s="214"/>
      <c r="P309" s="214"/>
      <c r="Q309" s="214"/>
      <c r="R309" s="214"/>
    </row>
    <row r="310" spans="1:18" s="7" customFormat="1" ht="20.100000000000001" customHeight="1" x14ac:dyDescent="0.2">
      <c r="A310" s="10"/>
      <c r="B310" s="133"/>
      <c r="F310" s="214"/>
      <c r="G310" s="214"/>
      <c r="H310" s="214"/>
      <c r="I310" s="214"/>
      <c r="J310" s="214"/>
      <c r="K310" s="214"/>
      <c r="L310" s="214"/>
      <c r="M310" s="214"/>
      <c r="N310" s="214"/>
      <c r="O310" s="214"/>
      <c r="P310" s="214"/>
      <c r="Q310" s="214"/>
      <c r="R310" s="214"/>
    </row>
    <row r="311" spans="1:18" s="7" customFormat="1" ht="20.100000000000001" customHeight="1" x14ac:dyDescent="0.2">
      <c r="A311" s="10"/>
      <c r="B311" s="133"/>
      <c r="F311" s="214"/>
      <c r="G311" s="214"/>
      <c r="H311" s="214"/>
      <c r="I311" s="214"/>
      <c r="J311" s="214"/>
      <c r="K311" s="214"/>
      <c r="L311" s="214"/>
      <c r="M311" s="214"/>
      <c r="N311" s="214"/>
      <c r="O311" s="214"/>
      <c r="P311" s="214"/>
      <c r="Q311" s="214"/>
      <c r="R311" s="214"/>
    </row>
    <row r="312" spans="1:18" s="7" customFormat="1" ht="20.100000000000001" customHeight="1" x14ac:dyDescent="0.2">
      <c r="A312" s="10"/>
      <c r="B312" s="133"/>
      <c r="F312" s="214"/>
      <c r="G312" s="214"/>
      <c r="H312" s="214"/>
      <c r="I312" s="214"/>
      <c r="J312" s="214"/>
      <c r="K312" s="214"/>
      <c r="L312" s="214"/>
      <c r="M312" s="214"/>
      <c r="N312" s="214"/>
      <c r="O312" s="214"/>
      <c r="P312" s="214"/>
      <c r="Q312" s="214"/>
      <c r="R312" s="214"/>
    </row>
    <row r="313" spans="1:18" s="7" customFormat="1" ht="20.100000000000001" customHeight="1" x14ac:dyDescent="0.2">
      <c r="A313" s="10"/>
      <c r="B313" s="133"/>
      <c r="F313" s="214"/>
      <c r="G313" s="214"/>
      <c r="H313" s="214"/>
      <c r="I313" s="214"/>
      <c r="J313" s="214"/>
      <c r="K313" s="214"/>
      <c r="L313" s="214"/>
      <c r="M313" s="214"/>
      <c r="N313" s="214"/>
      <c r="O313" s="214"/>
      <c r="P313" s="214"/>
      <c r="Q313" s="214"/>
      <c r="R313" s="214"/>
    </row>
    <row r="314" spans="1:18" s="7" customFormat="1" ht="20.100000000000001" customHeight="1" x14ac:dyDescent="0.2">
      <c r="A314" s="10"/>
      <c r="B314" s="133"/>
      <c r="F314" s="214"/>
      <c r="G314" s="214"/>
      <c r="H314" s="214"/>
      <c r="I314" s="214"/>
      <c r="J314" s="214"/>
      <c r="K314" s="214"/>
      <c r="L314" s="214"/>
      <c r="M314" s="214"/>
      <c r="N314" s="214"/>
      <c r="O314" s="214"/>
      <c r="P314" s="214"/>
      <c r="Q314" s="214"/>
      <c r="R314" s="214"/>
    </row>
    <row r="315" spans="1:18" s="7" customFormat="1" ht="20.100000000000001" customHeight="1" x14ac:dyDescent="0.2">
      <c r="A315" s="10"/>
      <c r="B315" s="133"/>
      <c r="F315" s="214"/>
      <c r="G315" s="214"/>
      <c r="H315" s="214"/>
      <c r="I315" s="214"/>
      <c r="J315" s="214"/>
      <c r="K315" s="214"/>
      <c r="L315" s="214"/>
      <c r="M315" s="214"/>
      <c r="N315" s="214"/>
      <c r="O315" s="214"/>
      <c r="P315" s="214"/>
      <c r="Q315" s="214"/>
      <c r="R315" s="214"/>
    </row>
    <row r="316" spans="1:18" s="7" customFormat="1" ht="20.100000000000001" customHeight="1" x14ac:dyDescent="0.2">
      <c r="A316" s="10"/>
      <c r="B316" s="133"/>
      <c r="F316" s="214"/>
      <c r="G316" s="214"/>
      <c r="H316" s="214"/>
      <c r="I316" s="214"/>
      <c r="J316" s="214"/>
      <c r="K316" s="214"/>
      <c r="L316" s="214"/>
      <c r="M316" s="214"/>
      <c r="N316" s="214"/>
      <c r="O316" s="214"/>
      <c r="P316" s="214"/>
      <c r="Q316" s="214"/>
      <c r="R316" s="214"/>
    </row>
    <row r="317" spans="1:18" s="7" customFormat="1" ht="20.100000000000001" customHeight="1" x14ac:dyDescent="0.2">
      <c r="A317" s="10"/>
      <c r="B317" s="133"/>
      <c r="F317" s="214"/>
      <c r="G317" s="214"/>
      <c r="H317" s="214"/>
      <c r="I317" s="214"/>
      <c r="J317" s="214"/>
      <c r="K317" s="214"/>
      <c r="L317" s="214"/>
      <c r="M317" s="214"/>
      <c r="N317" s="214"/>
      <c r="O317" s="214"/>
      <c r="P317" s="214"/>
      <c r="Q317" s="214"/>
      <c r="R317" s="214"/>
    </row>
    <row r="318" spans="1:18" s="7" customFormat="1" ht="20.100000000000001" customHeight="1" x14ac:dyDescent="0.2">
      <c r="A318" s="10"/>
      <c r="B318" s="133"/>
      <c r="F318" s="214"/>
      <c r="G318" s="214"/>
      <c r="H318" s="214"/>
      <c r="I318" s="214"/>
      <c r="J318" s="214"/>
      <c r="K318" s="214"/>
      <c r="L318" s="214"/>
      <c r="M318" s="214"/>
      <c r="N318" s="214"/>
      <c r="O318" s="214"/>
      <c r="P318" s="214"/>
      <c r="Q318" s="214"/>
      <c r="R318" s="214"/>
    </row>
    <row r="319" spans="1:18" s="7" customFormat="1" ht="20.100000000000001" customHeight="1" x14ac:dyDescent="0.2">
      <c r="A319" s="10"/>
      <c r="B319" s="133"/>
      <c r="F319" s="214"/>
      <c r="G319" s="214"/>
      <c r="H319" s="214"/>
      <c r="I319" s="214"/>
      <c r="J319" s="214"/>
      <c r="K319" s="214"/>
      <c r="L319" s="214"/>
      <c r="M319" s="214"/>
      <c r="N319" s="214"/>
      <c r="O319" s="214"/>
      <c r="P319" s="214"/>
      <c r="Q319" s="214"/>
      <c r="R319" s="214"/>
    </row>
    <row r="320" spans="1:18" s="7" customFormat="1" ht="20.100000000000001" customHeight="1" x14ac:dyDescent="0.2">
      <c r="A320" s="10"/>
      <c r="B320" s="133"/>
      <c r="F320" s="214"/>
      <c r="G320" s="214"/>
      <c r="H320" s="214"/>
      <c r="I320" s="214"/>
      <c r="J320" s="214"/>
      <c r="K320" s="214"/>
      <c r="L320" s="214"/>
      <c r="M320" s="214"/>
      <c r="N320" s="214"/>
      <c r="O320" s="214"/>
      <c r="P320" s="214"/>
      <c r="Q320" s="214"/>
      <c r="R320" s="214"/>
    </row>
    <row r="321" spans="1:18" s="7" customFormat="1" ht="20.100000000000001" customHeight="1" x14ac:dyDescent="0.2">
      <c r="A321" s="10"/>
      <c r="B321" s="133"/>
      <c r="F321" s="214"/>
      <c r="G321" s="214"/>
      <c r="H321" s="214"/>
      <c r="I321" s="214"/>
      <c r="J321" s="214"/>
      <c r="K321" s="214"/>
      <c r="L321" s="214"/>
      <c r="M321" s="214"/>
      <c r="N321" s="214"/>
      <c r="O321" s="214"/>
      <c r="P321" s="214"/>
      <c r="Q321" s="214"/>
      <c r="R321" s="214"/>
    </row>
    <row r="322" spans="1:18" s="7" customFormat="1" ht="20.100000000000001" customHeight="1" x14ac:dyDescent="0.2">
      <c r="A322" s="10"/>
      <c r="B322" s="133"/>
      <c r="F322" s="214"/>
      <c r="G322" s="214"/>
      <c r="H322" s="214"/>
      <c r="I322" s="214"/>
      <c r="J322" s="214"/>
      <c r="K322" s="214"/>
      <c r="L322" s="214"/>
      <c r="M322" s="214"/>
      <c r="N322" s="214"/>
      <c r="O322" s="214"/>
      <c r="P322" s="214"/>
      <c r="Q322" s="214"/>
      <c r="R322" s="214"/>
    </row>
    <row r="323" spans="1:18" s="7" customFormat="1" ht="20.100000000000001" customHeight="1" x14ac:dyDescent="0.2">
      <c r="A323" s="10"/>
      <c r="B323" s="133"/>
      <c r="F323" s="214"/>
      <c r="G323" s="214"/>
      <c r="H323" s="214"/>
      <c r="I323" s="214"/>
      <c r="J323" s="214"/>
      <c r="K323" s="214"/>
      <c r="L323" s="214"/>
      <c r="M323" s="214"/>
      <c r="N323" s="214"/>
      <c r="O323" s="214"/>
      <c r="P323" s="214"/>
      <c r="Q323" s="214"/>
      <c r="R323" s="214"/>
    </row>
    <row r="324" spans="1:18" s="7" customFormat="1" ht="20.100000000000001" customHeight="1" x14ac:dyDescent="0.2">
      <c r="A324" s="10"/>
      <c r="B324" s="133"/>
      <c r="F324" s="214"/>
      <c r="G324" s="214"/>
      <c r="H324" s="214"/>
      <c r="I324" s="214"/>
      <c r="J324" s="214"/>
      <c r="K324" s="214"/>
      <c r="L324" s="214"/>
      <c r="M324" s="214"/>
      <c r="N324" s="214"/>
      <c r="O324" s="214"/>
      <c r="P324" s="214"/>
      <c r="Q324" s="214"/>
      <c r="R324" s="214"/>
    </row>
    <row r="325" spans="1:18" s="7" customFormat="1" ht="20.100000000000001" customHeight="1" x14ac:dyDescent="0.2">
      <c r="A325" s="10"/>
      <c r="B325" s="133"/>
      <c r="F325" s="214"/>
      <c r="G325" s="214"/>
      <c r="H325" s="214"/>
      <c r="I325" s="214"/>
      <c r="J325" s="214"/>
      <c r="K325" s="214"/>
      <c r="L325" s="214"/>
      <c r="M325" s="214"/>
      <c r="N325" s="214"/>
      <c r="O325" s="214"/>
      <c r="P325" s="214"/>
      <c r="Q325" s="214"/>
      <c r="R325" s="214"/>
    </row>
    <row r="326" spans="1:18" s="7" customFormat="1" ht="20.100000000000001" customHeight="1" x14ac:dyDescent="0.2">
      <c r="A326" s="10"/>
      <c r="B326" s="133"/>
      <c r="F326" s="214"/>
      <c r="G326" s="214"/>
      <c r="H326" s="214"/>
      <c r="I326" s="214"/>
      <c r="J326" s="214"/>
      <c r="K326" s="214"/>
      <c r="L326" s="214"/>
      <c r="M326" s="214"/>
      <c r="N326" s="214"/>
      <c r="O326" s="214"/>
      <c r="P326" s="214"/>
      <c r="Q326" s="214"/>
      <c r="R326" s="214"/>
    </row>
    <row r="327" spans="1:18" s="7" customFormat="1" ht="20.100000000000001" customHeight="1" x14ac:dyDescent="0.2">
      <c r="A327" s="10"/>
      <c r="B327" s="133"/>
      <c r="F327" s="214"/>
      <c r="G327" s="214"/>
      <c r="H327" s="214"/>
      <c r="I327" s="214"/>
      <c r="J327" s="214"/>
      <c r="K327" s="214"/>
      <c r="L327" s="214"/>
      <c r="M327" s="214"/>
      <c r="N327" s="214"/>
      <c r="O327" s="214"/>
      <c r="P327" s="214"/>
      <c r="Q327" s="214"/>
      <c r="R327" s="214"/>
    </row>
    <row r="328" spans="1:18" s="7" customFormat="1" ht="20.100000000000001" customHeight="1" x14ac:dyDescent="0.2">
      <c r="A328" s="10"/>
      <c r="B328" s="133"/>
      <c r="F328" s="214"/>
      <c r="G328" s="214"/>
      <c r="H328" s="214"/>
      <c r="I328" s="214"/>
      <c r="J328" s="214"/>
      <c r="K328" s="214"/>
      <c r="L328" s="214"/>
      <c r="M328" s="214"/>
      <c r="N328" s="214"/>
      <c r="O328" s="214"/>
      <c r="P328" s="214"/>
      <c r="Q328" s="214"/>
      <c r="R328" s="214"/>
    </row>
    <row r="329" spans="1:18" s="7" customFormat="1" ht="20.100000000000001" customHeight="1" x14ac:dyDescent="0.2">
      <c r="A329" s="10"/>
      <c r="B329" s="133"/>
      <c r="F329" s="214"/>
      <c r="G329" s="214"/>
      <c r="H329" s="214"/>
      <c r="I329" s="214"/>
      <c r="J329" s="214"/>
      <c r="K329" s="214"/>
      <c r="L329" s="214"/>
      <c r="M329" s="214"/>
      <c r="N329" s="214"/>
      <c r="O329" s="214"/>
      <c r="P329" s="214"/>
      <c r="Q329" s="214"/>
      <c r="R329" s="214"/>
    </row>
    <row r="330" spans="1:18" s="7" customFormat="1" ht="20.100000000000001" customHeight="1" x14ac:dyDescent="0.2">
      <c r="A330" s="10"/>
      <c r="B330" s="133"/>
      <c r="F330" s="214"/>
      <c r="G330" s="214"/>
      <c r="H330" s="214"/>
      <c r="I330" s="214"/>
      <c r="J330" s="214"/>
      <c r="K330" s="214"/>
      <c r="L330" s="214"/>
      <c r="M330" s="214"/>
      <c r="N330" s="214"/>
      <c r="O330" s="214"/>
      <c r="P330" s="214"/>
      <c r="Q330" s="214"/>
      <c r="R330" s="214"/>
    </row>
    <row r="331" spans="1:18" s="7" customFormat="1" ht="20.100000000000001" customHeight="1" x14ac:dyDescent="0.2">
      <c r="A331" s="10"/>
      <c r="B331" s="133"/>
      <c r="F331" s="214"/>
      <c r="G331" s="214"/>
      <c r="H331" s="214"/>
      <c r="I331" s="214"/>
      <c r="J331" s="214"/>
      <c r="K331" s="214"/>
      <c r="L331" s="214"/>
      <c r="M331" s="214"/>
      <c r="N331" s="214"/>
      <c r="O331" s="214"/>
      <c r="P331" s="214"/>
      <c r="Q331" s="214"/>
      <c r="R331" s="214"/>
    </row>
    <row r="332" spans="1:18" s="7" customFormat="1" ht="20.100000000000001" customHeight="1" x14ac:dyDescent="0.2">
      <c r="A332" s="10"/>
      <c r="B332" s="133"/>
      <c r="F332" s="214"/>
      <c r="G332" s="214"/>
      <c r="H332" s="214"/>
      <c r="I332" s="214"/>
      <c r="J332" s="214"/>
      <c r="K332" s="214"/>
      <c r="L332" s="214"/>
      <c r="M332" s="214"/>
      <c r="N332" s="214"/>
      <c r="O332" s="214"/>
      <c r="P332" s="214"/>
      <c r="Q332" s="214"/>
      <c r="R332" s="214"/>
    </row>
    <row r="333" spans="1:18" s="7" customFormat="1" ht="20.100000000000001" customHeight="1" x14ac:dyDescent="0.2">
      <c r="A333" s="10"/>
      <c r="B333" s="133"/>
      <c r="F333" s="214"/>
      <c r="G333" s="214"/>
      <c r="H333" s="214"/>
      <c r="I333" s="214"/>
      <c r="J333" s="214"/>
      <c r="K333" s="214"/>
      <c r="L333" s="214"/>
      <c r="M333" s="214"/>
      <c r="N333" s="214"/>
      <c r="O333" s="214"/>
      <c r="P333" s="214"/>
      <c r="Q333" s="214"/>
      <c r="R333" s="214"/>
    </row>
    <row r="334" spans="1:18" s="7" customFormat="1" ht="20.100000000000001" customHeight="1" x14ac:dyDescent="0.2">
      <c r="A334" s="10"/>
      <c r="B334" s="133"/>
      <c r="F334" s="214"/>
      <c r="G334" s="214"/>
      <c r="H334" s="214"/>
      <c r="I334" s="214"/>
      <c r="J334" s="214"/>
      <c r="K334" s="214"/>
      <c r="L334" s="214"/>
      <c r="M334" s="214"/>
      <c r="N334" s="214"/>
      <c r="O334" s="214"/>
      <c r="P334" s="214"/>
      <c r="Q334" s="214"/>
      <c r="R334" s="214"/>
    </row>
    <row r="335" spans="1:18" s="7" customFormat="1" ht="20.100000000000001" customHeight="1" x14ac:dyDescent="0.2">
      <c r="A335" s="10"/>
      <c r="B335" s="133"/>
      <c r="F335" s="214"/>
      <c r="G335" s="214"/>
      <c r="H335" s="214"/>
      <c r="I335" s="214"/>
      <c r="J335" s="214"/>
      <c r="K335" s="214"/>
      <c r="L335" s="214"/>
      <c r="M335" s="214"/>
      <c r="N335" s="214"/>
      <c r="O335" s="214"/>
      <c r="P335" s="214"/>
      <c r="Q335" s="214"/>
      <c r="R335" s="214"/>
    </row>
    <row r="336" spans="1:18" s="7" customFormat="1" ht="20.100000000000001" customHeight="1" x14ac:dyDescent="0.2">
      <c r="A336" s="10"/>
      <c r="B336" s="133"/>
      <c r="F336" s="214"/>
      <c r="G336" s="214"/>
      <c r="H336" s="214"/>
      <c r="I336" s="214"/>
      <c r="J336" s="214"/>
      <c r="K336" s="214"/>
      <c r="L336" s="214"/>
      <c r="M336" s="214"/>
      <c r="N336" s="214"/>
      <c r="O336" s="214"/>
      <c r="P336" s="214"/>
      <c r="Q336" s="214"/>
      <c r="R336" s="214"/>
    </row>
    <row r="337" spans="1:18" s="7" customFormat="1" ht="20.100000000000001" customHeight="1" x14ac:dyDescent="0.2">
      <c r="A337" s="10"/>
      <c r="B337" s="133"/>
      <c r="F337" s="214"/>
      <c r="G337" s="214"/>
      <c r="H337" s="214"/>
      <c r="I337" s="214"/>
      <c r="J337" s="214"/>
      <c r="K337" s="214"/>
      <c r="L337" s="214"/>
      <c r="M337" s="214"/>
      <c r="N337" s="214"/>
      <c r="O337" s="214"/>
      <c r="P337" s="214"/>
      <c r="Q337" s="214"/>
      <c r="R337" s="214"/>
    </row>
    <row r="338" spans="1:18" s="7" customFormat="1" ht="20.100000000000001" customHeight="1" x14ac:dyDescent="0.2">
      <c r="A338" s="10"/>
      <c r="B338" s="133"/>
      <c r="F338" s="214"/>
      <c r="G338" s="214"/>
      <c r="H338" s="214"/>
      <c r="I338" s="214"/>
      <c r="J338" s="214"/>
      <c r="K338" s="214"/>
      <c r="L338" s="214"/>
      <c r="M338" s="214"/>
      <c r="N338" s="214"/>
      <c r="O338" s="214"/>
      <c r="P338" s="214"/>
      <c r="Q338" s="214"/>
      <c r="R338" s="214"/>
    </row>
    <row r="339" spans="1:18" s="7" customFormat="1" ht="20.100000000000001" customHeight="1" x14ac:dyDescent="0.2">
      <c r="A339" s="10"/>
      <c r="B339" s="133"/>
      <c r="F339" s="214"/>
      <c r="G339" s="214"/>
      <c r="H339" s="214"/>
      <c r="I339" s="214"/>
      <c r="J339" s="214"/>
      <c r="K339" s="214"/>
      <c r="L339" s="214"/>
      <c r="M339" s="214"/>
      <c r="N339" s="214"/>
      <c r="O339" s="214"/>
      <c r="P339" s="214"/>
      <c r="Q339" s="214"/>
      <c r="R339" s="214"/>
    </row>
    <row r="340" spans="1:18" s="7" customFormat="1" ht="20.100000000000001" customHeight="1" x14ac:dyDescent="0.2">
      <c r="A340" s="10"/>
      <c r="B340" s="133"/>
      <c r="F340" s="214"/>
      <c r="G340" s="214"/>
      <c r="H340" s="214"/>
      <c r="I340" s="214"/>
      <c r="J340" s="214"/>
      <c r="K340" s="214"/>
      <c r="L340" s="214"/>
      <c r="M340" s="214"/>
      <c r="N340" s="214"/>
      <c r="O340" s="214"/>
      <c r="P340" s="214"/>
      <c r="Q340" s="214"/>
      <c r="R340" s="214"/>
    </row>
    <row r="341" spans="1:18" s="7" customFormat="1" ht="20.100000000000001" customHeight="1" x14ac:dyDescent="0.2">
      <c r="A341" s="10"/>
      <c r="B341" s="133"/>
      <c r="F341" s="214"/>
      <c r="G341" s="214"/>
      <c r="H341" s="214"/>
      <c r="I341" s="214"/>
      <c r="J341" s="214"/>
      <c r="K341" s="214"/>
      <c r="L341" s="214"/>
      <c r="M341" s="214"/>
      <c r="N341" s="214"/>
      <c r="O341" s="214"/>
      <c r="P341" s="214"/>
      <c r="Q341" s="214"/>
      <c r="R341" s="214"/>
    </row>
    <row r="342" spans="1:18" s="7" customFormat="1" ht="20.100000000000001" customHeight="1" x14ac:dyDescent="0.2">
      <c r="A342" s="10"/>
      <c r="B342" s="133"/>
      <c r="F342" s="214"/>
      <c r="G342" s="214"/>
      <c r="H342" s="214"/>
      <c r="I342" s="214"/>
      <c r="J342" s="214"/>
      <c r="K342" s="214"/>
      <c r="L342" s="214"/>
      <c r="M342" s="214"/>
      <c r="N342" s="214"/>
      <c r="O342" s="214"/>
      <c r="P342" s="214"/>
      <c r="Q342" s="214"/>
      <c r="R342" s="214"/>
    </row>
    <row r="343" spans="1:18" s="7" customFormat="1" ht="20.100000000000001" customHeight="1" x14ac:dyDescent="0.2">
      <c r="A343" s="10"/>
      <c r="B343" s="133"/>
      <c r="F343" s="214"/>
      <c r="G343" s="214"/>
      <c r="H343" s="214"/>
      <c r="I343" s="214"/>
      <c r="J343" s="214"/>
      <c r="K343" s="214"/>
      <c r="L343" s="214"/>
      <c r="M343" s="214"/>
      <c r="N343" s="214"/>
      <c r="O343" s="214"/>
      <c r="P343" s="214"/>
      <c r="Q343" s="214"/>
      <c r="R343" s="214"/>
    </row>
    <row r="344" spans="1:18" s="7" customFormat="1" ht="20.100000000000001" customHeight="1" x14ac:dyDescent="0.2">
      <c r="A344" s="10"/>
      <c r="B344" s="133"/>
      <c r="F344" s="214"/>
      <c r="G344" s="214"/>
      <c r="H344" s="214"/>
      <c r="I344" s="214"/>
      <c r="J344" s="214"/>
      <c r="K344" s="214"/>
      <c r="L344" s="214"/>
      <c r="M344" s="214"/>
      <c r="N344" s="214"/>
      <c r="O344" s="214"/>
      <c r="P344" s="214"/>
      <c r="Q344" s="214"/>
      <c r="R344" s="214"/>
    </row>
    <row r="345" spans="1:18" s="7" customFormat="1" ht="20.100000000000001" customHeight="1" x14ac:dyDescent="0.2">
      <c r="A345" s="10"/>
      <c r="B345" s="133"/>
      <c r="F345" s="214"/>
      <c r="G345" s="214"/>
      <c r="H345" s="214"/>
      <c r="I345" s="214"/>
      <c r="J345" s="214"/>
      <c r="K345" s="214"/>
      <c r="L345" s="214"/>
      <c r="M345" s="214"/>
      <c r="N345" s="214"/>
      <c r="O345" s="214"/>
      <c r="P345" s="214"/>
      <c r="Q345" s="214"/>
      <c r="R345" s="214"/>
    </row>
    <row r="346" spans="1:18" s="7" customFormat="1" ht="20.100000000000001" customHeight="1" x14ac:dyDescent="0.2">
      <c r="A346" s="10"/>
      <c r="B346" s="133"/>
      <c r="F346" s="214"/>
      <c r="G346" s="214"/>
      <c r="H346" s="214"/>
      <c r="I346" s="214"/>
      <c r="J346" s="214"/>
      <c r="K346" s="214"/>
      <c r="L346" s="214"/>
      <c r="M346" s="214"/>
      <c r="N346" s="214"/>
      <c r="O346" s="214"/>
      <c r="P346" s="214"/>
      <c r="Q346" s="214"/>
      <c r="R346" s="214"/>
    </row>
    <row r="347" spans="1:18" s="7" customFormat="1" ht="20.100000000000001" customHeight="1" x14ac:dyDescent="0.2">
      <c r="A347" s="10"/>
      <c r="B347" s="133"/>
      <c r="F347" s="214"/>
      <c r="G347" s="214"/>
      <c r="H347" s="214"/>
      <c r="I347" s="214"/>
      <c r="J347" s="214"/>
      <c r="K347" s="214"/>
      <c r="L347" s="214"/>
      <c r="M347" s="214"/>
      <c r="N347" s="214"/>
      <c r="O347" s="214"/>
      <c r="P347" s="214"/>
      <c r="Q347" s="214"/>
      <c r="R347" s="214"/>
    </row>
    <row r="348" spans="1:18" s="7" customFormat="1" ht="20.100000000000001" customHeight="1" x14ac:dyDescent="0.2">
      <c r="A348" s="10"/>
      <c r="B348" s="133"/>
      <c r="F348" s="214"/>
      <c r="G348" s="214"/>
      <c r="H348" s="214"/>
      <c r="I348" s="214"/>
      <c r="J348" s="214"/>
      <c r="K348" s="214"/>
      <c r="L348" s="214"/>
      <c r="M348" s="214"/>
      <c r="N348" s="214"/>
      <c r="O348" s="214"/>
      <c r="P348" s="214"/>
      <c r="Q348" s="214"/>
      <c r="R348" s="214"/>
    </row>
    <row r="349" spans="1:18" s="7" customFormat="1" ht="20.100000000000001" customHeight="1" x14ac:dyDescent="0.2">
      <c r="A349" s="10"/>
      <c r="B349" s="133"/>
      <c r="F349" s="214"/>
      <c r="G349" s="214"/>
      <c r="H349" s="214"/>
      <c r="I349" s="214"/>
      <c r="J349" s="214"/>
      <c r="K349" s="214"/>
      <c r="L349" s="214"/>
      <c r="M349" s="214"/>
      <c r="N349" s="214"/>
      <c r="O349" s="214"/>
      <c r="P349" s="214"/>
      <c r="Q349" s="214"/>
      <c r="R349" s="214"/>
    </row>
    <row r="350" spans="1:18" s="7" customFormat="1" ht="20.100000000000001" customHeight="1" x14ac:dyDescent="0.2">
      <c r="A350" s="10"/>
      <c r="B350" s="133"/>
      <c r="F350" s="214"/>
      <c r="G350" s="214"/>
      <c r="H350" s="214"/>
      <c r="I350" s="214"/>
      <c r="J350" s="214"/>
      <c r="K350" s="214"/>
      <c r="L350" s="214"/>
      <c r="M350" s="214"/>
      <c r="N350" s="214"/>
      <c r="O350" s="214"/>
      <c r="P350" s="214"/>
      <c r="Q350" s="214"/>
      <c r="R350" s="214"/>
    </row>
    <row r="351" spans="1:18" s="7" customFormat="1" ht="20.100000000000001" customHeight="1" x14ac:dyDescent="0.2">
      <c r="A351" s="10"/>
      <c r="B351" s="133"/>
      <c r="F351" s="214"/>
      <c r="G351" s="214"/>
      <c r="H351" s="214"/>
      <c r="I351" s="214"/>
      <c r="J351" s="214"/>
      <c r="K351" s="214"/>
      <c r="L351" s="214"/>
      <c r="M351" s="214"/>
      <c r="N351" s="214"/>
      <c r="O351" s="214"/>
      <c r="P351" s="214"/>
      <c r="Q351" s="214"/>
      <c r="R351" s="214"/>
    </row>
    <row r="352" spans="1:18" s="7" customFormat="1" ht="20.100000000000001" customHeight="1" x14ac:dyDescent="0.2">
      <c r="A352" s="10"/>
      <c r="B352" s="133"/>
      <c r="F352" s="214"/>
      <c r="G352" s="214"/>
      <c r="H352" s="214"/>
      <c r="I352" s="214"/>
      <c r="J352" s="214"/>
      <c r="K352" s="214"/>
      <c r="L352" s="214"/>
      <c r="M352" s="214"/>
      <c r="N352" s="214"/>
      <c r="O352" s="214"/>
      <c r="P352" s="214"/>
      <c r="Q352" s="214"/>
      <c r="R352" s="214"/>
    </row>
    <row r="353" spans="1:18" s="7" customFormat="1" ht="20.100000000000001" customHeight="1" x14ac:dyDescent="0.2">
      <c r="A353" s="10"/>
      <c r="B353" s="133"/>
      <c r="F353" s="214"/>
      <c r="G353" s="214"/>
      <c r="H353" s="214"/>
      <c r="I353" s="214"/>
      <c r="J353" s="214"/>
      <c r="K353" s="214"/>
      <c r="L353" s="214"/>
      <c r="M353" s="214"/>
      <c r="N353" s="214"/>
      <c r="O353" s="214"/>
      <c r="P353" s="214"/>
      <c r="Q353" s="214"/>
      <c r="R353" s="214"/>
    </row>
    <row r="354" spans="1:18" s="7" customFormat="1" ht="20.100000000000001" customHeight="1" x14ac:dyDescent="0.2">
      <c r="A354" s="10"/>
      <c r="B354" s="133"/>
      <c r="F354" s="214"/>
      <c r="G354" s="214"/>
      <c r="H354" s="214"/>
      <c r="I354" s="214"/>
      <c r="J354" s="214"/>
      <c r="K354" s="214"/>
      <c r="L354" s="214"/>
      <c r="M354" s="214"/>
      <c r="N354" s="214"/>
      <c r="O354" s="214"/>
      <c r="P354" s="214"/>
      <c r="Q354" s="214"/>
      <c r="R354" s="214"/>
    </row>
    <row r="355" spans="1:18" s="7" customFormat="1" ht="20.100000000000001" customHeight="1" x14ac:dyDescent="0.2">
      <c r="A355" s="10"/>
      <c r="B355" s="133"/>
      <c r="F355" s="214"/>
      <c r="G355" s="214"/>
      <c r="H355" s="214"/>
      <c r="I355" s="214"/>
      <c r="J355" s="214"/>
      <c r="K355" s="214"/>
      <c r="L355" s="214"/>
      <c r="M355" s="214"/>
      <c r="N355" s="214"/>
      <c r="O355" s="214"/>
      <c r="P355" s="214"/>
      <c r="Q355" s="214"/>
      <c r="R355" s="214"/>
    </row>
    <row r="356" spans="1:18" s="7" customFormat="1" ht="20.100000000000001" customHeight="1" x14ac:dyDescent="0.2">
      <c r="A356" s="10"/>
      <c r="B356" s="133"/>
      <c r="F356" s="214"/>
      <c r="G356" s="214"/>
      <c r="H356" s="214"/>
      <c r="I356" s="214"/>
      <c r="J356" s="214"/>
      <c r="K356" s="214"/>
      <c r="L356" s="214"/>
      <c r="M356" s="214"/>
      <c r="N356" s="214"/>
      <c r="O356" s="214"/>
      <c r="P356" s="214"/>
      <c r="Q356" s="214"/>
      <c r="R356" s="214"/>
    </row>
    <row r="357" spans="1:18" s="7" customFormat="1" ht="20.100000000000001" customHeight="1" x14ac:dyDescent="0.2">
      <c r="A357" s="10"/>
      <c r="B357" s="133"/>
      <c r="F357" s="214"/>
      <c r="G357" s="214"/>
      <c r="H357" s="214"/>
      <c r="I357" s="214"/>
      <c r="J357" s="214"/>
      <c r="K357" s="214"/>
      <c r="L357" s="214"/>
      <c r="M357" s="214"/>
      <c r="N357" s="214"/>
      <c r="O357" s="214"/>
      <c r="P357" s="214"/>
      <c r="Q357" s="214"/>
      <c r="R357" s="214"/>
    </row>
    <row r="358" spans="1:18" s="7" customFormat="1" ht="20.100000000000001" customHeight="1" x14ac:dyDescent="0.2">
      <c r="A358" s="10"/>
      <c r="B358" s="133"/>
      <c r="F358" s="214"/>
      <c r="G358" s="214"/>
      <c r="H358" s="214"/>
      <c r="I358" s="214"/>
      <c r="J358" s="214"/>
      <c r="K358" s="214"/>
      <c r="L358" s="214"/>
      <c r="M358" s="214"/>
      <c r="N358" s="214"/>
      <c r="O358" s="214"/>
      <c r="P358" s="214"/>
      <c r="Q358" s="214"/>
      <c r="R358" s="214"/>
    </row>
    <row r="359" spans="1:18" s="7" customFormat="1" ht="20.100000000000001" customHeight="1" x14ac:dyDescent="0.2">
      <c r="A359" s="10"/>
      <c r="B359" s="133"/>
      <c r="F359" s="214"/>
      <c r="G359" s="214"/>
      <c r="H359" s="214"/>
      <c r="I359" s="214"/>
      <c r="J359" s="214"/>
      <c r="K359" s="214"/>
      <c r="L359" s="214"/>
      <c r="M359" s="214"/>
      <c r="N359" s="214"/>
      <c r="O359" s="214"/>
      <c r="P359" s="214"/>
      <c r="Q359" s="214"/>
      <c r="R359" s="214"/>
    </row>
    <row r="360" spans="1:18" s="7" customFormat="1" ht="20.100000000000001" customHeight="1" x14ac:dyDescent="0.2">
      <c r="A360" s="10"/>
      <c r="B360" s="133"/>
      <c r="F360" s="214"/>
      <c r="G360" s="214"/>
      <c r="H360" s="214"/>
      <c r="I360" s="214"/>
      <c r="J360" s="214"/>
      <c r="K360" s="214"/>
      <c r="L360" s="214"/>
      <c r="M360" s="214"/>
      <c r="N360" s="214"/>
      <c r="O360" s="214"/>
      <c r="P360" s="214"/>
      <c r="Q360" s="214"/>
      <c r="R360" s="214"/>
    </row>
    <row r="361" spans="1:18" s="7" customFormat="1" ht="20.100000000000001" customHeight="1" x14ac:dyDescent="0.2">
      <c r="A361" s="10"/>
      <c r="B361" s="133"/>
      <c r="F361" s="214"/>
      <c r="G361" s="214"/>
      <c r="H361" s="214"/>
      <c r="I361" s="214"/>
      <c r="J361" s="214"/>
      <c r="K361" s="214"/>
      <c r="L361" s="214"/>
      <c r="M361" s="214"/>
      <c r="N361" s="214"/>
      <c r="O361" s="214"/>
      <c r="P361" s="214"/>
      <c r="Q361" s="214"/>
      <c r="R361" s="214"/>
    </row>
    <row r="362" spans="1:18" s="7" customFormat="1" ht="20.100000000000001" customHeight="1" x14ac:dyDescent="0.2">
      <c r="A362" s="10"/>
      <c r="B362" s="133"/>
      <c r="F362" s="214"/>
      <c r="G362" s="214"/>
      <c r="H362" s="214"/>
      <c r="I362" s="214"/>
      <c r="J362" s="214"/>
      <c r="K362" s="214"/>
      <c r="L362" s="214"/>
      <c r="M362" s="214"/>
      <c r="N362" s="214"/>
      <c r="O362" s="214"/>
      <c r="P362" s="214"/>
      <c r="Q362" s="214"/>
      <c r="R362" s="214"/>
    </row>
    <row r="363" spans="1:18" s="7" customFormat="1" ht="20.100000000000001" customHeight="1" x14ac:dyDescent="0.2">
      <c r="A363" s="10"/>
      <c r="B363" s="133"/>
      <c r="F363" s="214"/>
      <c r="G363" s="214"/>
      <c r="H363" s="214"/>
      <c r="I363" s="214"/>
      <c r="J363" s="214"/>
      <c r="K363" s="214"/>
      <c r="L363" s="214"/>
      <c r="M363" s="214"/>
      <c r="N363" s="214"/>
      <c r="O363" s="214"/>
      <c r="P363" s="214"/>
      <c r="Q363" s="214"/>
      <c r="R363" s="214"/>
    </row>
    <row r="364" spans="1:18" s="7" customFormat="1" ht="20.100000000000001" customHeight="1" x14ac:dyDescent="0.2">
      <c r="A364" s="10"/>
      <c r="B364" s="133"/>
      <c r="F364" s="214"/>
      <c r="G364" s="214"/>
      <c r="H364" s="214"/>
      <c r="I364" s="214"/>
      <c r="J364" s="214"/>
      <c r="K364" s="214"/>
      <c r="L364" s="214"/>
      <c r="M364" s="214"/>
      <c r="N364" s="214"/>
      <c r="O364" s="214"/>
      <c r="P364" s="214"/>
      <c r="Q364" s="214"/>
      <c r="R364" s="214"/>
    </row>
    <row r="365" spans="1:18" s="7" customFormat="1" ht="20.100000000000001" customHeight="1" x14ac:dyDescent="0.2">
      <c r="A365" s="10"/>
      <c r="B365" s="133"/>
      <c r="F365" s="214"/>
      <c r="G365" s="214"/>
      <c r="H365" s="214"/>
      <c r="I365" s="214"/>
      <c r="J365" s="214"/>
      <c r="K365" s="214"/>
      <c r="L365" s="214"/>
      <c r="M365" s="214"/>
      <c r="N365" s="214"/>
      <c r="O365" s="214"/>
      <c r="P365" s="214"/>
      <c r="Q365" s="214"/>
      <c r="R365" s="214"/>
    </row>
    <row r="366" spans="1:18" s="7" customFormat="1" ht="20.100000000000001" customHeight="1" x14ac:dyDescent="0.2">
      <c r="A366" s="10"/>
      <c r="B366" s="133"/>
      <c r="F366" s="214"/>
      <c r="G366" s="214"/>
      <c r="H366" s="214"/>
      <c r="I366" s="214"/>
      <c r="J366" s="214"/>
      <c r="K366" s="214"/>
      <c r="L366" s="214"/>
      <c r="M366" s="214"/>
      <c r="N366" s="214"/>
      <c r="O366" s="214"/>
      <c r="P366" s="214"/>
      <c r="Q366" s="214"/>
      <c r="R366" s="214"/>
    </row>
    <row r="367" spans="1:18" s="7" customFormat="1" ht="20.100000000000001" customHeight="1" x14ac:dyDescent="0.2">
      <c r="A367" s="10"/>
      <c r="B367" s="133"/>
      <c r="F367" s="214"/>
      <c r="G367" s="214"/>
      <c r="H367" s="214"/>
      <c r="I367" s="214"/>
      <c r="J367" s="214"/>
      <c r="K367" s="214"/>
      <c r="L367" s="214"/>
      <c r="M367" s="214"/>
      <c r="N367" s="214"/>
      <c r="O367" s="214"/>
      <c r="P367" s="214"/>
      <c r="Q367" s="214"/>
      <c r="R367" s="214"/>
    </row>
    <row r="368" spans="1:18" s="7" customFormat="1" ht="20.100000000000001" customHeight="1" x14ac:dyDescent="0.2">
      <c r="A368" s="10"/>
      <c r="B368" s="133"/>
      <c r="F368" s="214"/>
      <c r="G368" s="214"/>
      <c r="H368" s="214"/>
      <c r="I368" s="214"/>
      <c r="J368" s="214"/>
      <c r="K368" s="214"/>
      <c r="L368" s="214"/>
      <c r="M368" s="214"/>
      <c r="N368" s="214"/>
      <c r="O368" s="214"/>
      <c r="P368" s="214"/>
      <c r="Q368" s="214"/>
      <c r="R368" s="214"/>
    </row>
    <row r="369" spans="1:18" s="7" customFormat="1" ht="20.100000000000001" customHeight="1" x14ac:dyDescent="0.2">
      <c r="A369" s="10"/>
      <c r="B369" s="133"/>
      <c r="F369" s="214"/>
      <c r="G369" s="214"/>
      <c r="H369" s="214"/>
      <c r="I369" s="214"/>
      <c r="J369" s="214"/>
      <c r="K369" s="214"/>
      <c r="L369" s="214"/>
      <c r="M369" s="214"/>
      <c r="N369" s="214"/>
      <c r="O369" s="214"/>
      <c r="P369" s="214"/>
      <c r="Q369" s="214"/>
      <c r="R369" s="214"/>
    </row>
    <row r="370" spans="1:18" s="7" customFormat="1" ht="20.100000000000001" customHeight="1" x14ac:dyDescent="0.2">
      <c r="A370" s="10"/>
      <c r="B370" s="133"/>
      <c r="F370" s="214"/>
      <c r="G370" s="214"/>
      <c r="H370" s="214"/>
      <c r="I370" s="214"/>
      <c r="J370" s="214"/>
      <c r="K370" s="214"/>
      <c r="L370" s="214"/>
      <c r="M370" s="214"/>
      <c r="N370" s="214"/>
      <c r="O370" s="214"/>
      <c r="P370" s="214"/>
      <c r="Q370" s="214"/>
      <c r="R370" s="214"/>
    </row>
    <row r="371" spans="1:18" s="7" customFormat="1" ht="20.100000000000001" customHeight="1" x14ac:dyDescent="0.2">
      <c r="A371" s="10"/>
      <c r="B371" s="133"/>
      <c r="F371" s="214"/>
      <c r="G371" s="214"/>
      <c r="H371" s="214"/>
      <c r="I371" s="214"/>
      <c r="J371" s="214"/>
      <c r="K371" s="214"/>
      <c r="L371" s="214"/>
      <c r="M371" s="214"/>
      <c r="N371" s="214"/>
      <c r="O371" s="214"/>
      <c r="P371" s="214"/>
      <c r="Q371" s="214"/>
      <c r="R371" s="214"/>
    </row>
    <row r="372" spans="1:18" s="7" customFormat="1" ht="20.100000000000001" customHeight="1" x14ac:dyDescent="0.2">
      <c r="A372" s="10"/>
      <c r="B372" s="133"/>
      <c r="F372" s="214"/>
      <c r="G372" s="214"/>
      <c r="H372" s="214"/>
      <c r="I372" s="214"/>
      <c r="J372" s="214"/>
      <c r="K372" s="214"/>
      <c r="L372" s="214"/>
      <c r="M372" s="214"/>
      <c r="N372" s="214"/>
      <c r="O372" s="214"/>
      <c r="P372" s="214"/>
      <c r="Q372" s="214"/>
      <c r="R372" s="214"/>
    </row>
    <row r="373" spans="1:18" s="7" customFormat="1" ht="20.100000000000001" customHeight="1" x14ac:dyDescent="0.2">
      <c r="A373" s="10"/>
      <c r="B373" s="133"/>
      <c r="F373" s="214"/>
      <c r="G373" s="214"/>
      <c r="H373" s="214"/>
      <c r="I373" s="214"/>
      <c r="J373" s="214"/>
      <c r="K373" s="214"/>
      <c r="L373" s="214"/>
      <c r="M373" s="214"/>
      <c r="N373" s="214"/>
      <c r="O373" s="214"/>
      <c r="P373" s="214"/>
      <c r="Q373" s="214"/>
      <c r="R373" s="214"/>
    </row>
    <row r="374" spans="1:18" s="7" customFormat="1" ht="20.100000000000001" customHeight="1" x14ac:dyDescent="0.2">
      <c r="A374" s="10"/>
      <c r="B374" s="133"/>
      <c r="F374" s="214"/>
      <c r="G374" s="214"/>
      <c r="H374" s="214"/>
      <c r="I374" s="214"/>
      <c r="J374" s="214"/>
      <c r="K374" s="214"/>
      <c r="L374" s="214"/>
      <c r="M374" s="214"/>
      <c r="N374" s="214"/>
      <c r="O374" s="214"/>
      <c r="P374" s="214"/>
      <c r="Q374" s="214"/>
      <c r="R374" s="214"/>
    </row>
    <row r="375" spans="1:18" s="7" customFormat="1" ht="20.100000000000001" customHeight="1" x14ac:dyDescent="0.2">
      <c r="A375" s="10"/>
      <c r="B375" s="133"/>
      <c r="F375" s="214"/>
      <c r="G375" s="214"/>
      <c r="H375" s="214"/>
      <c r="I375" s="214"/>
      <c r="J375" s="214"/>
      <c r="K375" s="214"/>
      <c r="L375" s="214"/>
      <c r="M375" s="214"/>
      <c r="N375" s="214"/>
      <c r="O375" s="214"/>
      <c r="P375" s="214"/>
      <c r="Q375" s="214"/>
      <c r="R375" s="214"/>
    </row>
    <row r="376" spans="1:18" s="7" customFormat="1" ht="20.100000000000001" customHeight="1" x14ac:dyDescent="0.2">
      <c r="A376" s="10"/>
      <c r="B376" s="133"/>
      <c r="F376" s="214"/>
      <c r="G376" s="214"/>
      <c r="H376" s="214"/>
      <c r="I376" s="214"/>
      <c r="J376" s="214"/>
      <c r="K376" s="214"/>
      <c r="L376" s="214"/>
      <c r="M376" s="214"/>
      <c r="N376" s="214"/>
      <c r="O376" s="214"/>
      <c r="P376" s="214"/>
      <c r="Q376" s="214"/>
      <c r="R376" s="214"/>
    </row>
    <row r="377" spans="1:18" s="7" customFormat="1" ht="20.100000000000001" customHeight="1" x14ac:dyDescent="0.2">
      <c r="A377" s="10"/>
      <c r="B377" s="133"/>
      <c r="F377" s="214"/>
      <c r="G377" s="214"/>
      <c r="H377" s="214"/>
      <c r="I377" s="214"/>
      <c r="J377" s="214"/>
      <c r="K377" s="214"/>
      <c r="L377" s="214"/>
      <c r="M377" s="214"/>
      <c r="N377" s="214"/>
      <c r="O377" s="214"/>
      <c r="P377" s="214"/>
      <c r="Q377" s="214"/>
      <c r="R377" s="214"/>
    </row>
    <row r="378" spans="1:18" s="7" customFormat="1" ht="20.100000000000001" customHeight="1" x14ac:dyDescent="0.2">
      <c r="A378" s="10"/>
      <c r="B378" s="133"/>
      <c r="F378" s="214"/>
      <c r="G378" s="214"/>
      <c r="H378" s="214"/>
      <c r="I378" s="214"/>
      <c r="J378" s="214"/>
      <c r="K378" s="214"/>
      <c r="L378" s="214"/>
      <c r="M378" s="214"/>
      <c r="N378" s="214"/>
      <c r="O378" s="214"/>
      <c r="P378" s="214"/>
      <c r="Q378" s="214"/>
      <c r="R378" s="214"/>
    </row>
    <row r="379" spans="1:18" s="7" customFormat="1" ht="20.100000000000001" customHeight="1" x14ac:dyDescent="0.2">
      <c r="A379" s="10"/>
      <c r="B379" s="133"/>
      <c r="F379" s="214"/>
      <c r="G379" s="214"/>
      <c r="H379" s="214"/>
      <c r="I379" s="214"/>
      <c r="J379" s="214"/>
      <c r="K379" s="214"/>
      <c r="L379" s="214"/>
      <c r="M379" s="214"/>
      <c r="N379" s="214"/>
      <c r="O379" s="214"/>
      <c r="P379" s="214"/>
      <c r="Q379" s="214"/>
      <c r="R379" s="214"/>
    </row>
    <row r="380" spans="1:18" s="7" customFormat="1" ht="20.100000000000001" customHeight="1" x14ac:dyDescent="0.2">
      <c r="A380" s="10"/>
      <c r="B380" s="133"/>
      <c r="F380" s="214"/>
      <c r="G380" s="214"/>
      <c r="H380" s="214"/>
      <c r="I380" s="214"/>
      <c r="J380" s="214"/>
      <c r="K380" s="214"/>
      <c r="L380" s="214"/>
      <c r="M380" s="214"/>
      <c r="N380" s="214"/>
      <c r="O380" s="214"/>
      <c r="P380" s="214"/>
      <c r="Q380" s="214"/>
      <c r="R380" s="214"/>
    </row>
    <row r="381" spans="1:18" s="7" customFormat="1" ht="20.100000000000001" customHeight="1" x14ac:dyDescent="0.2">
      <c r="A381" s="10"/>
      <c r="B381" s="133"/>
      <c r="F381" s="214"/>
      <c r="G381" s="214"/>
      <c r="H381" s="214"/>
      <c r="I381" s="214"/>
      <c r="J381" s="214"/>
      <c r="K381" s="214"/>
      <c r="L381" s="214"/>
      <c r="M381" s="214"/>
      <c r="N381" s="214"/>
      <c r="O381" s="214"/>
      <c r="P381" s="214"/>
      <c r="Q381" s="214"/>
      <c r="R381" s="214"/>
    </row>
    <row r="382" spans="1:18" s="7" customFormat="1" ht="20.100000000000001" customHeight="1" x14ac:dyDescent="0.2">
      <c r="A382" s="10"/>
      <c r="B382" s="133"/>
      <c r="F382" s="214"/>
      <c r="G382" s="214"/>
      <c r="H382" s="214"/>
      <c r="I382" s="214"/>
      <c r="J382" s="214"/>
      <c r="K382" s="214"/>
      <c r="L382" s="214"/>
      <c r="M382" s="214"/>
      <c r="N382" s="214"/>
      <c r="O382" s="214"/>
      <c r="P382" s="214"/>
      <c r="Q382" s="214"/>
      <c r="R382" s="214"/>
    </row>
    <row r="383" spans="1:18" s="7" customFormat="1" ht="20.100000000000001" customHeight="1" x14ac:dyDescent="0.2">
      <c r="A383" s="10"/>
      <c r="B383" s="133"/>
      <c r="F383" s="214"/>
      <c r="G383" s="214"/>
      <c r="H383" s="214"/>
      <c r="I383" s="214"/>
      <c r="J383" s="214"/>
      <c r="K383" s="214"/>
      <c r="L383" s="214"/>
      <c r="M383" s="214"/>
      <c r="N383" s="214"/>
      <c r="O383" s="214"/>
      <c r="P383" s="214"/>
      <c r="Q383" s="214"/>
      <c r="R383" s="214"/>
    </row>
    <row r="384" spans="1:18" s="7" customFormat="1" ht="20.100000000000001" customHeight="1" x14ac:dyDescent="0.2">
      <c r="A384" s="10"/>
      <c r="B384" s="133"/>
      <c r="F384" s="214"/>
      <c r="G384" s="214"/>
      <c r="H384" s="214"/>
      <c r="I384" s="214"/>
      <c r="J384" s="214"/>
      <c r="K384" s="214"/>
      <c r="L384" s="214"/>
      <c r="M384" s="214"/>
      <c r="N384" s="214"/>
      <c r="O384" s="214"/>
      <c r="P384" s="214"/>
      <c r="Q384" s="214"/>
      <c r="R384" s="214"/>
    </row>
    <row r="385" spans="1:18" s="7" customFormat="1" ht="20.100000000000001" customHeight="1" x14ac:dyDescent="0.2">
      <c r="A385" s="10"/>
      <c r="B385" s="133"/>
      <c r="F385" s="214"/>
      <c r="G385" s="214"/>
      <c r="H385" s="214"/>
      <c r="I385" s="214"/>
      <c r="J385" s="214"/>
      <c r="K385" s="214"/>
      <c r="L385" s="214"/>
      <c r="M385" s="214"/>
      <c r="N385" s="214"/>
      <c r="O385" s="214"/>
      <c r="P385" s="214"/>
      <c r="Q385" s="214"/>
      <c r="R385" s="214"/>
    </row>
    <row r="386" spans="1:18" s="7" customFormat="1" ht="20.100000000000001" customHeight="1" x14ac:dyDescent="0.2">
      <c r="A386" s="10"/>
      <c r="B386" s="133"/>
      <c r="F386" s="214"/>
      <c r="G386" s="214"/>
      <c r="H386" s="214"/>
      <c r="I386" s="214"/>
      <c r="J386" s="214"/>
      <c r="K386" s="214"/>
      <c r="L386" s="214"/>
      <c r="M386" s="214"/>
      <c r="N386" s="214"/>
      <c r="O386" s="214"/>
      <c r="P386" s="214"/>
      <c r="Q386" s="214"/>
      <c r="R386" s="214"/>
    </row>
    <row r="387" spans="1:18" s="7" customFormat="1" ht="20.100000000000001" customHeight="1" x14ac:dyDescent="0.2">
      <c r="A387" s="10"/>
      <c r="B387" s="133"/>
      <c r="F387" s="214"/>
      <c r="G387" s="214"/>
      <c r="H387" s="214"/>
      <c r="I387" s="214"/>
      <c r="J387" s="214"/>
      <c r="K387" s="214"/>
      <c r="L387" s="214"/>
      <c r="M387" s="214"/>
      <c r="N387" s="214"/>
      <c r="O387" s="214"/>
      <c r="P387" s="214"/>
      <c r="Q387" s="214"/>
      <c r="R387" s="214"/>
    </row>
    <row r="388" spans="1:18" s="7" customFormat="1" ht="20.100000000000001" customHeight="1" x14ac:dyDescent="0.2">
      <c r="A388" s="10"/>
      <c r="B388" s="133"/>
      <c r="F388" s="214"/>
      <c r="G388" s="214"/>
      <c r="H388" s="214"/>
      <c r="I388" s="214"/>
      <c r="J388" s="214"/>
      <c r="K388" s="214"/>
      <c r="L388" s="214"/>
      <c r="M388" s="214"/>
      <c r="N388" s="214"/>
      <c r="O388" s="214"/>
      <c r="P388" s="214"/>
      <c r="Q388" s="214"/>
      <c r="R388" s="214"/>
    </row>
    <row r="389" spans="1:18" s="7" customFormat="1" ht="20.100000000000001" customHeight="1" x14ac:dyDescent="0.2">
      <c r="A389" s="10"/>
      <c r="B389" s="133"/>
      <c r="F389" s="214"/>
      <c r="G389" s="214"/>
      <c r="H389" s="214"/>
      <c r="I389" s="214"/>
      <c r="J389" s="214"/>
      <c r="K389" s="214"/>
      <c r="L389" s="214"/>
      <c r="M389" s="214"/>
      <c r="N389" s="214"/>
      <c r="O389" s="214"/>
      <c r="P389" s="214"/>
      <c r="Q389" s="214"/>
      <c r="R389" s="214"/>
    </row>
    <row r="390" spans="1:18" s="7" customFormat="1" ht="20.100000000000001" customHeight="1" x14ac:dyDescent="0.2">
      <c r="A390" s="10"/>
      <c r="B390" s="133"/>
      <c r="F390" s="214"/>
      <c r="G390" s="214"/>
      <c r="H390" s="214"/>
      <c r="I390" s="214"/>
      <c r="J390" s="214"/>
      <c r="K390" s="214"/>
      <c r="L390" s="214"/>
      <c r="M390" s="214"/>
      <c r="N390" s="214"/>
      <c r="O390" s="214"/>
      <c r="P390" s="214"/>
      <c r="Q390" s="214"/>
      <c r="R390" s="214"/>
    </row>
    <row r="391" spans="1:18" s="7" customFormat="1" ht="20.100000000000001" customHeight="1" x14ac:dyDescent="0.2">
      <c r="A391" s="10"/>
      <c r="B391" s="133"/>
      <c r="F391" s="214"/>
      <c r="G391" s="214"/>
      <c r="H391" s="214"/>
      <c r="I391" s="214"/>
      <c r="J391" s="214"/>
      <c r="K391" s="214"/>
      <c r="L391" s="214"/>
      <c r="M391" s="214"/>
      <c r="N391" s="214"/>
      <c r="O391" s="214"/>
      <c r="P391" s="214"/>
      <c r="Q391" s="214"/>
      <c r="R391" s="214"/>
    </row>
    <row r="392" spans="1:18" s="7" customFormat="1" ht="20.100000000000001" customHeight="1" x14ac:dyDescent="0.2">
      <c r="A392" s="10"/>
      <c r="B392" s="133"/>
      <c r="F392" s="214"/>
      <c r="G392" s="214"/>
      <c r="H392" s="214"/>
      <c r="I392" s="214"/>
      <c r="J392" s="214"/>
      <c r="K392" s="214"/>
      <c r="L392" s="214"/>
      <c r="M392" s="214"/>
      <c r="N392" s="214"/>
      <c r="O392" s="214"/>
      <c r="P392" s="214"/>
      <c r="Q392" s="214"/>
      <c r="R392" s="214"/>
    </row>
    <row r="393" spans="1:18" s="7" customFormat="1" ht="20.100000000000001" customHeight="1" x14ac:dyDescent="0.2">
      <c r="A393" s="10"/>
      <c r="B393" s="133"/>
      <c r="F393" s="214"/>
      <c r="G393" s="214"/>
      <c r="H393" s="214"/>
      <c r="I393" s="214"/>
      <c r="J393" s="214"/>
      <c r="K393" s="214"/>
      <c r="L393" s="214"/>
      <c r="M393" s="214"/>
      <c r="N393" s="214"/>
      <c r="O393" s="214"/>
      <c r="P393" s="214"/>
      <c r="Q393" s="214"/>
      <c r="R393" s="214"/>
    </row>
    <row r="394" spans="1:18" s="7" customFormat="1" ht="20.100000000000001" customHeight="1" x14ac:dyDescent="0.2">
      <c r="A394" s="10"/>
      <c r="B394" s="133"/>
      <c r="F394" s="214"/>
      <c r="G394" s="214"/>
      <c r="H394" s="214"/>
      <c r="I394" s="214"/>
      <c r="J394" s="214"/>
      <c r="K394" s="214"/>
      <c r="L394" s="214"/>
      <c r="M394" s="214"/>
      <c r="N394" s="214"/>
      <c r="O394" s="214"/>
      <c r="P394" s="214"/>
      <c r="Q394" s="214"/>
      <c r="R394" s="214"/>
    </row>
    <row r="395" spans="1:18" s="7" customFormat="1" ht="20.100000000000001" customHeight="1" x14ac:dyDescent="0.2">
      <c r="A395" s="10"/>
      <c r="B395" s="133"/>
      <c r="F395" s="214"/>
      <c r="G395" s="214"/>
      <c r="H395" s="214"/>
      <c r="I395" s="214"/>
      <c r="J395" s="214"/>
      <c r="K395" s="214"/>
      <c r="L395" s="214"/>
      <c r="M395" s="214"/>
      <c r="N395" s="214"/>
      <c r="O395" s="214"/>
      <c r="P395" s="214"/>
      <c r="Q395" s="214"/>
      <c r="R395" s="214"/>
    </row>
    <row r="396" spans="1:18" s="7" customFormat="1" ht="20.100000000000001" customHeight="1" x14ac:dyDescent="0.2">
      <c r="A396" s="10"/>
      <c r="B396" s="133"/>
      <c r="F396" s="214"/>
      <c r="G396" s="214"/>
      <c r="H396" s="214"/>
      <c r="I396" s="214"/>
      <c r="J396" s="214"/>
      <c r="K396" s="214"/>
      <c r="L396" s="214"/>
      <c r="M396" s="214"/>
      <c r="N396" s="214"/>
      <c r="O396" s="214"/>
      <c r="P396" s="214"/>
      <c r="Q396" s="214"/>
      <c r="R396" s="214"/>
    </row>
    <row r="397" spans="1:18" s="7" customFormat="1" ht="20.100000000000001" customHeight="1" x14ac:dyDescent="0.2">
      <c r="A397" s="10"/>
      <c r="B397" s="133"/>
      <c r="F397" s="214"/>
      <c r="G397" s="214"/>
      <c r="H397" s="214"/>
      <c r="I397" s="214"/>
      <c r="J397" s="214"/>
      <c r="K397" s="214"/>
      <c r="L397" s="214"/>
      <c r="M397" s="214"/>
      <c r="N397" s="214"/>
      <c r="O397" s="214"/>
      <c r="P397" s="214"/>
      <c r="Q397" s="214"/>
      <c r="R397" s="214"/>
    </row>
    <row r="398" spans="1:18" s="7" customFormat="1" ht="20.100000000000001" customHeight="1" x14ac:dyDescent="0.2">
      <c r="A398" s="10"/>
      <c r="B398" s="133"/>
      <c r="F398" s="214"/>
      <c r="G398" s="214"/>
      <c r="H398" s="214"/>
      <c r="I398" s="214"/>
      <c r="J398" s="214"/>
      <c r="K398" s="214"/>
      <c r="L398" s="214"/>
      <c r="M398" s="214"/>
      <c r="N398" s="214"/>
      <c r="O398" s="214"/>
      <c r="P398" s="214"/>
      <c r="Q398" s="214"/>
      <c r="R398" s="214"/>
    </row>
    <row r="399" spans="1:18" s="7" customFormat="1" ht="20.100000000000001" customHeight="1" x14ac:dyDescent="0.2">
      <c r="A399" s="10"/>
      <c r="B399" s="133"/>
      <c r="F399" s="214"/>
      <c r="G399" s="214"/>
      <c r="H399" s="214"/>
      <c r="I399" s="214"/>
      <c r="J399" s="214"/>
      <c r="K399" s="214"/>
      <c r="L399" s="214"/>
      <c r="M399" s="214"/>
      <c r="N399" s="214"/>
      <c r="O399" s="214"/>
      <c r="P399" s="214"/>
      <c r="Q399" s="214"/>
      <c r="R399" s="214"/>
    </row>
    <row r="400" spans="1:18" s="7" customFormat="1" ht="20.100000000000001" customHeight="1" x14ac:dyDescent="0.2">
      <c r="A400" s="10"/>
      <c r="B400" s="133"/>
      <c r="F400" s="214"/>
      <c r="G400" s="214"/>
      <c r="H400" s="214"/>
      <c r="I400" s="214"/>
      <c r="J400" s="214"/>
      <c r="K400" s="214"/>
      <c r="L400" s="214"/>
      <c r="M400" s="214"/>
      <c r="N400" s="214"/>
      <c r="O400" s="214"/>
      <c r="P400" s="214"/>
      <c r="Q400" s="214"/>
      <c r="R400" s="214"/>
    </row>
    <row r="401" spans="1:18" s="7" customFormat="1" ht="20.100000000000001" customHeight="1" x14ac:dyDescent="0.2">
      <c r="A401" s="10"/>
      <c r="B401" s="133"/>
      <c r="F401" s="214"/>
      <c r="G401" s="214"/>
      <c r="H401" s="214"/>
      <c r="I401" s="214"/>
      <c r="J401" s="214"/>
      <c r="K401" s="214"/>
      <c r="L401" s="214"/>
      <c r="M401" s="214"/>
      <c r="N401" s="214"/>
      <c r="O401" s="214"/>
      <c r="P401" s="214"/>
      <c r="Q401" s="214"/>
      <c r="R401" s="214"/>
    </row>
    <row r="402" spans="1:18" s="7" customFormat="1" ht="20.100000000000001" customHeight="1" x14ac:dyDescent="0.2">
      <c r="A402" s="10"/>
      <c r="B402" s="133"/>
      <c r="F402" s="214"/>
      <c r="G402" s="214"/>
      <c r="H402" s="214"/>
      <c r="I402" s="214"/>
      <c r="J402" s="214"/>
      <c r="K402" s="214"/>
      <c r="L402" s="214"/>
      <c r="M402" s="214"/>
      <c r="N402" s="214"/>
      <c r="O402" s="214"/>
      <c r="P402" s="214"/>
      <c r="Q402" s="214"/>
      <c r="R402" s="214"/>
    </row>
    <row r="403" spans="1:18" s="7" customFormat="1" ht="20.100000000000001" customHeight="1" x14ac:dyDescent="0.2">
      <c r="A403" s="10"/>
      <c r="B403" s="133"/>
      <c r="F403" s="214"/>
      <c r="G403" s="214"/>
      <c r="H403" s="214"/>
      <c r="I403" s="214"/>
      <c r="J403" s="214"/>
      <c r="K403" s="214"/>
      <c r="L403" s="214"/>
      <c r="M403" s="214"/>
      <c r="N403" s="214"/>
      <c r="O403" s="214"/>
      <c r="P403" s="214"/>
      <c r="Q403" s="214"/>
      <c r="R403" s="214"/>
    </row>
    <row r="404" spans="1:18" s="7" customFormat="1" ht="20.100000000000001" customHeight="1" x14ac:dyDescent="0.2">
      <c r="A404" s="10"/>
      <c r="B404" s="133"/>
      <c r="F404" s="214"/>
      <c r="G404" s="214"/>
      <c r="H404" s="214"/>
      <c r="I404" s="214"/>
      <c r="J404" s="214"/>
      <c r="K404" s="214"/>
      <c r="L404" s="214"/>
      <c r="M404" s="214"/>
      <c r="N404" s="214"/>
      <c r="O404" s="214"/>
      <c r="P404" s="214"/>
      <c r="Q404" s="214"/>
      <c r="R404" s="214"/>
    </row>
    <row r="405" spans="1:18" s="7" customFormat="1" ht="20.100000000000001" customHeight="1" x14ac:dyDescent="0.2">
      <c r="A405" s="10"/>
      <c r="B405" s="133"/>
      <c r="F405" s="214"/>
      <c r="G405" s="214"/>
      <c r="H405" s="214"/>
      <c r="I405" s="214"/>
      <c r="J405" s="214"/>
      <c r="K405" s="214"/>
      <c r="L405" s="214"/>
      <c r="M405" s="214"/>
      <c r="N405" s="214"/>
      <c r="O405" s="214"/>
      <c r="P405" s="214"/>
      <c r="Q405" s="214"/>
      <c r="R405" s="214"/>
    </row>
    <row r="406" spans="1:18" s="7" customFormat="1" ht="20.100000000000001" customHeight="1" x14ac:dyDescent="0.2">
      <c r="A406" s="10"/>
      <c r="B406" s="133"/>
      <c r="F406" s="214"/>
      <c r="G406" s="214"/>
      <c r="H406" s="214"/>
      <c r="I406" s="214"/>
      <c r="J406" s="214"/>
      <c r="K406" s="214"/>
      <c r="L406" s="214"/>
      <c r="M406" s="214"/>
      <c r="N406" s="214"/>
      <c r="O406" s="214"/>
      <c r="P406" s="214"/>
      <c r="Q406" s="214"/>
      <c r="R406" s="214"/>
    </row>
    <row r="407" spans="1:18" s="7" customFormat="1" ht="20.100000000000001" customHeight="1" x14ac:dyDescent="0.2">
      <c r="A407" s="10"/>
      <c r="B407" s="133"/>
      <c r="F407" s="214"/>
      <c r="G407" s="214"/>
      <c r="H407" s="214"/>
      <c r="I407" s="214"/>
      <c r="J407" s="214"/>
      <c r="K407" s="214"/>
      <c r="L407" s="214"/>
      <c r="M407" s="214"/>
      <c r="N407" s="214"/>
      <c r="O407" s="214"/>
      <c r="P407" s="214"/>
      <c r="Q407" s="214"/>
      <c r="R407" s="214"/>
    </row>
    <row r="408" spans="1:18" s="7" customFormat="1" ht="20.100000000000001" customHeight="1" x14ac:dyDescent="0.2">
      <c r="A408" s="10"/>
      <c r="B408" s="133"/>
      <c r="F408" s="214"/>
      <c r="G408" s="214"/>
      <c r="H408" s="214"/>
      <c r="I408" s="214"/>
      <c r="J408" s="214"/>
      <c r="K408" s="214"/>
      <c r="L408" s="214"/>
      <c r="M408" s="214"/>
      <c r="N408" s="214"/>
      <c r="O408" s="214"/>
      <c r="P408" s="214"/>
      <c r="Q408" s="214"/>
      <c r="R408" s="214"/>
    </row>
    <row r="409" spans="1:18" s="7" customFormat="1" ht="20.100000000000001" customHeight="1" x14ac:dyDescent="0.2">
      <c r="A409" s="10"/>
      <c r="B409" s="133"/>
      <c r="F409" s="214"/>
      <c r="G409" s="214"/>
      <c r="H409" s="214"/>
      <c r="I409" s="214"/>
      <c r="J409" s="214"/>
      <c r="K409" s="214"/>
      <c r="L409" s="214"/>
      <c r="M409" s="214"/>
      <c r="N409" s="214"/>
      <c r="O409" s="214"/>
      <c r="P409" s="214"/>
      <c r="Q409" s="214"/>
      <c r="R409" s="214"/>
    </row>
    <row r="410" spans="1:18" s="7" customFormat="1" ht="20.100000000000001" customHeight="1" x14ac:dyDescent="0.2">
      <c r="A410" s="10"/>
      <c r="B410" s="133"/>
      <c r="F410" s="214"/>
      <c r="G410" s="214"/>
      <c r="H410" s="214"/>
      <c r="I410" s="214"/>
      <c r="J410" s="214"/>
      <c r="K410" s="214"/>
      <c r="L410" s="214"/>
      <c r="M410" s="214"/>
      <c r="N410" s="214"/>
      <c r="O410" s="214"/>
      <c r="P410" s="214"/>
      <c r="Q410" s="214"/>
      <c r="R410" s="214"/>
    </row>
    <row r="411" spans="1:18" s="7" customFormat="1" ht="20.100000000000001" customHeight="1" x14ac:dyDescent="0.2">
      <c r="A411" s="10"/>
      <c r="B411" s="133"/>
      <c r="F411" s="214"/>
      <c r="G411" s="214"/>
      <c r="H411" s="214"/>
      <c r="I411" s="214"/>
      <c r="J411" s="214"/>
      <c r="K411" s="214"/>
      <c r="L411" s="214"/>
      <c r="M411" s="214"/>
      <c r="N411" s="214"/>
      <c r="O411" s="214"/>
      <c r="P411" s="214"/>
      <c r="Q411" s="214"/>
      <c r="R411" s="214"/>
    </row>
    <row r="412" spans="1:18" s="7" customFormat="1" ht="20.100000000000001" customHeight="1" x14ac:dyDescent="0.2">
      <c r="A412" s="10"/>
      <c r="B412" s="133"/>
      <c r="F412" s="214"/>
      <c r="G412" s="214"/>
      <c r="H412" s="214"/>
      <c r="I412" s="214"/>
      <c r="J412" s="214"/>
      <c r="K412" s="214"/>
      <c r="L412" s="214"/>
      <c r="M412" s="214"/>
      <c r="N412" s="214"/>
      <c r="O412" s="214"/>
      <c r="P412" s="214"/>
      <c r="Q412" s="214"/>
      <c r="R412" s="214"/>
    </row>
    <row r="413" spans="1:18" s="7" customFormat="1" ht="20.100000000000001" customHeight="1" x14ac:dyDescent="0.2">
      <c r="A413" s="10"/>
      <c r="B413" s="133"/>
      <c r="F413" s="214"/>
      <c r="G413" s="214"/>
      <c r="H413" s="214"/>
      <c r="I413" s="214"/>
      <c r="J413" s="214"/>
      <c r="K413" s="214"/>
      <c r="L413" s="214"/>
      <c r="M413" s="214"/>
      <c r="N413" s="214"/>
      <c r="O413" s="214"/>
      <c r="P413" s="214"/>
      <c r="Q413" s="214"/>
      <c r="R413" s="214"/>
    </row>
    <row r="414" spans="1:18" s="7" customFormat="1" ht="20.100000000000001" customHeight="1" x14ac:dyDescent="0.2">
      <c r="A414" s="10"/>
      <c r="B414" s="133"/>
      <c r="F414" s="214"/>
      <c r="G414" s="214"/>
      <c r="H414" s="214"/>
      <c r="I414" s="214"/>
      <c r="J414" s="214"/>
      <c r="K414" s="214"/>
      <c r="L414" s="214"/>
      <c r="M414" s="214"/>
      <c r="N414" s="214"/>
      <c r="O414" s="214"/>
      <c r="P414" s="214"/>
      <c r="Q414" s="214"/>
      <c r="R414" s="214"/>
    </row>
    <row r="415" spans="1:18" s="7" customFormat="1" ht="20.100000000000001" customHeight="1" x14ac:dyDescent="0.2">
      <c r="A415" s="10"/>
      <c r="B415" s="133"/>
      <c r="F415" s="214"/>
      <c r="G415" s="214"/>
      <c r="H415" s="214"/>
      <c r="I415" s="214"/>
      <c r="J415" s="214"/>
      <c r="K415" s="214"/>
      <c r="L415" s="214"/>
      <c r="M415" s="214"/>
      <c r="N415" s="214"/>
      <c r="O415" s="214"/>
      <c r="P415" s="214"/>
      <c r="Q415" s="214"/>
      <c r="R415" s="214"/>
    </row>
    <row r="416" spans="1:18" s="7" customFormat="1" ht="20.100000000000001" customHeight="1" x14ac:dyDescent="0.2">
      <c r="A416" s="10"/>
      <c r="B416" s="133"/>
      <c r="F416" s="214"/>
      <c r="G416" s="214"/>
      <c r="H416" s="214"/>
      <c r="I416" s="214"/>
      <c r="J416" s="214"/>
      <c r="K416" s="214"/>
      <c r="L416" s="214"/>
      <c r="M416" s="214"/>
      <c r="N416" s="214"/>
      <c r="O416" s="214"/>
      <c r="P416" s="214"/>
      <c r="Q416" s="214"/>
      <c r="R416" s="214"/>
    </row>
    <row r="417" spans="1:18" s="7" customFormat="1" ht="20.100000000000001" customHeight="1" x14ac:dyDescent="0.2">
      <c r="A417" s="10"/>
      <c r="B417" s="133"/>
      <c r="F417" s="214"/>
      <c r="G417" s="214"/>
      <c r="H417" s="214"/>
      <c r="I417" s="214"/>
      <c r="J417" s="214"/>
      <c r="K417" s="214"/>
      <c r="L417" s="214"/>
      <c r="M417" s="214"/>
      <c r="N417" s="214"/>
      <c r="O417" s="214"/>
      <c r="P417" s="214"/>
      <c r="Q417" s="214"/>
      <c r="R417" s="214"/>
    </row>
    <row r="418" spans="1:18" s="7" customFormat="1" ht="20.100000000000001" customHeight="1" x14ac:dyDescent="0.2">
      <c r="A418" s="10"/>
      <c r="B418" s="133"/>
      <c r="F418" s="214"/>
      <c r="G418" s="214"/>
      <c r="H418" s="214"/>
      <c r="I418" s="214"/>
      <c r="J418" s="214"/>
      <c r="K418" s="214"/>
      <c r="L418" s="214"/>
      <c r="M418" s="214"/>
      <c r="N418" s="214"/>
      <c r="O418" s="214"/>
      <c r="P418" s="214"/>
      <c r="Q418" s="214"/>
      <c r="R418" s="214"/>
    </row>
    <row r="419" spans="1:18" s="7" customFormat="1" ht="20.100000000000001" customHeight="1" x14ac:dyDescent="0.2">
      <c r="A419" s="10"/>
      <c r="B419" s="133"/>
      <c r="F419" s="214"/>
      <c r="G419" s="214"/>
      <c r="H419" s="214"/>
      <c r="I419" s="214"/>
      <c r="J419" s="214"/>
      <c r="K419" s="214"/>
      <c r="L419" s="214"/>
      <c r="M419" s="214"/>
      <c r="N419" s="214"/>
      <c r="O419" s="214"/>
      <c r="P419" s="214"/>
      <c r="Q419" s="214"/>
      <c r="R419" s="214"/>
    </row>
    <row r="420" spans="1:18" s="7" customFormat="1" ht="20.100000000000001" customHeight="1" x14ac:dyDescent="0.2">
      <c r="A420" s="10"/>
      <c r="B420" s="133"/>
      <c r="F420" s="214"/>
      <c r="G420" s="214"/>
      <c r="H420" s="214"/>
      <c r="I420" s="214"/>
      <c r="J420" s="214"/>
      <c r="K420" s="214"/>
      <c r="L420" s="214"/>
      <c r="M420" s="214"/>
      <c r="N420" s="214"/>
      <c r="O420" s="214"/>
      <c r="P420" s="214"/>
      <c r="Q420" s="214"/>
      <c r="R420" s="214"/>
    </row>
    <row r="421" spans="1:18" s="7" customFormat="1" ht="20.100000000000001" customHeight="1" x14ac:dyDescent="0.2">
      <c r="A421" s="10"/>
      <c r="B421" s="133"/>
      <c r="F421" s="214"/>
      <c r="G421" s="214"/>
      <c r="H421" s="214"/>
      <c r="I421" s="214"/>
      <c r="J421" s="214"/>
      <c r="K421" s="214"/>
      <c r="L421" s="214"/>
      <c r="M421" s="214"/>
      <c r="N421" s="214"/>
      <c r="O421" s="214"/>
      <c r="P421" s="214"/>
      <c r="Q421" s="214"/>
      <c r="R421" s="214"/>
    </row>
    <row r="422" spans="1:18" s="7" customFormat="1" ht="20.100000000000001" customHeight="1" x14ac:dyDescent="0.2">
      <c r="A422" s="10"/>
      <c r="B422" s="133"/>
      <c r="F422" s="214"/>
      <c r="G422" s="214"/>
      <c r="H422" s="214"/>
      <c r="I422" s="214"/>
      <c r="J422" s="214"/>
      <c r="K422" s="214"/>
      <c r="L422" s="214"/>
      <c r="M422" s="214"/>
      <c r="N422" s="214"/>
      <c r="O422" s="214"/>
      <c r="P422" s="214"/>
      <c r="Q422" s="214"/>
      <c r="R422" s="214"/>
    </row>
    <row r="423" spans="1:18" s="7" customFormat="1" ht="20.100000000000001" customHeight="1" x14ac:dyDescent="0.2">
      <c r="A423" s="10"/>
      <c r="B423" s="133"/>
      <c r="F423" s="214"/>
      <c r="G423" s="214"/>
      <c r="H423" s="214"/>
      <c r="I423" s="214"/>
      <c r="J423" s="214"/>
      <c r="K423" s="214"/>
      <c r="L423" s="214"/>
      <c r="M423" s="214"/>
      <c r="N423" s="214"/>
      <c r="O423" s="214"/>
      <c r="P423" s="214"/>
      <c r="Q423" s="214"/>
      <c r="R423" s="214"/>
    </row>
    <row r="424" spans="1:18" s="7" customFormat="1" ht="20.100000000000001" customHeight="1" x14ac:dyDescent="0.2">
      <c r="A424" s="10"/>
      <c r="B424" s="133"/>
      <c r="F424" s="214"/>
      <c r="G424" s="214"/>
      <c r="H424" s="214"/>
      <c r="I424" s="214"/>
      <c r="J424" s="214"/>
      <c r="K424" s="214"/>
      <c r="L424" s="214"/>
      <c r="M424" s="214"/>
      <c r="N424" s="214"/>
      <c r="O424" s="214"/>
      <c r="P424" s="214"/>
      <c r="Q424" s="214"/>
      <c r="R424" s="214"/>
    </row>
    <row r="425" spans="1:18" s="7" customFormat="1" ht="20.100000000000001" customHeight="1" x14ac:dyDescent="0.2">
      <c r="A425" s="10"/>
      <c r="B425" s="133"/>
      <c r="F425" s="214"/>
      <c r="G425" s="214"/>
      <c r="H425" s="214"/>
      <c r="I425" s="214"/>
      <c r="J425" s="214"/>
      <c r="K425" s="214"/>
      <c r="L425" s="214"/>
      <c r="M425" s="214"/>
      <c r="N425" s="214"/>
      <c r="O425" s="214"/>
      <c r="P425" s="214"/>
      <c r="Q425" s="214"/>
      <c r="R425" s="214"/>
    </row>
    <row r="426" spans="1:18" s="7" customFormat="1" ht="20.100000000000001" customHeight="1" x14ac:dyDescent="0.2">
      <c r="A426" s="10"/>
      <c r="B426" s="133"/>
      <c r="F426" s="214"/>
      <c r="G426" s="214"/>
      <c r="H426" s="214"/>
      <c r="I426" s="214"/>
      <c r="J426" s="214"/>
      <c r="K426" s="214"/>
      <c r="L426" s="214"/>
      <c r="M426" s="214"/>
      <c r="N426" s="214"/>
      <c r="O426" s="214"/>
      <c r="P426" s="214"/>
      <c r="Q426" s="214"/>
      <c r="R426" s="214"/>
    </row>
    <row r="427" spans="1:18" s="7" customFormat="1" ht="20.100000000000001" customHeight="1" x14ac:dyDescent="0.2">
      <c r="A427" s="10"/>
      <c r="B427" s="133"/>
      <c r="F427" s="214"/>
      <c r="G427" s="214"/>
      <c r="H427" s="214"/>
      <c r="I427" s="214"/>
      <c r="J427" s="214"/>
      <c r="K427" s="214"/>
      <c r="L427" s="214"/>
      <c r="M427" s="214"/>
      <c r="N427" s="214"/>
      <c r="O427" s="214"/>
      <c r="P427" s="214"/>
      <c r="Q427" s="214"/>
      <c r="R427" s="214"/>
    </row>
    <row r="428" spans="1:18" s="7" customFormat="1" ht="20.100000000000001" customHeight="1" x14ac:dyDescent="0.2">
      <c r="A428" s="10"/>
      <c r="B428" s="133"/>
      <c r="F428" s="214"/>
      <c r="G428" s="214"/>
      <c r="H428" s="214"/>
      <c r="I428" s="214"/>
      <c r="J428" s="214"/>
      <c r="K428" s="214"/>
      <c r="L428" s="214"/>
      <c r="M428" s="214"/>
      <c r="N428" s="214"/>
      <c r="O428" s="214"/>
      <c r="P428" s="214"/>
      <c r="Q428" s="214"/>
      <c r="R428" s="214"/>
    </row>
    <row r="429" spans="1:18" s="7" customFormat="1" ht="20.100000000000001" customHeight="1" x14ac:dyDescent="0.2">
      <c r="A429" s="10"/>
      <c r="B429" s="133"/>
      <c r="F429" s="214"/>
      <c r="G429" s="214"/>
      <c r="H429" s="214"/>
      <c r="I429" s="214"/>
      <c r="J429" s="214"/>
      <c r="K429" s="214"/>
      <c r="L429" s="214"/>
      <c r="M429" s="214"/>
      <c r="N429" s="214"/>
      <c r="O429" s="214"/>
      <c r="P429" s="214"/>
      <c r="Q429" s="214"/>
      <c r="R429" s="214"/>
    </row>
    <row r="430" spans="1:18" s="7" customFormat="1" ht="20.100000000000001" customHeight="1" x14ac:dyDescent="0.2">
      <c r="A430" s="10"/>
      <c r="B430" s="133"/>
      <c r="F430" s="214"/>
      <c r="G430" s="214"/>
      <c r="H430" s="214"/>
      <c r="I430" s="214"/>
      <c r="J430" s="214"/>
      <c r="K430" s="214"/>
      <c r="L430" s="214"/>
      <c r="M430" s="214"/>
      <c r="N430" s="214"/>
      <c r="O430" s="214"/>
      <c r="P430" s="214"/>
      <c r="Q430" s="214"/>
      <c r="R430" s="214"/>
    </row>
    <row r="431" spans="1:18" s="7" customFormat="1" ht="20.100000000000001" customHeight="1" x14ac:dyDescent="0.2">
      <c r="A431" s="10"/>
      <c r="B431" s="133"/>
      <c r="F431" s="214"/>
      <c r="G431" s="214"/>
      <c r="H431" s="214"/>
      <c r="I431" s="214"/>
      <c r="J431" s="214"/>
      <c r="K431" s="214"/>
      <c r="L431" s="214"/>
      <c r="M431" s="214"/>
      <c r="N431" s="214"/>
      <c r="O431" s="214"/>
      <c r="P431" s="214"/>
      <c r="Q431" s="214"/>
      <c r="R431" s="214"/>
    </row>
    <row r="432" spans="1:18" s="7" customFormat="1" ht="20.100000000000001" customHeight="1" x14ac:dyDescent="0.2">
      <c r="A432" s="10"/>
      <c r="B432" s="133"/>
      <c r="F432" s="214"/>
      <c r="G432" s="214"/>
      <c r="H432" s="214"/>
      <c r="I432" s="214"/>
      <c r="J432" s="214"/>
      <c r="K432" s="214"/>
      <c r="L432" s="214"/>
      <c r="M432" s="214"/>
      <c r="N432" s="214"/>
      <c r="O432" s="214"/>
      <c r="P432" s="214"/>
      <c r="Q432" s="214"/>
      <c r="R432" s="214"/>
    </row>
    <row r="433" spans="1:18" s="7" customFormat="1" ht="20.100000000000001" customHeight="1" x14ac:dyDescent="0.2">
      <c r="A433" s="10"/>
      <c r="B433" s="133"/>
      <c r="F433" s="214"/>
      <c r="G433" s="214"/>
      <c r="H433" s="214"/>
      <c r="I433" s="214"/>
      <c r="J433" s="214"/>
      <c r="K433" s="214"/>
      <c r="L433" s="214"/>
      <c r="M433" s="214"/>
      <c r="N433" s="214"/>
      <c r="O433" s="214"/>
      <c r="P433" s="214"/>
      <c r="Q433" s="214"/>
      <c r="R433" s="214"/>
    </row>
    <row r="434" spans="1:18" s="7" customFormat="1" ht="20.100000000000001" customHeight="1" x14ac:dyDescent="0.2">
      <c r="A434" s="10"/>
      <c r="B434" s="133"/>
      <c r="F434" s="214"/>
      <c r="G434" s="214"/>
      <c r="H434" s="214"/>
      <c r="I434" s="214"/>
      <c r="J434" s="214"/>
      <c r="K434" s="214"/>
      <c r="L434" s="214"/>
      <c r="M434" s="214"/>
      <c r="N434" s="214"/>
      <c r="O434" s="214"/>
      <c r="P434" s="214"/>
      <c r="Q434" s="214"/>
      <c r="R434" s="214"/>
    </row>
    <row r="435" spans="1:18" s="7" customFormat="1" ht="20.100000000000001" customHeight="1" x14ac:dyDescent="0.2">
      <c r="A435" s="10"/>
      <c r="B435" s="133"/>
      <c r="F435" s="214"/>
      <c r="G435" s="214"/>
      <c r="H435" s="214"/>
      <c r="I435" s="214"/>
      <c r="J435" s="214"/>
      <c r="K435" s="214"/>
      <c r="L435" s="214"/>
      <c r="M435" s="214"/>
      <c r="N435" s="214"/>
      <c r="O435" s="214"/>
      <c r="P435" s="214"/>
      <c r="Q435" s="214"/>
      <c r="R435" s="214"/>
    </row>
    <row r="436" spans="1:18" s="7" customFormat="1" ht="20.100000000000001" customHeight="1" x14ac:dyDescent="0.2">
      <c r="A436" s="10"/>
      <c r="B436" s="133"/>
      <c r="F436" s="214"/>
      <c r="G436" s="214"/>
      <c r="H436" s="214"/>
      <c r="I436" s="214"/>
      <c r="J436" s="214"/>
      <c r="K436" s="214"/>
      <c r="L436" s="214"/>
      <c r="M436" s="214"/>
      <c r="N436" s="214"/>
      <c r="O436" s="214"/>
      <c r="P436" s="214"/>
      <c r="Q436" s="214"/>
      <c r="R436" s="214"/>
    </row>
    <row r="437" spans="1:18" s="7" customFormat="1" ht="20.100000000000001" customHeight="1" x14ac:dyDescent="0.2">
      <c r="A437" s="10"/>
      <c r="B437" s="133"/>
      <c r="F437" s="214"/>
      <c r="G437" s="214"/>
      <c r="H437" s="214"/>
      <c r="I437" s="214"/>
      <c r="J437" s="214"/>
      <c r="K437" s="214"/>
      <c r="L437" s="214"/>
      <c r="M437" s="214"/>
      <c r="N437" s="214"/>
      <c r="O437" s="214"/>
      <c r="P437" s="214"/>
      <c r="Q437" s="214"/>
      <c r="R437" s="214"/>
    </row>
    <row r="438" spans="1:18" s="7" customFormat="1" ht="20.100000000000001" customHeight="1" x14ac:dyDescent="0.2">
      <c r="A438" s="10"/>
      <c r="B438" s="133"/>
      <c r="F438" s="214"/>
      <c r="G438" s="214"/>
      <c r="H438" s="214"/>
      <c r="I438" s="214"/>
      <c r="J438" s="214"/>
      <c r="K438" s="214"/>
      <c r="L438" s="214"/>
      <c r="M438" s="214"/>
      <c r="N438" s="214"/>
      <c r="O438" s="214"/>
      <c r="P438" s="214"/>
      <c r="Q438" s="214"/>
      <c r="R438" s="214"/>
    </row>
    <row r="439" spans="1:18" s="7" customFormat="1" ht="20.100000000000001" customHeight="1" x14ac:dyDescent="0.2">
      <c r="A439" s="10"/>
      <c r="B439" s="133"/>
      <c r="F439" s="214"/>
      <c r="G439" s="214"/>
      <c r="H439" s="214"/>
      <c r="I439" s="214"/>
      <c r="J439" s="214"/>
      <c r="K439" s="214"/>
      <c r="L439" s="214"/>
      <c r="M439" s="214"/>
      <c r="N439" s="214"/>
      <c r="O439" s="214"/>
      <c r="P439" s="214"/>
      <c r="Q439" s="214"/>
      <c r="R439" s="214"/>
    </row>
    <row r="440" spans="1:18" s="7" customFormat="1" ht="20.100000000000001" customHeight="1" x14ac:dyDescent="0.2">
      <c r="A440" s="10"/>
      <c r="B440" s="133"/>
      <c r="F440" s="214"/>
      <c r="G440" s="214"/>
      <c r="H440" s="214"/>
      <c r="I440" s="214"/>
      <c r="J440" s="214"/>
      <c r="K440" s="214"/>
      <c r="L440" s="214"/>
      <c r="M440" s="214"/>
      <c r="N440" s="214"/>
      <c r="O440" s="214"/>
      <c r="P440" s="214"/>
      <c r="Q440" s="214"/>
      <c r="R440" s="214"/>
    </row>
    <row r="441" spans="1:18" s="7" customFormat="1" ht="20.100000000000001" customHeight="1" x14ac:dyDescent="0.2">
      <c r="A441" s="10"/>
      <c r="B441" s="133"/>
      <c r="F441" s="214"/>
      <c r="G441" s="214"/>
      <c r="H441" s="214"/>
      <c r="I441" s="214"/>
      <c r="J441" s="214"/>
      <c r="K441" s="214"/>
      <c r="L441" s="214"/>
      <c r="M441" s="214"/>
      <c r="N441" s="214"/>
      <c r="O441" s="214"/>
      <c r="P441" s="214"/>
      <c r="Q441" s="214"/>
      <c r="R441" s="214"/>
    </row>
    <row r="442" spans="1:18" s="7" customFormat="1" ht="20.100000000000001" customHeight="1" x14ac:dyDescent="0.2">
      <c r="A442" s="10"/>
      <c r="B442" s="133"/>
      <c r="F442" s="214"/>
      <c r="G442" s="214"/>
      <c r="H442" s="214"/>
      <c r="I442" s="214"/>
      <c r="J442" s="214"/>
      <c r="K442" s="214"/>
      <c r="L442" s="214"/>
      <c r="M442" s="214"/>
      <c r="N442" s="214"/>
      <c r="O442" s="214"/>
      <c r="P442" s="214"/>
      <c r="Q442" s="214"/>
      <c r="R442" s="214"/>
    </row>
    <row r="443" spans="1:18" s="7" customFormat="1" ht="20.100000000000001" customHeight="1" x14ac:dyDescent="0.2">
      <c r="A443" s="10"/>
      <c r="B443" s="133"/>
      <c r="F443" s="214"/>
      <c r="G443" s="214"/>
      <c r="H443" s="214"/>
      <c r="I443" s="214"/>
      <c r="J443" s="214"/>
      <c r="K443" s="214"/>
      <c r="L443" s="214"/>
      <c r="M443" s="214"/>
      <c r="N443" s="214"/>
      <c r="O443" s="214"/>
      <c r="P443" s="214"/>
      <c r="Q443" s="214"/>
      <c r="R443" s="214"/>
    </row>
    <row r="444" spans="1:18" s="7" customFormat="1" ht="20.100000000000001" customHeight="1" x14ac:dyDescent="0.2">
      <c r="A444" s="10"/>
      <c r="B444" s="133"/>
      <c r="F444" s="214"/>
      <c r="G444" s="214"/>
      <c r="H444" s="214"/>
      <c r="I444" s="214"/>
      <c r="J444" s="214"/>
      <c r="K444" s="214"/>
      <c r="L444" s="214"/>
      <c r="M444" s="214"/>
      <c r="N444" s="214"/>
      <c r="O444" s="214"/>
      <c r="P444" s="214"/>
      <c r="Q444" s="214"/>
      <c r="R444" s="214"/>
    </row>
    <row r="445" spans="1:18" s="7" customFormat="1" ht="20.100000000000001" customHeight="1" x14ac:dyDescent="0.2">
      <c r="A445" s="10"/>
      <c r="B445" s="133"/>
      <c r="F445" s="214"/>
      <c r="G445" s="214"/>
      <c r="H445" s="214"/>
      <c r="I445" s="214"/>
      <c r="J445" s="214"/>
      <c r="K445" s="214"/>
      <c r="L445" s="214"/>
      <c r="M445" s="214"/>
      <c r="N445" s="214"/>
      <c r="O445" s="214"/>
      <c r="P445" s="214"/>
      <c r="Q445" s="214"/>
      <c r="R445" s="214"/>
    </row>
    <row r="446" spans="1:18" s="7" customFormat="1" ht="20.100000000000001" customHeight="1" x14ac:dyDescent="0.2">
      <c r="A446" s="10"/>
      <c r="B446" s="133"/>
      <c r="F446" s="214"/>
      <c r="G446" s="214"/>
      <c r="H446" s="214"/>
      <c r="I446" s="214"/>
      <c r="J446" s="214"/>
      <c r="K446" s="214"/>
      <c r="L446" s="214"/>
      <c r="M446" s="214"/>
      <c r="N446" s="214"/>
      <c r="O446" s="214"/>
      <c r="P446" s="214"/>
      <c r="Q446" s="214"/>
      <c r="R446" s="214"/>
    </row>
    <row r="447" spans="1:18" s="7" customFormat="1" ht="20.100000000000001" customHeight="1" x14ac:dyDescent="0.2">
      <c r="A447" s="10"/>
      <c r="B447" s="133"/>
      <c r="F447" s="214"/>
      <c r="G447" s="214"/>
      <c r="H447" s="214"/>
      <c r="I447" s="214"/>
      <c r="J447" s="214"/>
      <c r="K447" s="214"/>
      <c r="L447" s="214"/>
      <c r="M447" s="214"/>
      <c r="N447" s="214"/>
      <c r="O447" s="214"/>
      <c r="P447" s="214"/>
      <c r="Q447" s="214"/>
      <c r="R447" s="214"/>
    </row>
    <row r="448" spans="1:18" s="7" customFormat="1" ht="20.100000000000001" customHeight="1" x14ac:dyDescent="0.2">
      <c r="A448" s="10"/>
      <c r="B448" s="133"/>
      <c r="F448" s="214"/>
      <c r="G448" s="214"/>
      <c r="H448" s="214"/>
      <c r="I448" s="214"/>
      <c r="J448" s="214"/>
      <c r="K448" s="214"/>
      <c r="L448" s="214"/>
      <c r="M448" s="214"/>
      <c r="N448" s="214"/>
      <c r="O448" s="214"/>
      <c r="P448" s="214"/>
      <c r="Q448" s="214"/>
      <c r="R448" s="214"/>
    </row>
    <row r="449" spans="1:18" s="7" customFormat="1" ht="20.100000000000001" customHeight="1" x14ac:dyDescent="0.2">
      <c r="A449" s="10"/>
      <c r="B449" s="133"/>
      <c r="F449" s="214"/>
      <c r="G449" s="214"/>
      <c r="H449" s="214"/>
      <c r="I449" s="214"/>
      <c r="J449" s="214"/>
      <c r="K449" s="214"/>
      <c r="L449" s="214"/>
      <c r="M449" s="214"/>
      <c r="N449" s="214"/>
      <c r="O449" s="214"/>
      <c r="P449" s="214"/>
      <c r="Q449" s="214"/>
      <c r="R449" s="214"/>
    </row>
    <row r="450" spans="1:18" s="7" customFormat="1" ht="20.100000000000001" customHeight="1" x14ac:dyDescent="0.2">
      <c r="A450" s="10"/>
      <c r="B450" s="133"/>
      <c r="F450" s="214"/>
      <c r="G450" s="214"/>
      <c r="H450" s="214"/>
      <c r="I450" s="214"/>
      <c r="J450" s="214"/>
      <c r="K450" s="214"/>
      <c r="L450" s="214"/>
      <c r="M450" s="214"/>
      <c r="N450" s="214"/>
      <c r="O450" s="214"/>
      <c r="P450" s="214"/>
      <c r="Q450" s="214"/>
      <c r="R450" s="214"/>
    </row>
    <row r="451" spans="1:18" s="7" customFormat="1" ht="20.100000000000001" customHeight="1" x14ac:dyDescent="0.2">
      <c r="A451" s="10"/>
      <c r="B451" s="133"/>
      <c r="F451" s="214"/>
      <c r="G451" s="214"/>
      <c r="H451" s="214"/>
      <c r="I451" s="214"/>
      <c r="J451" s="214"/>
      <c r="K451" s="214"/>
      <c r="L451" s="214"/>
      <c r="M451" s="214"/>
      <c r="N451" s="214"/>
      <c r="O451" s="214"/>
      <c r="P451" s="214"/>
      <c r="Q451" s="214"/>
      <c r="R451" s="214"/>
    </row>
    <row r="452" spans="1:18" s="7" customFormat="1" ht="20.100000000000001" customHeight="1" x14ac:dyDescent="0.2">
      <c r="A452" s="10"/>
      <c r="B452" s="133"/>
      <c r="F452" s="214"/>
      <c r="G452" s="214"/>
      <c r="H452" s="214"/>
      <c r="I452" s="214"/>
      <c r="J452" s="214"/>
      <c r="K452" s="214"/>
      <c r="L452" s="214"/>
      <c r="M452" s="214"/>
      <c r="N452" s="214"/>
      <c r="O452" s="214"/>
      <c r="P452" s="214"/>
      <c r="Q452" s="214"/>
      <c r="R452" s="214"/>
    </row>
    <row r="453" spans="1:18" s="7" customFormat="1" ht="20.100000000000001" customHeight="1" x14ac:dyDescent="0.2">
      <c r="A453" s="10"/>
      <c r="B453" s="133"/>
      <c r="F453" s="214"/>
      <c r="G453" s="214"/>
      <c r="H453" s="214"/>
      <c r="I453" s="214"/>
      <c r="J453" s="214"/>
      <c r="K453" s="214"/>
      <c r="L453" s="214"/>
      <c r="M453" s="214"/>
      <c r="N453" s="214"/>
      <c r="O453" s="214"/>
      <c r="P453" s="214"/>
      <c r="Q453" s="214"/>
      <c r="R453" s="214"/>
    </row>
    <row r="454" spans="1:18" s="7" customFormat="1" ht="20.100000000000001" customHeight="1" x14ac:dyDescent="0.2">
      <c r="A454" s="10"/>
      <c r="B454" s="133"/>
      <c r="F454" s="214"/>
      <c r="G454" s="214"/>
      <c r="H454" s="214"/>
      <c r="I454" s="214"/>
      <c r="J454" s="214"/>
      <c r="K454" s="214"/>
      <c r="L454" s="214"/>
      <c r="M454" s="214"/>
      <c r="N454" s="214"/>
      <c r="O454" s="214"/>
      <c r="P454" s="214"/>
      <c r="Q454" s="214"/>
      <c r="R454" s="214"/>
    </row>
    <row r="455" spans="1:18" s="7" customFormat="1" ht="20.100000000000001" customHeight="1" x14ac:dyDescent="0.2">
      <c r="A455" s="10"/>
      <c r="B455" s="133"/>
      <c r="F455" s="214"/>
      <c r="G455" s="214"/>
      <c r="H455" s="214"/>
      <c r="I455" s="214"/>
      <c r="J455" s="214"/>
      <c r="K455" s="214"/>
      <c r="L455" s="214"/>
      <c r="M455" s="214"/>
      <c r="N455" s="214"/>
      <c r="O455" s="214"/>
      <c r="P455" s="214"/>
      <c r="Q455" s="214"/>
      <c r="R455" s="214"/>
    </row>
  </sheetData>
  <sheetProtection algorithmName="SHA-512" hashValue="ItfwgQKhwRQlQC54DEBspTjvUfahHLZvA8wd5h1ab4fjXU0OfRscqb1Sn+Ch2olbK7dkm2Z+DuYlDjFoYF9N0w==" saltValue="+AltootgKWtxJt9mnn19UQ==" spinCount="100000" sheet="1" objects="1" scenarios="1"/>
  <mergeCells count="78">
    <mergeCell ref="A104:B104"/>
    <mergeCell ref="A105:B105"/>
    <mergeCell ref="A106:B106"/>
    <mergeCell ref="A108:B108"/>
    <mergeCell ref="A98:B98"/>
    <mergeCell ref="A99:B99"/>
    <mergeCell ref="A100:B100"/>
    <mergeCell ref="A101:B101"/>
    <mergeCell ref="A107:B107"/>
    <mergeCell ref="A124:B124"/>
    <mergeCell ref="A109:B109"/>
    <mergeCell ref="A110:B110"/>
    <mergeCell ref="A112:B112"/>
    <mergeCell ref="A113:B113"/>
    <mergeCell ref="A111:B111"/>
    <mergeCell ref="A91:B91"/>
    <mergeCell ref="A103:B103"/>
    <mergeCell ref="A92:B92"/>
    <mergeCell ref="A93:B93"/>
    <mergeCell ref="A94:B94"/>
    <mergeCell ref="A102:B102"/>
    <mergeCell ref="A97:B97"/>
    <mergeCell ref="A96:B96"/>
    <mergeCell ref="A95:B95"/>
    <mergeCell ref="A81:B81"/>
    <mergeCell ref="A87:B87"/>
    <mergeCell ref="A88:B88"/>
    <mergeCell ref="A89:B89"/>
    <mergeCell ref="A90:B90"/>
    <mergeCell ref="A82:B82"/>
    <mergeCell ref="A83:B83"/>
    <mergeCell ref="A84:B84"/>
    <mergeCell ref="A85:B85"/>
    <mergeCell ref="A86:B86"/>
    <mergeCell ref="A76:B76"/>
    <mergeCell ref="A77:B77"/>
    <mergeCell ref="A78:B78"/>
    <mergeCell ref="A79:B79"/>
    <mergeCell ref="A80:B80"/>
    <mergeCell ref="A125:B125"/>
    <mergeCell ref="A126:A127"/>
    <mergeCell ref="A20:B20"/>
    <mergeCell ref="A21:B21"/>
    <mergeCell ref="A33:B33"/>
    <mergeCell ref="A34:B34"/>
    <mergeCell ref="A43:B43"/>
    <mergeCell ref="A58:B58"/>
    <mergeCell ref="A60:B60"/>
    <mergeCell ref="A63:B63"/>
    <mergeCell ref="A66:B66"/>
    <mergeCell ref="A67:B67"/>
    <mergeCell ref="A68:B68"/>
    <mergeCell ref="A73:B73"/>
    <mergeCell ref="A74:B74"/>
    <mergeCell ref="A75:B75"/>
    <mergeCell ref="C1:E1"/>
    <mergeCell ref="A2:B2"/>
    <mergeCell ref="A1:B1"/>
    <mergeCell ref="E6:E7"/>
    <mergeCell ref="C2:E2"/>
    <mergeCell ref="C3:D4"/>
    <mergeCell ref="E3:E4"/>
    <mergeCell ref="A69:B69"/>
    <mergeCell ref="A70:B70"/>
    <mergeCell ref="A72:B72"/>
    <mergeCell ref="A61:B61"/>
    <mergeCell ref="A64:B64"/>
    <mergeCell ref="A65:B65"/>
    <mergeCell ref="A71:B71"/>
    <mergeCell ref="A62:B62"/>
    <mergeCell ref="A45:B45"/>
    <mergeCell ref="A51:B51"/>
    <mergeCell ref="A59:E59"/>
    <mergeCell ref="A8:B8"/>
    <mergeCell ref="A9:B9"/>
    <mergeCell ref="A22:B22"/>
    <mergeCell ref="A35:B35"/>
    <mergeCell ref="A39:B39"/>
  </mergeCells>
  <phoneticPr fontId="6" type="noConversion"/>
  <pageMargins left="0.25" right="0.25" top="1" bottom="0.75" header="0.3" footer="0.3"/>
  <pageSetup scale="91" fitToHeight="0" orientation="landscape" r:id="rId1"/>
  <headerFooter>
    <oddHeader xml:space="preserve">&amp;C&amp;"Arial Nova,Bold"&amp;16 2019-2020 Charter School Estimate of State Aid
House Bill 3
&amp;12
</oddHeader>
    <oddFooter>&amp;L&amp;"Arial Nova,Regular"&amp;11&amp;D
&amp;T&amp;R&amp;"Arial Nova,Regular"&amp;11&amp;P of &amp;N</oddFooter>
  </headerFooter>
  <rowBreaks count="1" manualBreakCount="1">
    <brk id="43" max="11"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79998168889431442"/>
    <pageSetUpPr fitToPage="1"/>
  </sheetPr>
  <dimension ref="A1:HG427"/>
  <sheetViews>
    <sheetView zoomScale="120" zoomScaleNormal="120" workbookViewId="0">
      <pane ySplit="7" topLeftCell="A8" activePane="bottomLeft" state="frozen"/>
      <selection pane="bottomLeft" sqref="A1:B1"/>
    </sheetView>
  </sheetViews>
  <sheetFormatPr defaultColWidth="9" defaultRowHeight="20.100000000000001" customHeight="1" x14ac:dyDescent="0.2"/>
  <cols>
    <col min="1" max="1" width="65.7109375" style="1" customWidth="1"/>
    <col min="2" max="2" width="11.7109375" style="134" customWidth="1"/>
    <col min="3" max="4" width="21.7109375" style="2" customWidth="1"/>
    <col min="5" max="5" width="27.7109375" style="2" customWidth="1"/>
    <col min="6" max="120" width="9" style="7"/>
    <col min="121" max="16384" width="9" style="2"/>
  </cols>
  <sheetData>
    <row r="1" spans="1:215" s="199" customFormat="1" ht="19.5" customHeight="1" x14ac:dyDescent="0.2">
      <c r="A1" s="620" t="str">
        <f>VLOOKUP(A2,'Charter Data'!1:1048576,2,FALSE)</f>
        <v>New Charter School</v>
      </c>
      <c r="B1" s="620"/>
      <c r="C1" s="627" t="s">
        <v>460</v>
      </c>
      <c r="D1" s="627"/>
      <c r="E1" s="62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row>
    <row r="2" spans="1:215" s="199" customFormat="1" ht="20.100000000000001" customHeight="1" thickBot="1" x14ac:dyDescent="0.25">
      <c r="A2" s="628">
        <f>'ESTIMATE DATA ENTRY '!C1</f>
        <v>0</v>
      </c>
      <c r="B2" s="628"/>
      <c r="C2" s="629" t="s">
        <v>719</v>
      </c>
      <c r="D2" s="630"/>
      <c r="E2" s="631"/>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row>
    <row r="3" spans="1:215" s="199" customFormat="1" ht="20.100000000000001" customHeight="1" x14ac:dyDescent="0.2">
      <c r="A3" s="256"/>
      <c r="B3" s="243"/>
      <c r="C3" s="638" t="s">
        <v>884</v>
      </c>
      <c r="D3" s="639"/>
      <c r="E3" s="640"/>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row>
    <row r="4" spans="1:215" s="199" customFormat="1" ht="15" thickBot="1" x14ac:dyDescent="0.25">
      <c r="A4" s="261"/>
      <c r="B4" s="243"/>
      <c r="C4" s="641"/>
      <c r="D4" s="642"/>
      <c r="E4" s="643"/>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row>
    <row r="5" spans="1:215" s="199" customFormat="1" ht="33" customHeight="1" x14ac:dyDescent="0.2">
      <c r="A5" s="244"/>
      <c r="B5" s="245"/>
      <c r="C5" s="246" t="s">
        <v>685</v>
      </c>
      <c r="D5" s="247" t="s">
        <v>826</v>
      </c>
      <c r="E5" s="264" t="s">
        <v>874</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row>
    <row r="6" spans="1:215" s="199" customFormat="1" ht="15" customHeight="1" x14ac:dyDescent="0.2">
      <c r="A6" s="262"/>
      <c r="B6" s="248"/>
      <c r="C6" s="249">
        <v>43633</v>
      </c>
      <c r="D6" s="250"/>
      <c r="E6" s="636">
        <f>'HB3 STATE AID'!E6:E7</f>
        <v>43748</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row>
    <row r="7" spans="1:215" s="199" customFormat="1" ht="57" customHeight="1" x14ac:dyDescent="0.2">
      <c r="A7" s="263" t="s">
        <v>786</v>
      </c>
      <c r="B7" s="251" t="s">
        <v>472</v>
      </c>
      <c r="C7" s="252" t="s">
        <v>831</v>
      </c>
      <c r="D7" s="253" t="s">
        <v>832</v>
      </c>
      <c r="E7" s="63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row>
    <row r="8" spans="1:215" ht="18" customHeight="1" x14ac:dyDescent="0.2">
      <c r="A8" s="632" t="s">
        <v>720</v>
      </c>
      <c r="B8" s="517"/>
      <c r="C8" s="116">
        <f>VLOOKUP('ESTIMATE DATA ENTRY '!$C$1,'INITIAL SOF'!B:HD,6,FALSE)</f>
        <v>0</v>
      </c>
      <c r="D8" s="117">
        <f>'ESTIMATE DATA ENTRY '!$C$4*'ESTIMATE DATA ENTRY '!$C$3</f>
        <v>0</v>
      </c>
      <c r="E8" s="116">
        <f>'HB3 STATE AID'!E8</f>
        <v>0</v>
      </c>
    </row>
    <row r="9" spans="1:215" ht="18" customHeight="1" x14ac:dyDescent="0.2">
      <c r="A9" s="131" t="s">
        <v>787</v>
      </c>
      <c r="B9" s="127">
        <v>275</v>
      </c>
      <c r="C9" s="116">
        <f>VLOOKUP('ESTIMATE DATA ENTRY '!$C$1,'INITIAL SOF'!B:HD,59,FALSE)</f>
        <v>0</v>
      </c>
      <c r="D9" s="166">
        <f>'ESTIMATE DATA ENTRY '!$C$5*'ESTIMATE DATA ENTRY '!$C$3</f>
        <v>0</v>
      </c>
      <c r="E9" s="294">
        <f>IF($A$2=0,0,VLOOKUP($A$2,'INITIAL SOF'!$B:$HD,59,FALSE))</f>
        <v>0</v>
      </c>
    </row>
    <row r="10" spans="1:215" ht="18" customHeight="1" x14ac:dyDescent="0.2">
      <c r="A10" s="632" t="s">
        <v>721</v>
      </c>
      <c r="B10" s="517"/>
      <c r="C10" s="116">
        <f>'HB3 STATE AID'!C61</f>
        <v>0</v>
      </c>
      <c r="D10" s="117">
        <f>IF(D8=0,0,C10)</f>
        <v>0</v>
      </c>
      <c r="E10" s="116">
        <f>'HB3 STATE AID'!E61</f>
        <v>0</v>
      </c>
    </row>
    <row r="11" spans="1:215" ht="24.95" customHeight="1" x14ac:dyDescent="0.2">
      <c r="A11" s="633" t="s">
        <v>615</v>
      </c>
      <c r="B11" s="517"/>
      <c r="C11" s="167"/>
      <c r="D11" s="168"/>
      <c r="E11" s="83"/>
    </row>
    <row r="12" spans="1:215" ht="18" customHeight="1" x14ac:dyDescent="0.2">
      <c r="A12" s="257" t="s">
        <v>564</v>
      </c>
      <c r="B12" s="124">
        <v>5</v>
      </c>
      <c r="C12" s="116">
        <f>VLOOKUP('ESTIMATE DATA ENTRY '!$C$1,'INITIAL SOF'!B:HD,130,FALSE)</f>
        <v>0</v>
      </c>
      <c r="D12" s="117">
        <f>'ESTIMATE DATA ENTRY '!$C$24*'ESTIMATE DATA ENTRY '!$C$3*1/6</f>
        <v>0</v>
      </c>
      <c r="E12" s="116">
        <f>'HB3 STATE AID'!E10</f>
        <v>0</v>
      </c>
    </row>
    <row r="13" spans="1:215" ht="18" customHeight="1" x14ac:dyDescent="0.2">
      <c r="A13" s="257" t="s">
        <v>565</v>
      </c>
      <c r="B13" s="124">
        <v>3</v>
      </c>
      <c r="C13" s="116">
        <f>VLOOKUP('ESTIMATE DATA ENTRY '!$C$1,'INITIAL SOF'!B:HD,131,FALSE)</f>
        <v>0</v>
      </c>
      <c r="D13" s="117">
        <f>'ESTIMATE DATA ENTRY '!$C$25*'ESTIMATE DATA ENTRY '!$C$3*4.5/6</f>
        <v>0</v>
      </c>
      <c r="E13" s="116">
        <f>'HB3 STATE AID'!E11</f>
        <v>0</v>
      </c>
    </row>
    <row r="14" spans="1:215" ht="18" customHeight="1" x14ac:dyDescent="0.2">
      <c r="A14" s="257" t="s">
        <v>566</v>
      </c>
      <c r="B14" s="124">
        <v>5</v>
      </c>
      <c r="C14" s="116">
        <f>VLOOKUP('ESTIMATE DATA ENTRY '!$C$1,'INITIAL SOF'!B:HD,143,FALSE)</f>
        <v>0</v>
      </c>
      <c r="D14" s="117">
        <f>'ESTIMATE DATA ENTRY '!$C$26*'ESTIMATE DATA ENTRY '!$C$3*0.25/6</f>
        <v>0</v>
      </c>
      <c r="E14" s="116">
        <f>'HB3 STATE AID'!E12</f>
        <v>0</v>
      </c>
    </row>
    <row r="15" spans="1:215" ht="18" customHeight="1" x14ac:dyDescent="0.2">
      <c r="A15" s="257" t="s">
        <v>567</v>
      </c>
      <c r="B15" s="124">
        <v>3</v>
      </c>
      <c r="C15" s="116">
        <f>VLOOKUP('ESTIMATE DATA ENTRY '!$C$1,'INITIAL SOF'!B:HD,140,FALSE)</f>
        <v>0</v>
      </c>
      <c r="D15" s="117">
        <f>'ESTIMATE DATA ENTRY '!$C$27*'ESTIMATE DATA ENTRY '!$C$3*2.859/6</f>
        <v>0</v>
      </c>
      <c r="E15" s="116">
        <f>'HB3 STATE AID'!E13</f>
        <v>0</v>
      </c>
    </row>
    <row r="16" spans="1:215" ht="18" customHeight="1" x14ac:dyDescent="0.2">
      <c r="A16" s="257" t="s">
        <v>568</v>
      </c>
      <c r="B16" s="124">
        <v>3</v>
      </c>
      <c r="C16" s="116">
        <f>VLOOKUP('ESTIMATE DATA ENTRY '!$C$1,'INITIAL SOF'!B:HD,142,FALSE)</f>
        <v>0</v>
      </c>
      <c r="D16" s="117">
        <f>'ESTIMATE DATA ENTRY '!$C$28*'ESTIMATE DATA ENTRY '!$C$3*2.859/6</f>
        <v>0</v>
      </c>
      <c r="E16" s="116">
        <f>'HB3 STATE AID'!E14</f>
        <v>0</v>
      </c>
    </row>
    <row r="17" spans="1:5" ht="18" customHeight="1" x14ac:dyDescent="0.2">
      <c r="A17" s="257" t="s">
        <v>569</v>
      </c>
      <c r="B17" s="124">
        <v>3</v>
      </c>
      <c r="C17" s="116">
        <f>VLOOKUP('ESTIMATE DATA ENTRY '!$C$1,'INITIAL SOF'!B:HD,141,FALSE)</f>
        <v>0</v>
      </c>
      <c r="D17" s="117">
        <f>'ESTIMATE DATA ENTRY '!$C$29*'ESTIMATE DATA ENTRY '!$C$3*2.859/6</f>
        <v>0</v>
      </c>
      <c r="E17" s="116">
        <f>'HB3 STATE AID'!E15</f>
        <v>0</v>
      </c>
    </row>
    <row r="18" spans="1:5" ht="18" customHeight="1" x14ac:dyDescent="0.2">
      <c r="A18" s="257" t="s">
        <v>570</v>
      </c>
      <c r="B18" s="124">
        <v>2.7</v>
      </c>
      <c r="C18" s="116">
        <f>VLOOKUP('ESTIMATE DATA ENTRY '!$C$1,'INITIAL SOF'!B:HD,136,FALSE)</f>
        <v>0</v>
      </c>
      <c r="D18" s="117">
        <f>'ESTIMATE DATA ENTRY '!$C$30*'ESTIMATE DATA ENTRY '!$C$3*4.25/6</f>
        <v>0</v>
      </c>
      <c r="E18" s="116">
        <f>'HB3 STATE AID'!E16</f>
        <v>0</v>
      </c>
    </row>
    <row r="19" spans="1:5" ht="18" customHeight="1" x14ac:dyDescent="0.2">
      <c r="A19" s="257" t="s">
        <v>571</v>
      </c>
      <c r="B19" s="124">
        <v>2.2999999999999998</v>
      </c>
      <c r="C19" s="116">
        <f>VLOOKUP('ESTIMATE DATA ENTRY '!$C$1,'INITIAL SOF'!B:HD,147,FALSE)</f>
        <v>0</v>
      </c>
      <c r="D19" s="117">
        <f>'ESTIMATE DATA ENTRY '!$C$31*'ESTIMATE DATA ENTRY '!$C$3*5.5/6</f>
        <v>0</v>
      </c>
      <c r="E19" s="116">
        <f>'HB3 STATE AID'!E17</f>
        <v>0</v>
      </c>
    </row>
    <row r="20" spans="1:5" ht="18" customHeight="1" x14ac:dyDescent="0.2">
      <c r="A20" s="257" t="s">
        <v>572</v>
      </c>
      <c r="B20" s="124">
        <v>2.8</v>
      </c>
      <c r="C20" s="116">
        <f>VLOOKUP('ESTIMATE DATA ENTRY '!$C$1,'INITIAL SOF'!B:HD,145,FALSE)</f>
        <v>0</v>
      </c>
      <c r="D20" s="117">
        <f>'ESTIMATE DATA ENTRY '!$C$32*'ESTIMATE DATA ENTRY '!$C$3*5.5/6</f>
        <v>0</v>
      </c>
      <c r="E20" s="116">
        <f>'HB3 STATE AID'!E18</f>
        <v>0</v>
      </c>
    </row>
    <row r="21" spans="1:5" ht="18" customHeight="1" x14ac:dyDescent="0.2">
      <c r="A21" s="257" t="s">
        <v>573</v>
      </c>
      <c r="B21" s="124">
        <v>4</v>
      </c>
      <c r="C21" s="116">
        <f>VLOOKUP('ESTIMATE DATA ENTRY '!$C$1,'INITIAL SOF'!B:HD,139,FALSE)</f>
        <v>0</v>
      </c>
      <c r="D21" s="117">
        <f>'ESTIMATE DATA ENTRY '!$C$33*'ESTIMATE DATA ENTRY '!$C$3*5.5/6</f>
        <v>0</v>
      </c>
      <c r="E21" s="116">
        <f>'HB3 STATE AID'!E19</f>
        <v>0</v>
      </c>
    </row>
    <row r="22" spans="1:5" ht="20.100000000000001" customHeight="1" thickBot="1" x14ac:dyDescent="0.25">
      <c r="A22" s="557" t="s">
        <v>574</v>
      </c>
      <c r="B22" s="558"/>
      <c r="C22" s="66">
        <f>SUM(C12:C21)</f>
        <v>0</v>
      </c>
      <c r="D22" s="64">
        <f>SUM(D12:D21)</f>
        <v>0</v>
      </c>
      <c r="E22" s="66">
        <f t="shared" ref="E22" si="0">SUM(E12:E21)</f>
        <v>0</v>
      </c>
    </row>
    <row r="23" spans="1:5" ht="20.100000000000001" customHeight="1" thickTop="1" thickBot="1" x14ac:dyDescent="0.25">
      <c r="A23" s="530" t="s">
        <v>575</v>
      </c>
      <c r="B23" s="559"/>
      <c r="C23" s="66">
        <f t="shared" ref="C23" si="1">(C12*$B$25)+(C13*$B$26)+(C14*$B$27)+(C15*$B$28)+(C16*$B$29)+(C17*$B$30)+(C18*$B$31)+(C19*$B$32)+(C20*$B$33)+(C21*$B$34)</f>
        <v>0</v>
      </c>
      <c r="D23" s="64">
        <f>(D12*$B$12)+(D13*$B$13)+(D14*$B$14)+(D15*$B$15)+(D16*$B$16)+(D17*$B$17)+(D18*$B$18)+(D19*$B$19)+(D20*$B$20)+(D21*$B$21)</f>
        <v>0</v>
      </c>
      <c r="E23" s="66">
        <f>(E12*$B$12)+(E13*$B$13)+(E14*$B$14)+(E15*$B$15)+(E16*$B$16)+(E17*$B$17)+(E18*$B$18)+(E19*$B$19)+(E20*$B$20)+(E21*$B$21)</f>
        <v>0</v>
      </c>
    </row>
    <row r="24" spans="1:5" ht="24.95" customHeight="1" thickTop="1" x14ac:dyDescent="0.2">
      <c r="A24" s="634" t="s">
        <v>616</v>
      </c>
      <c r="B24" s="635"/>
      <c r="C24" s="83"/>
      <c r="D24" s="101"/>
      <c r="E24" s="83"/>
    </row>
    <row r="25" spans="1:5" ht="18" customHeight="1" x14ac:dyDescent="0.2">
      <c r="A25" s="257" t="s">
        <v>579</v>
      </c>
      <c r="B25" s="124">
        <v>5</v>
      </c>
      <c r="C25" s="116">
        <f>VLOOKUP('ESTIMATE DATA ENTRY '!$C$1,'INITIAL SOF'!B:HD,119,FALSE)</f>
        <v>0</v>
      </c>
      <c r="D25" s="117">
        <f>('ESTIMATE DATA ENTRY '!$C$36*'ESTIMATE DATA ENTRY '!$C$3*1/6)/6</f>
        <v>0</v>
      </c>
      <c r="E25" s="116">
        <f>'HB3 STATE AID'!E23</f>
        <v>0</v>
      </c>
    </row>
    <row r="26" spans="1:5" ht="18" customHeight="1" x14ac:dyDescent="0.2">
      <c r="A26" s="257" t="s">
        <v>578</v>
      </c>
      <c r="B26" s="124">
        <v>3</v>
      </c>
      <c r="C26" s="116">
        <f>VLOOKUP('ESTIMATE DATA ENTRY '!$C$1,'INITIAL SOF'!B:HD,120,FALSE)</f>
        <v>0</v>
      </c>
      <c r="D26" s="117">
        <f>('ESTIMATE DATA ENTRY '!$C$37*'ESTIMATE DATA ENTRY '!$C$3*4.5/6)/6</f>
        <v>0</v>
      </c>
      <c r="E26" s="116">
        <f>'HB3 STATE AID'!E24</f>
        <v>0</v>
      </c>
    </row>
    <row r="27" spans="1:5" ht="18" customHeight="1" x14ac:dyDescent="0.2">
      <c r="A27" s="257" t="s">
        <v>582</v>
      </c>
      <c r="B27" s="124">
        <v>5</v>
      </c>
      <c r="C27" s="116">
        <f>VLOOKUP('ESTIMATE DATA ENTRY '!$C$1,'INITIAL SOF'!B:HD,126,FALSE)</f>
        <v>0</v>
      </c>
      <c r="D27" s="117">
        <f>('ESTIMATE DATA ENTRY '!$C$38*'ESTIMATE DATA ENTRY '!$C$3*0.25/6)/6</f>
        <v>0</v>
      </c>
      <c r="E27" s="116">
        <f>'HB3 STATE AID'!E25</f>
        <v>0</v>
      </c>
    </row>
    <row r="28" spans="1:5" ht="18" customHeight="1" x14ac:dyDescent="0.2">
      <c r="A28" s="257" t="s">
        <v>581</v>
      </c>
      <c r="B28" s="124">
        <v>3</v>
      </c>
      <c r="C28" s="116">
        <f>VLOOKUP('ESTIMATE DATA ENTRY '!$C$1,'INITIAL SOF'!B:HD,123,FALSE)</f>
        <v>0</v>
      </c>
      <c r="D28" s="117">
        <f>('ESTIMATE DATA ENTRY '!$C$39*'ESTIMATE DATA ENTRY '!$C$3*2.859/6)/6</f>
        <v>0</v>
      </c>
      <c r="E28" s="116">
        <f>'HB3 STATE AID'!E26</f>
        <v>0</v>
      </c>
    </row>
    <row r="29" spans="1:5" ht="18" customHeight="1" x14ac:dyDescent="0.2">
      <c r="A29" s="257" t="s">
        <v>583</v>
      </c>
      <c r="B29" s="124">
        <v>3</v>
      </c>
      <c r="C29" s="116">
        <f>VLOOKUP('ESTIMATE DATA ENTRY '!$C$1,'INITIAL SOF'!B:HD,124,FALSE)</f>
        <v>0</v>
      </c>
      <c r="D29" s="117">
        <f>('ESTIMATE DATA ENTRY '!$C$40*'ESTIMATE DATA ENTRY '!$C$3*2.859/6)/6</f>
        <v>0</v>
      </c>
      <c r="E29" s="116">
        <f>'HB3 STATE AID'!E27</f>
        <v>0</v>
      </c>
    </row>
    <row r="30" spans="1:5" ht="18" customHeight="1" x14ac:dyDescent="0.2">
      <c r="A30" s="257" t="s">
        <v>584</v>
      </c>
      <c r="B30" s="124">
        <v>3</v>
      </c>
      <c r="C30" s="116">
        <f>VLOOKUP('ESTIMATE DATA ENTRY '!$C$1,'INITIAL SOF'!B:HD,125,FALSE)</f>
        <v>0</v>
      </c>
      <c r="D30" s="117">
        <f>('ESTIMATE DATA ENTRY '!$C$41*'ESTIMATE DATA ENTRY '!$C$3*2.859/6)/6</f>
        <v>0</v>
      </c>
      <c r="E30" s="116">
        <f>'HB3 STATE AID'!E28</f>
        <v>0</v>
      </c>
    </row>
    <row r="31" spans="1:5" ht="18" customHeight="1" x14ac:dyDescent="0.2">
      <c r="A31" s="257" t="s">
        <v>585</v>
      </c>
      <c r="B31" s="124">
        <v>2.7</v>
      </c>
      <c r="C31" s="116">
        <f>VLOOKUP('ESTIMATE DATA ENTRY '!$C$1,'INITIAL SOF'!B:HD,121,FALSE)</f>
        <v>0</v>
      </c>
      <c r="D31" s="117">
        <f>('ESTIMATE DATA ENTRY '!$C$42*'ESTIMATE DATA ENTRY '!$C$3*4.25/6)/6</f>
        <v>0</v>
      </c>
      <c r="E31" s="116">
        <f>'HB3 STATE AID'!E29</f>
        <v>0</v>
      </c>
    </row>
    <row r="32" spans="1:5" ht="18" customHeight="1" x14ac:dyDescent="0.2">
      <c r="A32" s="257" t="s">
        <v>586</v>
      </c>
      <c r="B32" s="124">
        <v>2.2999999999999998</v>
      </c>
      <c r="C32" s="116">
        <f>VLOOKUP('ESTIMATE DATA ENTRY '!$C$1,'INITIAL SOF'!B:HD,128,FALSE)</f>
        <v>0</v>
      </c>
      <c r="D32" s="117">
        <f>('ESTIMATE DATA ENTRY '!$C$43*'ESTIMATE DATA ENTRY '!$C$3*5.5/6)/6</f>
        <v>0</v>
      </c>
      <c r="E32" s="116">
        <f>'HB3 STATE AID'!E30</f>
        <v>0</v>
      </c>
    </row>
    <row r="33" spans="1:120" ht="18" customHeight="1" x14ac:dyDescent="0.2">
      <c r="A33" s="257" t="s">
        <v>587</v>
      </c>
      <c r="B33" s="124">
        <v>2.8</v>
      </c>
      <c r="C33" s="116">
        <f>VLOOKUP('ESTIMATE DATA ENTRY '!$C$1,'INITIAL SOF'!B:HD,127,FALSE)</f>
        <v>0</v>
      </c>
      <c r="D33" s="117">
        <f>('ESTIMATE DATA ENTRY '!$C$44*'ESTIMATE DATA ENTRY '!$C$3*5.5/6)/6</f>
        <v>0</v>
      </c>
      <c r="E33" s="116">
        <f>'HB3 STATE AID'!E31</f>
        <v>0</v>
      </c>
    </row>
    <row r="34" spans="1:120" ht="18" customHeight="1" x14ac:dyDescent="0.2">
      <c r="A34" s="257" t="s">
        <v>588</v>
      </c>
      <c r="B34" s="124">
        <v>4</v>
      </c>
      <c r="C34" s="116">
        <f>VLOOKUP('ESTIMATE DATA ENTRY '!$C$1,'INITIAL SOF'!B:HD,122,FALSE)</f>
        <v>0</v>
      </c>
      <c r="D34" s="117">
        <f>('ESTIMATE DATA ENTRY '!$C$45*'ESTIMATE DATA ENTRY '!$C$3*5.5/6)/6</f>
        <v>0</v>
      </c>
      <c r="E34" s="116">
        <f>'HB3 STATE AID'!E32</f>
        <v>0</v>
      </c>
    </row>
    <row r="35" spans="1:120" ht="20.100000000000001" customHeight="1" thickBot="1" x14ac:dyDescent="0.25">
      <c r="A35" s="557" t="s">
        <v>580</v>
      </c>
      <c r="B35" s="558"/>
      <c r="C35" s="66">
        <f>SUM(C25:C34)</f>
        <v>0</v>
      </c>
      <c r="D35" s="64">
        <f>SUM(D25:D34)</f>
        <v>0</v>
      </c>
      <c r="E35" s="66">
        <f t="shared" ref="E35" si="2">SUM(E25:E34)</f>
        <v>0</v>
      </c>
    </row>
    <row r="36" spans="1:120" ht="20.100000000000001" customHeight="1" thickTop="1" thickBot="1" x14ac:dyDescent="0.25">
      <c r="A36" s="530" t="s">
        <v>589</v>
      </c>
      <c r="B36" s="559"/>
      <c r="C36" s="66">
        <f t="shared" ref="C36:D36" si="3">(C25*$B$25)+(C26*$B$26)+(C27*$B$27)+(C28*$B$28)+(C29*$B$29)+(C30*$B$30)+(C31*$B$31)+(C32*$B$32)+(C33*$B$33)+(C34*$B$34)</f>
        <v>0</v>
      </c>
      <c r="D36" s="65">
        <f t="shared" si="3"/>
        <v>0</v>
      </c>
      <c r="E36" s="67">
        <f>(E25*$B$25)+(E26*$B$26)+(E27*$B$27)+(E28*$B$28)+(E29*$B$29)+(E30*$B$30)+(E31*$B$31)+(E32*$B$32)+(E33*$B$33)+(E34*$B$34)</f>
        <v>0</v>
      </c>
    </row>
    <row r="37" spans="1:120" ht="20.100000000000001" customHeight="1" thickTop="1" x14ac:dyDescent="0.2">
      <c r="A37" s="257" t="s">
        <v>590</v>
      </c>
      <c r="B37" s="129">
        <v>1.1000000000000001</v>
      </c>
      <c r="C37" s="116">
        <f>VLOOKUP('ESTIMATE DATA ENTRY '!$C$1,'INITIAL SOF'!B:HD,132,FALSE)</f>
        <v>0</v>
      </c>
      <c r="D37" s="166">
        <f>'ESTIMATE DATA ENTRY '!$C$34*'ESTIMATE DATA ENTRY '!$C$3</f>
        <v>0</v>
      </c>
      <c r="E37" s="224">
        <f>'HB3 STATE AID'!E40</f>
        <v>0</v>
      </c>
    </row>
    <row r="38" spans="1:120" ht="20.100000000000001" customHeight="1" x14ac:dyDescent="0.2">
      <c r="A38" s="125" t="s">
        <v>591</v>
      </c>
      <c r="B38" s="126">
        <v>1.35</v>
      </c>
      <c r="C38" s="116">
        <f>VLOOKUP('ESTIMATE DATA ENTRY '!$C$1,'INITIAL SOF'!B:HD,185,FALSE)</f>
        <v>0</v>
      </c>
      <c r="D38" s="166">
        <f>('ESTIMATE DATA ENTRY '!$C$49*'ESTIMATE DATA ENTRY '!$C$3*0.17)+('ESTIMATE DATA ENTRY '!$C$50*'ESTIMATE DATA ENTRY '!$C$3*0.33)+('ESTIMATE DATA ENTRY '!$C$51*'ESTIMATE DATA ENTRY '!$C$3*0.5)+('ESTIMATE DATA ENTRY '!$C$52*'ESTIMATE DATA ENTRY '!$C$3*0.67)+('ESTIMATE DATA ENTRY '!$C$53*'ESTIMATE DATA ENTRY '!$C$3*0.83)+('ESTIMATE DATA ENTRY '!$C$54*'ESTIMATE DATA ENTRY '!$C$3*1)</f>
        <v>0</v>
      </c>
      <c r="E38" s="224">
        <f>'HB3 STATE AID'!E41</f>
        <v>0</v>
      </c>
    </row>
    <row r="39" spans="1:120" ht="20.100000000000001" customHeight="1" x14ac:dyDescent="0.2">
      <c r="A39" s="257" t="s">
        <v>843</v>
      </c>
      <c r="B39" s="127">
        <v>50</v>
      </c>
      <c r="C39" s="116">
        <f>VLOOKUP('ESTIMATE DATA ENTRY '!$C$1,'INITIAL SOF'!B:HD,182,FALSE)</f>
        <v>0</v>
      </c>
      <c r="D39" s="117">
        <f>'ESTIMATE DATA ENTRY '!C56</f>
        <v>0</v>
      </c>
      <c r="E39" s="224">
        <f>'HB3 STATE AID'!E42</f>
        <v>0</v>
      </c>
    </row>
    <row r="40" spans="1:120" s="5" customFormat="1" ht="24.95" customHeight="1" thickBot="1" x14ac:dyDescent="0.25">
      <c r="A40" s="557" t="s">
        <v>592</v>
      </c>
      <c r="B40" s="558"/>
      <c r="C40" s="66">
        <f t="shared" ref="C40:E40" si="4">C8-C22-C38</f>
        <v>0</v>
      </c>
      <c r="D40" s="64">
        <f t="shared" si="4"/>
        <v>0</v>
      </c>
      <c r="E40" s="66">
        <f t="shared" si="4"/>
        <v>0</v>
      </c>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row>
    <row r="41" spans="1:120" ht="20.100000000000001" customHeight="1" thickTop="1" x14ac:dyDescent="0.2">
      <c r="A41" s="257" t="s">
        <v>899</v>
      </c>
      <c r="B41" s="128">
        <v>0.12</v>
      </c>
      <c r="C41" s="116">
        <f>VLOOKUP('ESTIMATE DATA ENTRY '!$C$1,'INITIAL SOF'!B:HD,55,FALSE)</f>
        <v>0</v>
      </c>
      <c r="D41" s="117">
        <f>IF('ESTIMATE DATA ENTRY '!$C$6&lt;D8*0.05,'ESTIMATE DATA ENTRY '!$C$6,D8*0.05)</f>
        <v>0</v>
      </c>
      <c r="E41" s="294">
        <f>IF($A$2=0,0,VLOOKUP($A$2,'INITIAL SOF'!$B:$HD,55,FALSE))</f>
        <v>0</v>
      </c>
    </row>
    <row r="42" spans="1:120" ht="20.100000000000001" customHeight="1" x14ac:dyDescent="0.2">
      <c r="A42" s="257" t="s">
        <v>593</v>
      </c>
      <c r="B42" s="129">
        <v>0.2</v>
      </c>
      <c r="C42" s="116">
        <f>VLOOKUP('ESTIMATE DATA ENTRY '!$C$1,'INITIAL SOF'!B:HD,110,FALSE)</f>
        <v>0</v>
      </c>
      <c r="D42" s="117">
        <f>IF(D8=0,0,'ESTIMATE DATA ENTRY '!C17)</f>
        <v>0</v>
      </c>
      <c r="E42" s="294">
        <f>IF($A$2=0,0,VLOOKUP($A$2,'INITIAL SOF'!$B:$HD,110,FALSE))</f>
        <v>0</v>
      </c>
    </row>
    <row r="43" spans="1:120" ht="20.100000000000001" customHeight="1" x14ac:dyDescent="0.2">
      <c r="A43" s="257" t="s">
        <v>594</v>
      </c>
      <c r="B43" s="128">
        <v>2.41</v>
      </c>
      <c r="C43" s="116">
        <f>VLOOKUP('ESTIMATE DATA ENTRY '!$C$1,'INITIAL SOF'!B:HD,93,FALSE)</f>
        <v>0</v>
      </c>
      <c r="D43" s="117">
        <f>'ESTIMATE DATA ENTRY '!$C$7*'ESTIMATE DATA ENTRY '!$C$3*0.2936</f>
        <v>0</v>
      </c>
      <c r="E43" s="224">
        <f>'HB3 STATE AID'!E52</f>
        <v>0</v>
      </c>
    </row>
    <row r="44" spans="1:120" ht="20.100000000000001" customHeight="1" x14ac:dyDescent="0.2">
      <c r="A44" s="257" t="s">
        <v>595</v>
      </c>
      <c r="B44" s="129">
        <v>0.1</v>
      </c>
      <c r="C44" s="116">
        <f>VLOOKUP('ESTIMATE DATA ENTRY '!$C$1,'INITIAL SOF'!B:HD,21,FALSE)</f>
        <v>0</v>
      </c>
      <c r="D44" s="117">
        <f>('ESTIMATE DATA ENTRY '!$C$12*'ESTIMATE DATA ENTRY '!$C$3)+('ESTIMATE DATA ENTRY '!$C$13*'ESTIMATE DATA ENTRY '!$C$3)</f>
        <v>0</v>
      </c>
      <c r="E44" s="224">
        <f>'HB3 STATE AID'!E36+'HB3 STATE AID'!E37</f>
        <v>0</v>
      </c>
    </row>
    <row r="45" spans="1:120" ht="20.100000000000001" customHeight="1" thickBot="1" x14ac:dyDescent="0.25">
      <c r="A45" s="557" t="s">
        <v>619</v>
      </c>
      <c r="B45" s="558"/>
      <c r="C45" s="212">
        <f>IFERROR(1-((C54-C53)/2)/C54,0)</f>
        <v>0.97338649851632053</v>
      </c>
      <c r="D45" s="213">
        <f>IFERROR(1-((D54-D53)/2)/D54,0)</f>
        <v>0.97330309658287761</v>
      </c>
      <c r="E45" s="212">
        <f t="shared" ref="E45" si="5">IFERROR(1-((E54-E53)/2)/E54,0)</f>
        <v>0.97330309658287761</v>
      </c>
    </row>
    <row r="46" spans="1:120" s="130" customFormat="1" ht="24.95" customHeight="1" thickTop="1" thickBot="1" x14ac:dyDescent="0.25">
      <c r="A46" s="622" t="s">
        <v>875</v>
      </c>
      <c r="B46" s="623"/>
      <c r="C46" s="265">
        <f>ROUND(((C63+C75+C80+C70+C72+C79)*C45)/C53,3)</f>
        <v>0</v>
      </c>
      <c r="D46" s="266">
        <f>IFERROR(ROUND(((D63+D75+D80+D70+D72+D79)*D45)/D53,3),0)</f>
        <v>0</v>
      </c>
      <c r="E46" s="265">
        <f>IFERROR(ROUND(((E63+E75+E80+E70+E72+E79)*E45)/E53,3),0)</f>
        <v>0</v>
      </c>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row>
    <row r="47" spans="1:120" ht="30" customHeight="1" thickTop="1" x14ac:dyDescent="0.2">
      <c r="A47" s="599" t="s">
        <v>749</v>
      </c>
      <c r="B47" s="600"/>
      <c r="C47" s="160" t="s">
        <v>845</v>
      </c>
      <c r="D47" s="160" t="str">
        <f>'ESTIMATE DATA ENTRY '!C59</f>
        <v>NO</v>
      </c>
      <c r="E47" s="198" t="str">
        <f>'ESTIMATE DATA ENTRY '!C59</f>
        <v>NO</v>
      </c>
    </row>
    <row r="48" spans="1:120" ht="15" customHeight="1" x14ac:dyDescent="0.2">
      <c r="A48" s="601" t="s">
        <v>900</v>
      </c>
      <c r="B48" s="595"/>
      <c r="C48" s="159" t="str">
        <f>D48</f>
        <v>NO</v>
      </c>
      <c r="D48" s="160" t="str">
        <f>'ESTIMATE DATA ENTRY '!$C$60</f>
        <v>NO</v>
      </c>
      <c r="E48" s="198" t="str">
        <f>'ESTIMATE DATA ENTRY '!$C$60</f>
        <v>NO</v>
      </c>
    </row>
    <row r="49" spans="1:120" s="61" customFormat="1" ht="14.25" x14ac:dyDescent="0.2">
      <c r="A49" s="602" t="s">
        <v>607</v>
      </c>
      <c r="B49" s="603"/>
      <c r="C49" s="169">
        <f>'ESTIMATE DATA ENTRY '!C61</f>
        <v>0</v>
      </c>
      <c r="D49" s="170">
        <f>'ESTIMATE DATA ENTRY '!C61</f>
        <v>0</v>
      </c>
      <c r="E49" s="295">
        <f>IF($A$2=0,0,VLOOKUP($A$2,'INITIAL SOF'!$B:$HD,52,FALSE))</f>
        <v>0</v>
      </c>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row>
    <row r="50" spans="1:120" s="61" customFormat="1" ht="14.25" x14ac:dyDescent="0.2">
      <c r="A50" s="602" t="s">
        <v>608</v>
      </c>
      <c r="B50" s="603"/>
      <c r="C50" s="169">
        <f>'ESTIMATE DATA ENTRY '!C62</f>
        <v>0</v>
      </c>
      <c r="D50" s="170">
        <f>'ESTIMATE DATA ENTRY '!C62</f>
        <v>0</v>
      </c>
      <c r="E50" s="295">
        <f>IF($A$2=0,0,VLOOKUP($A$2,'INITIAL SOF'!$B:$HD,94,FALSE))</f>
        <v>0</v>
      </c>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row>
    <row r="51" spans="1:120" s="4" customFormat="1" ht="33.950000000000003" customHeight="1" x14ac:dyDescent="0.2">
      <c r="A51" s="624" t="s">
        <v>895</v>
      </c>
      <c r="B51" s="625"/>
      <c r="C51" s="625"/>
      <c r="D51" s="625"/>
      <c r="E51" s="626"/>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row>
    <row r="52" spans="1:120" ht="18" customHeight="1" x14ac:dyDescent="0.2">
      <c r="A52" s="604" t="s">
        <v>597</v>
      </c>
      <c r="B52" s="592"/>
      <c r="C52" s="171">
        <f>VLOOKUP('ESTIMATE DATA ENTRY '!$C$1,'INITIAL SOF'!$B:$HD,18,FALSE)</f>
        <v>247.58699999999999</v>
      </c>
      <c r="D52" s="171">
        <v>250</v>
      </c>
      <c r="E52" s="171">
        <v>250</v>
      </c>
    </row>
    <row r="53" spans="1:120" ht="18" customHeight="1" x14ac:dyDescent="0.2">
      <c r="A53" s="604" t="s">
        <v>598</v>
      </c>
      <c r="B53" s="592"/>
      <c r="C53" s="172">
        <f>VLOOKUP('ESTIMATE DATA ENTRY '!$C$1,'INITIAL SOF'!$B:$HD,35,FALSE)</f>
        <v>5105</v>
      </c>
      <c r="D53" s="172">
        <v>5104.4971071</v>
      </c>
      <c r="E53" s="172">
        <v>5104.4971071</v>
      </c>
    </row>
    <row r="54" spans="1:120" ht="18" customHeight="1" x14ac:dyDescent="0.2">
      <c r="A54" s="604" t="s">
        <v>599</v>
      </c>
      <c r="B54" s="592"/>
      <c r="C54" s="172">
        <f>VLOOKUP('ESTIMATE DATA ENTRY '!$C$1,'INITIAL SOF'!$B:$HD,4,FALSE)</f>
        <v>5392</v>
      </c>
      <c r="D54" s="172">
        <v>5392.4188790999997</v>
      </c>
      <c r="E54" s="172">
        <v>5392.4188790999997</v>
      </c>
    </row>
    <row r="55" spans="1:120" ht="18" customHeight="1" x14ac:dyDescent="0.2">
      <c r="A55" s="604" t="s">
        <v>600</v>
      </c>
      <c r="B55" s="592"/>
      <c r="C55" s="172">
        <f>VLOOKUP('ESTIMATE DATA ENTRY '!$C$1,'INITIAL SOF'!$B:$HD,11,FALSE)</f>
        <v>6544</v>
      </c>
      <c r="D55" s="172">
        <v>6543.6371681000001</v>
      </c>
      <c r="E55" s="172">
        <v>6543.6371681000001</v>
      </c>
    </row>
    <row r="56" spans="1:120" ht="18" customHeight="1" x14ac:dyDescent="0.2">
      <c r="A56" s="604" t="s">
        <v>601</v>
      </c>
      <c r="B56" s="592"/>
      <c r="C56" s="120">
        <f>VLOOKUP('ESTIMATE DATA ENTRY '!$C$1,'INITIAL SOF'!$B:$HD,162,FALSE)</f>
        <v>5.7854999999999997E-2</v>
      </c>
      <c r="D56" s="120">
        <v>5.8206882000000001E-2</v>
      </c>
      <c r="E56" s="120">
        <v>5.8206882000000001E-2</v>
      </c>
    </row>
    <row r="57" spans="1:120" ht="18" customHeight="1" x14ac:dyDescent="0.2">
      <c r="A57" s="604" t="s">
        <v>602</v>
      </c>
      <c r="B57" s="592"/>
      <c r="C57" s="120">
        <f>VLOOKUP('ESTIMATE DATA ENTRY '!$C$1,'INITIAL SOF'!$B:$HD,163,FALSE)</f>
        <v>5.2366000000000003E-2</v>
      </c>
      <c r="D57" s="120">
        <v>5.3064896799999997E-2</v>
      </c>
      <c r="E57" s="120">
        <v>5.3064896799999997E-2</v>
      </c>
    </row>
    <row r="58" spans="1:120" ht="18" customHeight="1" x14ac:dyDescent="0.2">
      <c r="A58" s="604" t="s">
        <v>606</v>
      </c>
      <c r="B58" s="592"/>
      <c r="C58" s="120">
        <f>VLOOKUP('ESTIMATE DATA ENTRY '!$C$1,'INITIAL SOF'!$B:$HD,210,FALSE)</f>
        <v>6.0754000000000002E-2</v>
      </c>
      <c r="D58" s="120">
        <v>4.9459341140845214E-2</v>
      </c>
      <c r="E58" s="120">
        <v>4.9459341140845214E-2</v>
      </c>
    </row>
    <row r="59" spans="1:120" ht="18" customHeight="1" x14ac:dyDescent="0.2">
      <c r="A59" s="604" t="s">
        <v>603</v>
      </c>
      <c r="B59" s="592"/>
      <c r="C59" s="121">
        <v>35</v>
      </c>
      <c r="D59" s="121">
        <v>36.799999999999997</v>
      </c>
      <c r="E59" s="121">
        <v>36.799999999999997</v>
      </c>
    </row>
    <row r="60" spans="1:120" ht="18" customHeight="1" x14ac:dyDescent="0.2">
      <c r="A60" s="604" t="s">
        <v>604</v>
      </c>
      <c r="B60" s="592"/>
      <c r="C60" s="121">
        <v>126.88</v>
      </c>
      <c r="D60" s="121">
        <v>126.88</v>
      </c>
      <c r="E60" s="121">
        <v>126.88</v>
      </c>
    </row>
    <row r="61" spans="1:120" ht="18" customHeight="1" x14ac:dyDescent="0.2">
      <c r="A61" s="604" t="s">
        <v>605</v>
      </c>
      <c r="B61" s="592"/>
      <c r="C61" s="121">
        <v>31.95</v>
      </c>
      <c r="D61" s="121">
        <v>31.95</v>
      </c>
      <c r="E61" s="121">
        <v>31.95</v>
      </c>
    </row>
    <row r="62" spans="1:120" ht="24.95" customHeight="1" x14ac:dyDescent="0.2">
      <c r="A62" s="621" t="s">
        <v>596</v>
      </c>
      <c r="B62" s="595"/>
      <c r="C62" s="167"/>
      <c r="D62" s="168"/>
      <c r="E62" s="83"/>
    </row>
    <row r="63" spans="1:120" ht="18" customHeight="1" x14ac:dyDescent="0.2">
      <c r="A63" s="533" t="s">
        <v>764</v>
      </c>
      <c r="B63" s="592"/>
      <c r="C63" s="72">
        <f t="shared" ref="C63:E63" si="6">C40*C55</f>
        <v>0</v>
      </c>
      <c r="D63" s="98">
        <f t="shared" si="6"/>
        <v>0</v>
      </c>
      <c r="E63" s="72">
        <f t="shared" si="6"/>
        <v>0</v>
      </c>
    </row>
    <row r="64" spans="1:120" ht="18" customHeight="1" x14ac:dyDescent="0.2">
      <c r="A64" s="561" t="s">
        <v>765</v>
      </c>
      <c r="B64" s="562"/>
      <c r="C64" s="73"/>
      <c r="D64" s="82"/>
      <c r="E64" s="73"/>
    </row>
    <row r="65" spans="1:120" s="58" customFormat="1" ht="14.25" x14ac:dyDescent="0.2">
      <c r="A65" s="563" t="s">
        <v>781</v>
      </c>
      <c r="B65" s="592"/>
      <c r="C65" s="79">
        <f t="shared" ref="C65:E65" si="7">(C23-(C20*$B$20+C21*$B$21))*C55</f>
        <v>0</v>
      </c>
      <c r="D65" s="96">
        <f t="shared" si="7"/>
        <v>0</v>
      </c>
      <c r="E65" s="79">
        <f t="shared" si="7"/>
        <v>0</v>
      </c>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row>
    <row r="66" spans="1:120" s="58" customFormat="1" ht="14.25" x14ac:dyDescent="0.2">
      <c r="A66" s="563" t="s">
        <v>688</v>
      </c>
      <c r="B66" s="592"/>
      <c r="C66" s="79">
        <f t="shared" ref="C66:E66" si="8">C37*$B$37*C55</f>
        <v>0</v>
      </c>
      <c r="D66" s="96">
        <f t="shared" si="8"/>
        <v>0</v>
      </c>
      <c r="E66" s="79">
        <f t="shared" si="8"/>
        <v>0</v>
      </c>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row>
    <row r="67" spans="1:120" s="58" customFormat="1" ht="14.25" x14ac:dyDescent="0.2">
      <c r="A67" s="563" t="s">
        <v>689</v>
      </c>
      <c r="B67" s="592"/>
      <c r="C67" s="79">
        <f t="shared" ref="C67:E67" si="9">C21*$B$21*C55</f>
        <v>0</v>
      </c>
      <c r="D67" s="96">
        <f t="shared" si="9"/>
        <v>0</v>
      </c>
      <c r="E67" s="79">
        <f t="shared" si="9"/>
        <v>0</v>
      </c>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row>
    <row r="68" spans="1:120" s="58" customFormat="1" ht="14.25" x14ac:dyDescent="0.2">
      <c r="A68" s="563" t="s">
        <v>690</v>
      </c>
      <c r="B68" s="592"/>
      <c r="C68" s="79">
        <f t="shared" ref="C68:E68" si="10">C20*$B$20*C55</f>
        <v>0</v>
      </c>
      <c r="D68" s="96">
        <f t="shared" si="10"/>
        <v>0</v>
      </c>
      <c r="E68" s="79">
        <f t="shared" si="10"/>
        <v>0</v>
      </c>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row>
    <row r="69" spans="1:120" s="58" customFormat="1" ht="14.25" x14ac:dyDescent="0.2">
      <c r="A69" s="563" t="s">
        <v>691</v>
      </c>
      <c r="B69" s="592"/>
      <c r="C69" s="79">
        <f t="shared" ref="C69:E69" si="11">C36*C55*0.75</f>
        <v>0</v>
      </c>
      <c r="D69" s="96">
        <f t="shared" si="11"/>
        <v>0</v>
      </c>
      <c r="E69" s="79">
        <f t="shared" si="11"/>
        <v>0</v>
      </c>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row>
    <row r="70" spans="1:120" ht="18" customHeight="1" thickBot="1" x14ac:dyDescent="0.25">
      <c r="A70" s="618" t="s">
        <v>766</v>
      </c>
      <c r="B70" s="619"/>
      <c r="C70" s="76">
        <f>SUM(C65:C69)</f>
        <v>0</v>
      </c>
      <c r="D70" s="97">
        <f>SUM(D65:D69)</f>
        <v>0</v>
      </c>
      <c r="E70" s="76">
        <f t="shared" ref="E70" si="12">SUM(E65:E69)</f>
        <v>0</v>
      </c>
    </row>
    <row r="71" spans="1:120" ht="15" thickTop="1" x14ac:dyDescent="0.2">
      <c r="A71" s="598" t="s">
        <v>767</v>
      </c>
      <c r="B71" s="573"/>
      <c r="C71" s="73"/>
      <c r="D71" s="82"/>
      <c r="E71" s="73"/>
    </row>
    <row r="72" spans="1:120" s="58" customFormat="1" ht="14.25" x14ac:dyDescent="0.2">
      <c r="A72" s="605" t="s">
        <v>782</v>
      </c>
      <c r="B72" s="606"/>
      <c r="C72" s="80">
        <f t="shared" ref="C72:E72" si="13">C38*$B$38*C55</f>
        <v>0</v>
      </c>
      <c r="D72" s="99">
        <f t="shared" si="13"/>
        <v>0</v>
      </c>
      <c r="E72" s="80">
        <f t="shared" si="13"/>
        <v>0</v>
      </c>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row>
    <row r="73" spans="1:120" s="58" customFormat="1" ht="14.25" x14ac:dyDescent="0.2">
      <c r="A73" s="563" t="s">
        <v>783</v>
      </c>
      <c r="B73" s="592"/>
      <c r="C73" s="80">
        <f t="shared" ref="C73:E73" si="14">C39*$B$39</f>
        <v>0</v>
      </c>
      <c r="D73" s="96">
        <f t="shared" si="14"/>
        <v>0</v>
      </c>
      <c r="E73" s="80">
        <f t="shared" si="14"/>
        <v>0</v>
      </c>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row>
    <row r="74" spans="1:120" ht="18" customHeight="1" thickBot="1" x14ac:dyDescent="0.25">
      <c r="A74" s="564" t="s">
        <v>768</v>
      </c>
      <c r="B74" s="593"/>
      <c r="C74" s="76">
        <f>SUM(C72:C73)</f>
        <v>0</v>
      </c>
      <c r="D74" s="97">
        <f t="shared" ref="D74:E74" si="15">SUM(D72:D73)</f>
        <v>0</v>
      </c>
      <c r="E74" s="76">
        <f t="shared" si="15"/>
        <v>0</v>
      </c>
    </row>
    <row r="75" spans="1:120" ht="18" customHeight="1" thickTop="1" x14ac:dyDescent="0.2">
      <c r="A75" s="596" t="s">
        <v>769</v>
      </c>
      <c r="B75" s="597"/>
      <c r="C75" s="72">
        <f t="shared" ref="C75:E75" si="16">C41*$B$41*C55</f>
        <v>0</v>
      </c>
      <c r="D75" s="98">
        <f t="shared" si="16"/>
        <v>0</v>
      </c>
      <c r="E75" s="72">
        <f t="shared" si="16"/>
        <v>0</v>
      </c>
    </row>
    <row r="76" spans="1:120" ht="14.25" x14ac:dyDescent="0.2">
      <c r="A76" s="566" t="s">
        <v>780</v>
      </c>
      <c r="B76" s="567"/>
      <c r="C76" s="78"/>
      <c r="D76" s="95"/>
      <c r="E76" s="78"/>
    </row>
    <row r="77" spans="1:120" s="58" customFormat="1" ht="14.25" x14ac:dyDescent="0.2">
      <c r="A77" s="563" t="s">
        <v>694</v>
      </c>
      <c r="B77" s="592"/>
      <c r="C77" s="79">
        <f t="shared" ref="C77:E77" si="17">C42*$B$42*C55</f>
        <v>0</v>
      </c>
      <c r="D77" s="96">
        <f t="shared" si="17"/>
        <v>0</v>
      </c>
      <c r="E77" s="79">
        <f t="shared" si="17"/>
        <v>0</v>
      </c>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row>
    <row r="78" spans="1:120" s="58" customFormat="1" ht="14.25" x14ac:dyDescent="0.2">
      <c r="A78" s="563" t="s">
        <v>695</v>
      </c>
      <c r="B78" s="592"/>
      <c r="C78" s="79">
        <f t="shared" ref="C78:E78" si="18">C43*$B$43*C55</f>
        <v>0</v>
      </c>
      <c r="D78" s="96">
        <f t="shared" si="18"/>
        <v>0</v>
      </c>
      <c r="E78" s="79">
        <f t="shared" si="18"/>
        <v>0</v>
      </c>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row>
    <row r="79" spans="1:120" ht="18" customHeight="1" thickBot="1" x14ac:dyDescent="0.25">
      <c r="A79" s="564" t="s">
        <v>770</v>
      </c>
      <c r="B79" s="593"/>
      <c r="C79" s="76">
        <f>SUM(C77:C78)</f>
        <v>0</v>
      </c>
      <c r="D79" s="97">
        <f t="shared" ref="D79:E79" si="19">SUM(D77:D78)</f>
        <v>0</v>
      </c>
      <c r="E79" s="76">
        <f t="shared" si="19"/>
        <v>0</v>
      </c>
    </row>
    <row r="80" spans="1:120" ht="18" customHeight="1" thickTop="1" x14ac:dyDescent="0.2">
      <c r="A80" s="596" t="s">
        <v>771</v>
      </c>
      <c r="B80" s="597"/>
      <c r="C80" s="72">
        <f t="shared" ref="C80:E80" si="20">C44*$B$44*C55</f>
        <v>0</v>
      </c>
      <c r="D80" s="98">
        <f t="shared" si="20"/>
        <v>0</v>
      </c>
      <c r="E80" s="72">
        <f t="shared" si="20"/>
        <v>0</v>
      </c>
    </row>
    <row r="81" spans="1:120" ht="18" customHeight="1" x14ac:dyDescent="0.2">
      <c r="A81" s="533" t="s">
        <v>772</v>
      </c>
      <c r="B81" s="592"/>
      <c r="C81" s="106">
        <f>VLOOKUP('ESTIMATE DATA ENTRY '!$C$1,'INITIAL SOF'!$B:$HD,194,FALSE)</f>
        <v>0</v>
      </c>
      <c r="D81" s="100">
        <f>IF(D8=0,0,'ESTIMATE DATA ENTRY '!C63)</f>
        <v>0</v>
      </c>
      <c r="E81" s="81">
        <f>'HB3 STATE AID'!E102</f>
        <v>0</v>
      </c>
    </row>
    <row r="82" spans="1:120" ht="14.25" x14ac:dyDescent="0.2">
      <c r="A82" s="594" t="s">
        <v>779</v>
      </c>
      <c r="B82" s="562"/>
      <c r="C82" s="106"/>
      <c r="D82" s="100"/>
      <c r="E82" s="81"/>
    </row>
    <row r="83" spans="1:120" s="58" customFormat="1" ht="14.25" x14ac:dyDescent="0.2">
      <c r="A83" s="563" t="s">
        <v>813</v>
      </c>
      <c r="B83" s="592"/>
      <c r="C83" s="106">
        <f>VLOOKUP('ESTIMATE DATA ENTRY '!$C$1,'INITIAL SOF'!B:HD,170,FALSE)</f>
        <v>0</v>
      </c>
      <c r="D83" s="96">
        <f>IF(D8=0,0,'ESTIMATE DATA ENTRY '!C71)</f>
        <v>0</v>
      </c>
      <c r="E83" s="296">
        <f>IF($A$2=0,0,VLOOKUP($A$2,'INITIAL SOF'!$B:$HD,52,FALSE))</f>
        <v>0</v>
      </c>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row>
    <row r="84" spans="1:120" s="58" customFormat="1" ht="14.25" x14ac:dyDescent="0.2">
      <c r="A84" s="563" t="s">
        <v>784</v>
      </c>
      <c r="B84" s="592"/>
      <c r="C84" s="106">
        <f>VLOOKUP('ESTIMATE DATA ENTRY '!$C$1,'INITIAL SOF'!B:HD,171,FALSE)</f>
        <v>0</v>
      </c>
      <c r="D84" s="96">
        <f>IF(D8=0,0,'ESTIMATE DATA ENTRY '!C72)</f>
        <v>0</v>
      </c>
      <c r="E84" s="297">
        <f>'HB3 STATE AID'!E99</f>
        <v>0</v>
      </c>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row>
    <row r="85" spans="1:120" s="58" customFormat="1" ht="14.25" x14ac:dyDescent="0.2">
      <c r="A85" s="563" t="s">
        <v>785</v>
      </c>
      <c r="B85" s="592"/>
      <c r="C85" s="106">
        <f>VLOOKUP('ESTIMATE DATA ENTRY '!$C$1,'INITIAL SOF'!B:HD,174,FALSE)</f>
        <v>0</v>
      </c>
      <c r="D85" s="96">
        <f>IF(D8=0,0,'ESTIMATE DATA ENTRY '!C73)</f>
        <v>0</v>
      </c>
      <c r="E85" s="297">
        <f>'HB3 STATE AID'!E100</f>
        <v>0</v>
      </c>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row>
    <row r="86" spans="1:120" ht="20.100000000000001" customHeight="1" thickBot="1" x14ac:dyDescent="0.25">
      <c r="A86" s="589" t="s">
        <v>773</v>
      </c>
      <c r="B86" s="593"/>
      <c r="C86" s="76">
        <f>SUM(C83:C85)</f>
        <v>0</v>
      </c>
      <c r="D86" s="97">
        <f t="shared" ref="D86:E86" si="21">SUM(D83:D85)</f>
        <v>0</v>
      </c>
      <c r="E86" s="76">
        <f t="shared" si="21"/>
        <v>0</v>
      </c>
    </row>
    <row r="87" spans="1:120" ht="18" customHeight="1" thickTop="1" x14ac:dyDescent="0.2">
      <c r="A87" s="596" t="s">
        <v>774</v>
      </c>
      <c r="B87" s="597"/>
      <c r="C87" s="81">
        <f t="shared" ref="C87:E87" si="22">IF(C8&gt;C9,C9*$B$9,C8*$B$9)</f>
        <v>0</v>
      </c>
      <c r="D87" s="100">
        <f t="shared" si="22"/>
        <v>0</v>
      </c>
      <c r="E87" s="81">
        <f t="shared" si="22"/>
        <v>0</v>
      </c>
    </row>
    <row r="88" spans="1:120" ht="20.100000000000001" customHeight="1" thickBot="1" x14ac:dyDescent="0.3">
      <c r="A88" s="586" t="s">
        <v>611</v>
      </c>
      <c r="B88" s="614"/>
      <c r="C88" s="107">
        <f>+C63+C70+C74+C75+C79+C80+C86+C87</f>
        <v>0</v>
      </c>
      <c r="D88" s="108">
        <f>+D63+D70+D74+D75+D79+D80+D86+D87</f>
        <v>0</v>
      </c>
      <c r="E88" s="107">
        <f>+E63+E70+E74+E75+E79+E80+E86+E87</f>
        <v>0</v>
      </c>
    </row>
    <row r="89" spans="1:120" ht="20.100000000000001" customHeight="1" thickTop="1" x14ac:dyDescent="0.2">
      <c r="A89" s="617" t="s">
        <v>473</v>
      </c>
      <c r="B89" s="600"/>
      <c r="C89" s="83"/>
      <c r="D89" s="101"/>
      <c r="E89" s="83"/>
    </row>
    <row r="90" spans="1:120" ht="18" customHeight="1" x14ac:dyDescent="0.2">
      <c r="A90" s="576" t="s">
        <v>775</v>
      </c>
      <c r="B90" s="595"/>
      <c r="C90" s="109">
        <f t="shared" ref="C90:E90" si="23">ROUND((C60*C46*C56*100),1)</f>
        <v>0</v>
      </c>
      <c r="D90" s="110">
        <f t="shared" si="23"/>
        <v>0</v>
      </c>
      <c r="E90" s="109">
        <f t="shared" si="23"/>
        <v>0</v>
      </c>
    </row>
    <row r="91" spans="1:120" ht="18" customHeight="1" x14ac:dyDescent="0.2">
      <c r="A91" s="576" t="s">
        <v>776</v>
      </c>
      <c r="B91" s="595"/>
      <c r="C91" s="83">
        <f t="shared" ref="C91:E91" si="24">ROUND((C61*C46*C57*100),1)</f>
        <v>0</v>
      </c>
      <c r="D91" s="101">
        <f t="shared" si="24"/>
        <v>0</v>
      </c>
      <c r="E91" s="83">
        <f t="shared" si="24"/>
        <v>0</v>
      </c>
    </row>
    <row r="92" spans="1:120" ht="20.100000000000001" customHeight="1" thickBot="1" x14ac:dyDescent="0.25">
      <c r="A92" s="578" t="s">
        <v>129</v>
      </c>
      <c r="B92" s="614"/>
      <c r="C92" s="84">
        <f>SUM(C90:C91)</f>
        <v>0</v>
      </c>
      <c r="D92" s="102">
        <f>SUM(D90:D91)</f>
        <v>0</v>
      </c>
      <c r="E92" s="84">
        <f t="shared" ref="E92" si="25">SUM(E90:E91)</f>
        <v>0</v>
      </c>
    </row>
    <row r="93" spans="1:120" ht="20.100000000000001" customHeight="1" thickTop="1" x14ac:dyDescent="0.2">
      <c r="A93" s="615" t="s">
        <v>12</v>
      </c>
      <c r="B93" s="616"/>
      <c r="C93" s="83"/>
      <c r="D93" s="101"/>
      <c r="E93" s="83"/>
    </row>
    <row r="94" spans="1:120" ht="18" customHeight="1" x14ac:dyDescent="0.2">
      <c r="A94" s="608" t="s">
        <v>777</v>
      </c>
      <c r="B94" s="609"/>
      <c r="C94" s="83">
        <f t="shared" ref="C94:E94" si="26">IF(C47="YES", IFERROR(ROUND((C8*C58*C59*100),1),0), 0)</f>
        <v>0</v>
      </c>
      <c r="D94" s="101">
        <f t="shared" si="26"/>
        <v>0</v>
      </c>
      <c r="E94" s="83">
        <f t="shared" si="26"/>
        <v>0</v>
      </c>
    </row>
    <row r="95" spans="1:120" ht="18" customHeight="1" x14ac:dyDescent="0.2">
      <c r="A95" s="608" t="s">
        <v>778</v>
      </c>
      <c r="B95" s="609"/>
      <c r="C95" s="83">
        <f t="shared" ref="C95" si="27">IF(C48="YES",C49*500+C50*250,0)</f>
        <v>0</v>
      </c>
      <c r="D95" s="101">
        <f t="shared" ref="D95:E95" si="28">IF(D8=0,0,D49*500+D50*250)</f>
        <v>0</v>
      </c>
      <c r="E95" s="83">
        <f t="shared" si="28"/>
        <v>0</v>
      </c>
    </row>
    <row r="96" spans="1:120" s="6" customFormat="1" ht="20.100000000000001" customHeight="1" thickBot="1" x14ac:dyDescent="0.25">
      <c r="A96" s="610" t="s">
        <v>484</v>
      </c>
      <c r="B96" s="611"/>
      <c r="C96" s="85">
        <f t="shared" ref="C96:E96" si="29">+C95+C94</f>
        <v>0</v>
      </c>
      <c r="D96" s="111">
        <f t="shared" si="29"/>
        <v>0</v>
      </c>
      <c r="E96" s="85">
        <f t="shared" si="29"/>
        <v>0</v>
      </c>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row>
    <row r="97" spans="1:120" s="60" customFormat="1" ht="30" customHeight="1" thickTop="1" thickBot="1" x14ac:dyDescent="0.3">
      <c r="A97" s="613" t="s">
        <v>577</v>
      </c>
      <c r="B97" s="613"/>
      <c r="C97" s="86">
        <f t="shared" ref="C97:E97" si="30">C88+C92+C96</f>
        <v>0</v>
      </c>
      <c r="D97" s="112">
        <f t="shared" si="30"/>
        <v>0</v>
      </c>
      <c r="E97" s="86">
        <f t="shared" si="30"/>
        <v>0</v>
      </c>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row>
    <row r="98" spans="1:120" ht="18" customHeight="1" thickTop="1" thickBot="1" x14ac:dyDescent="0.25">
      <c r="A98" s="555" t="s">
        <v>614</v>
      </c>
      <c r="B98" s="165" t="s">
        <v>612</v>
      </c>
      <c r="C98" s="87">
        <f t="shared" ref="C98:E98" si="31">C10*C52</f>
        <v>0</v>
      </c>
      <c r="D98" s="113">
        <f t="shared" si="31"/>
        <v>0</v>
      </c>
      <c r="E98" s="87">
        <f t="shared" si="31"/>
        <v>0</v>
      </c>
    </row>
    <row r="99" spans="1:120" ht="18" customHeight="1" thickTop="1" thickBot="1" x14ac:dyDescent="0.25">
      <c r="A99" s="612"/>
      <c r="B99" s="132" t="s">
        <v>613</v>
      </c>
      <c r="C99" s="88">
        <f>C97-C98</f>
        <v>0</v>
      </c>
      <c r="D99" s="114">
        <f t="shared" ref="D99:E99" si="32">D97-D98</f>
        <v>0</v>
      </c>
      <c r="E99" s="88">
        <f t="shared" si="32"/>
        <v>0</v>
      </c>
    </row>
    <row r="100" spans="1:120" ht="20.100000000000001" customHeight="1" thickTop="1" thickBot="1" x14ac:dyDescent="0.25">
      <c r="A100" s="607" t="s">
        <v>727</v>
      </c>
      <c r="B100" s="607"/>
      <c r="C100" s="274">
        <f>C88+C92+C96</f>
        <v>0</v>
      </c>
      <c r="D100" s="274">
        <f t="shared" ref="D100:E100" si="33">D88+D92+D96</f>
        <v>0</v>
      </c>
      <c r="E100" s="274">
        <f t="shared" si="33"/>
        <v>0</v>
      </c>
    </row>
    <row r="101" spans="1:120" ht="20.100000000000001" customHeight="1" thickTop="1" thickBot="1" x14ac:dyDescent="0.25">
      <c r="A101" s="607" t="s">
        <v>814</v>
      </c>
      <c r="B101" s="607"/>
      <c r="C101" s="274">
        <f>IFERROR(C100/C8,0)</f>
        <v>0</v>
      </c>
      <c r="D101" s="274">
        <f t="shared" ref="D101:E101" si="34">IFERROR(D100/D8,0)</f>
        <v>0</v>
      </c>
      <c r="E101" s="274">
        <f t="shared" si="34"/>
        <v>0</v>
      </c>
    </row>
    <row r="102" spans="1:120" s="7" customFormat="1" ht="20.100000000000001" customHeight="1" thickTop="1" x14ac:dyDescent="0.2">
      <c r="A102" s="10"/>
      <c r="B102" s="133"/>
    </row>
    <row r="103" spans="1:120" s="7" customFormat="1" ht="20.100000000000001" customHeight="1" x14ac:dyDescent="0.2">
      <c r="B103" s="133"/>
    </row>
    <row r="104" spans="1:120" s="7" customFormat="1" ht="20.100000000000001" customHeight="1" x14ac:dyDescent="0.2">
      <c r="A104" s="10"/>
      <c r="B104" s="133"/>
    </row>
    <row r="105" spans="1:120" s="7" customFormat="1" ht="20.100000000000001" customHeight="1" x14ac:dyDescent="0.2">
      <c r="A105" s="10"/>
      <c r="B105" s="133"/>
    </row>
    <row r="106" spans="1:120" s="7" customFormat="1" ht="20.100000000000001" customHeight="1" x14ac:dyDescent="0.2">
      <c r="A106" s="10"/>
      <c r="B106" s="133"/>
    </row>
    <row r="107" spans="1:120" s="7" customFormat="1" ht="20.100000000000001" customHeight="1" x14ac:dyDescent="0.2">
      <c r="A107" s="10"/>
      <c r="B107" s="133"/>
    </row>
    <row r="108" spans="1:120" s="7" customFormat="1" ht="20.100000000000001" customHeight="1" x14ac:dyDescent="0.2">
      <c r="A108" s="10"/>
      <c r="B108" s="133"/>
    </row>
    <row r="109" spans="1:120" s="7" customFormat="1" ht="20.100000000000001" customHeight="1" x14ac:dyDescent="0.2">
      <c r="A109" s="10"/>
      <c r="B109" s="133"/>
    </row>
    <row r="110" spans="1:120" s="7" customFormat="1" ht="20.100000000000001" customHeight="1" x14ac:dyDescent="0.2">
      <c r="A110" s="10"/>
      <c r="B110" s="133"/>
    </row>
    <row r="111" spans="1:120" s="7" customFormat="1" ht="20.100000000000001" customHeight="1" x14ac:dyDescent="0.2">
      <c r="A111" s="10"/>
      <c r="B111" s="133"/>
    </row>
    <row r="112" spans="1:120" s="7" customFormat="1" ht="20.100000000000001" customHeight="1" x14ac:dyDescent="0.2">
      <c r="A112" s="10"/>
      <c r="B112" s="133"/>
    </row>
    <row r="113" spans="1:2" s="7" customFormat="1" ht="20.100000000000001" customHeight="1" x14ac:dyDescent="0.2">
      <c r="A113" s="10"/>
      <c r="B113" s="133"/>
    </row>
    <row r="114" spans="1:2" s="7" customFormat="1" ht="20.100000000000001" customHeight="1" x14ac:dyDescent="0.2">
      <c r="A114" s="10"/>
      <c r="B114" s="133"/>
    </row>
    <row r="115" spans="1:2" s="7" customFormat="1" ht="20.100000000000001" customHeight="1" x14ac:dyDescent="0.2">
      <c r="A115" s="10"/>
      <c r="B115" s="133"/>
    </row>
    <row r="116" spans="1:2" s="7" customFormat="1" ht="20.100000000000001" customHeight="1" x14ac:dyDescent="0.2">
      <c r="A116" s="10"/>
      <c r="B116" s="133"/>
    </row>
    <row r="117" spans="1:2" s="7" customFormat="1" ht="20.100000000000001" customHeight="1" x14ac:dyDescent="0.2">
      <c r="A117" s="10"/>
      <c r="B117" s="133"/>
    </row>
    <row r="118" spans="1:2" s="7" customFormat="1" ht="20.100000000000001" customHeight="1" x14ac:dyDescent="0.2">
      <c r="A118" s="10"/>
      <c r="B118" s="133"/>
    </row>
    <row r="119" spans="1:2" s="7" customFormat="1" ht="20.100000000000001" customHeight="1" x14ac:dyDescent="0.2">
      <c r="A119" s="10"/>
      <c r="B119" s="133"/>
    </row>
    <row r="120" spans="1:2" s="7" customFormat="1" ht="20.100000000000001" customHeight="1" x14ac:dyDescent="0.2">
      <c r="A120" s="10"/>
      <c r="B120" s="133"/>
    </row>
    <row r="121" spans="1:2" s="7" customFormat="1" ht="20.100000000000001" customHeight="1" x14ac:dyDescent="0.2">
      <c r="A121" s="10"/>
      <c r="B121" s="133"/>
    </row>
    <row r="122" spans="1:2" s="7" customFormat="1" ht="20.100000000000001" customHeight="1" x14ac:dyDescent="0.2">
      <c r="A122" s="10"/>
      <c r="B122" s="133"/>
    </row>
    <row r="123" spans="1:2" s="7" customFormat="1" ht="20.100000000000001" customHeight="1" x14ac:dyDescent="0.2">
      <c r="A123" s="10"/>
      <c r="B123" s="133"/>
    </row>
    <row r="124" spans="1:2" s="7" customFormat="1" ht="20.100000000000001" customHeight="1" x14ac:dyDescent="0.2">
      <c r="A124" s="10"/>
      <c r="B124" s="133"/>
    </row>
    <row r="125" spans="1:2" s="7" customFormat="1" ht="20.100000000000001" customHeight="1" x14ac:dyDescent="0.2">
      <c r="A125" s="10"/>
      <c r="B125" s="133"/>
    </row>
    <row r="126" spans="1:2" s="7" customFormat="1" ht="20.100000000000001" customHeight="1" x14ac:dyDescent="0.2">
      <c r="A126" s="10"/>
      <c r="B126" s="133"/>
    </row>
    <row r="127" spans="1:2" s="7" customFormat="1" ht="20.100000000000001" customHeight="1" x14ac:dyDescent="0.2">
      <c r="A127" s="10"/>
      <c r="B127" s="133"/>
    </row>
    <row r="128" spans="1:2" s="7" customFormat="1" ht="20.100000000000001" customHeight="1" x14ac:dyDescent="0.2">
      <c r="A128" s="10"/>
      <c r="B128" s="133"/>
    </row>
    <row r="129" spans="1:2" s="7" customFormat="1" ht="20.100000000000001" customHeight="1" x14ac:dyDescent="0.2">
      <c r="A129" s="10"/>
      <c r="B129" s="133"/>
    </row>
    <row r="130" spans="1:2" s="7" customFormat="1" ht="20.100000000000001" customHeight="1" x14ac:dyDescent="0.2">
      <c r="A130" s="10"/>
      <c r="B130" s="133"/>
    </row>
    <row r="131" spans="1:2" s="7" customFormat="1" ht="20.100000000000001" customHeight="1" x14ac:dyDescent="0.2">
      <c r="A131" s="10"/>
      <c r="B131" s="133"/>
    </row>
    <row r="132" spans="1:2" s="7" customFormat="1" ht="20.100000000000001" customHeight="1" x14ac:dyDescent="0.2">
      <c r="A132" s="10"/>
      <c r="B132" s="133"/>
    </row>
    <row r="133" spans="1:2" s="7" customFormat="1" ht="20.100000000000001" customHeight="1" x14ac:dyDescent="0.2">
      <c r="A133" s="10"/>
      <c r="B133" s="133"/>
    </row>
    <row r="134" spans="1:2" s="7" customFormat="1" ht="20.100000000000001" customHeight="1" x14ac:dyDescent="0.2">
      <c r="A134" s="10"/>
      <c r="B134" s="133"/>
    </row>
    <row r="135" spans="1:2" s="7" customFormat="1" ht="20.100000000000001" customHeight="1" x14ac:dyDescent="0.2">
      <c r="A135" s="10"/>
      <c r="B135" s="133"/>
    </row>
    <row r="136" spans="1:2" s="7" customFormat="1" ht="20.100000000000001" customHeight="1" x14ac:dyDescent="0.2">
      <c r="A136" s="10"/>
      <c r="B136" s="133"/>
    </row>
    <row r="137" spans="1:2" s="7" customFormat="1" ht="20.100000000000001" customHeight="1" x14ac:dyDescent="0.2">
      <c r="A137" s="10"/>
      <c r="B137" s="133"/>
    </row>
    <row r="138" spans="1:2" s="7" customFormat="1" ht="20.100000000000001" customHeight="1" x14ac:dyDescent="0.2">
      <c r="A138" s="10"/>
      <c r="B138" s="133"/>
    </row>
    <row r="139" spans="1:2" s="7" customFormat="1" ht="20.100000000000001" customHeight="1" x14ac:dyDescent="0.2">
      <c r="A139" s="10"/>
      <c r="B139" s="133"/>
    </row>
    <row r="140" spans="1:2" s="7" customFormat="1" ht="20.100000000000001" customHeight="1" x14ac:dyDescent="0.2">
      <c r="A140" s="10"/>
      <c r="B140" s="133"/>
    </row>
    <row r="141" spans="1:2" s="7" customFormat="1" ht="20.100000000000001" customHeight="1" x14ac:dyDescent="0.2">
      <c r="A141" s="10"/>
      <c r="B141" s="133"/>
    </row>
    <row r="142" spans="1:2" s="7" customFormat="1" ht="20.100000000000001" customHeight="1" x14ac:dyDescent="0.2">
      <c r="A142" s="10"/>
      <c r="B142" s="133"/>
    </row>
    <row r="143" spans="1:2" s="7" customFormat="1" ht="20.100000000000001" customHeight="1" x14ac:dyDescent="0.2">
      <c r="A143" s="10"/>
      <c r="B143" s="133"/>
    </row>
    <row r="144" spans="1:2" s="7" customFormat="1" ht="20.100000000000001" customHeight="1" x14ac:dyDescent="0.2">
      <c r="A144" s="10"/>
      <c r="B144" s="133"/>
    </row>
    <row r="145" spans="1:2" s="7" customFormat="1" ht="20.100000000000001" customHeight="1" x14ac:dyDescent="0.2">
      <c r="A145" s="10"/>
      <c r="B145" s="133"/>
    </row>
    <row r="146" spans="1:2" s="7" customFormat="1" ht="20.100000000000001" customHeight="1" x14ac:dyDescent="0.2">
      <c r="A146" s="10"/>
      <c r="B146" s="133"/>
    </row>
    <row r="147" spans="1:2" s="7" customFormat="1" ht="20.100000000000001" customHeight="1" x14ac:dyDescent="0.2">
      <c r="A147" s="10"/>
      <c r="B147" s="133"/>
    </row>
    <row r="148" spans="1:2" s="7" customFormat="1" ht="20.100000000000001" customHeight="1" x14ac:dyDescent="0.2">
      <c r="A148" s="10"/>
      <c r="B148" s="133"/>
    </row>
    <row r="149" spans="1:2" s="7" customFormat="1" ht="20.100000000000001" customHeight="1" x14ac:dyDescent="0.2">
      <c r="A149" s="10"/>
      <c r="B149" s="133"/>
    </row>
    <row r="150" spans="1:2" s="7" customFormat="1" ht="20.100000000000001" customHeight="1" x14ac:dyDescent="0.2">
      <c r="A150" s="10"/>
      <c r="B150" s="133"/>
    </row>
    <row r="151" spans="1:2" s="7" customFormat="1" ht="20.100000000000001" customHeight="1" x14ac:dyDescent="0.2">
      <c r="A151" s="10"/>
      <c r="B151" s="133"/>
    </row>
    <row r="152" spans="1:2" s="7" customFormat="1" ht="20.100000000000001" customHeight="1" x14ac:dyDescent="0.2">
      <c r="A152" s="10"/>
      <c r="B152" s="133"/>
    </row>
    <row r="153" spans="1:2" s="7" customFormat="1" ht="20.100000000000001" customHeight="1" x14ac:dyDescent="0.2">
      <c r="A153" s="10"/>
      <c r="B153" s="133"/>
    </row>
    <row r="154" spans="1:2" s="7" customFormat="1" ht="20.100000000000001" customHeight="1" x14ac:dyDescent="0.2">
      <c r="A154" s="10"/>
      <c r="B154" s="133"/>
    </row>
    <row r="155" spans="1:2" s="7" customFormat="1" ht="20.100000000000001" customHeight="1" x14ac:dyDescent="0.2">
      <c r="A155" s="10"/>
      <c r="B155" s="133"/>
    </row>
    <row r="156" spans="1:2" s="7" customFormat="1" ht="20.100000000000001" customHeight="1" x14ac:dyDescent="0.2">
      <c r="A156" s="10"/>
      <c r="B156" s="133"/>
    </row>
    <row r="157" spans="1:2" s="7" customFormat="1" ht="20.100000000000001" customHeight="1" x14ac:dyDescent="0.2">
      <c r="A157" s="10"/>
      <c r="B157" s="133"/>
    </row>
    <row r="158" spans="1:2" s="7" customFormat="1" ht="20.100000000000001" customHeight="1" x14ac:dyDescent="0.2">
      <c r="A158" s="10"/>
      <c r="B158" s="133"/>
    </row>
    <row r="159" spans="1:2" s="7" customFormat="1" ht="20.100000000000001" customHeight="1" x14ac:dyDescent="0.2">
      <c r="A159" s="10"/>
      <c r="B159" s="133"/>
    </row>
    <row r="160" spans="1:2" s="7" customFormat="1" ht="20.100000000000001" customHeight="1" x14ac:dyDescent="0.2">
      <c r="A160" s="10"/>
      <c r="B160" s="133"/>
    </row>
    <row r="161" spans="1:2" s="7" customFormat="1" ht="20.100000000000001" customHeight="1" x14ac:dyDescent="0.2">
      <c r="A161" s="10"/>
      <c r="B161" s="133"/>
    </row>
    <row r="162" spans="1:2" s="7" customFormat="1" ht="20.100000000000001" customHeight="1" x14ac:dyDescent="0.2">
      <c r="A162" s="10"/>
      <c r="B162" s="133"/>
    </row>
    <row r="163" spans="1:2" s="7" customFormat="1" ht="20.100000000000001" customHeight="1" x14ac:dyDescent="0.2">
      <c r="A163" s="10"/>
      <c r="B163" s="133"/>
    </row>
    <row r="164" spans="1:2" s="7" customFormat="1" ht="20.100000000000001" customHeight="1" x14ac:dyDescent="0.2">
      <c r="A164" s="10"/>
      <c r="B164" s="133"/>
    </row>
    <row r="165" spans="1:2" s="7" customFormat="1" ht="20.100000000000001" customHeight="1" x14ac:dyDescent="0.2">
      <c r="A165" s="10"/>
      <c r="B165" s="133"/>
    </row>
    <row r="166" spans="1:2" s="7" customFormat="1" ht="20.100000000000001" customHeight="1" x14ac:dyDescent="0.2">
      <c r="A166" s="10"/>
      <c r="B166" s="133"/>
    </row>
    <row r="167" spans="1:2" s="7" customFormat="1" ht="20.100000000000001" customHeight="1" x14ac:dyDescent="0.2">
      <c r="A167" s="10"/>
      <c r="B167" s="133"/>
    </row>
    <row r="168" spans="1:2" s="7" customFormat="1" ht="20.100000000000001" customHeight="1" x14ac:dyDescent="0.2">
      <c r="A168" s="10"/>
      <c r="B168" s="133"/>
    </row>
    <row r="169" spans="1:2" s="7" customFormat="1" ht="20.100000000000001" customHeight="1" x14ac:dyDescent="0.2">
      <c r="A169" s="10"/>
      <c r="B169" s="133"/>
    </row>
    <row r="170" spans="1:2" s="7" customFormat="1" ht="20.100000000000001" customHeight="1" x14ac:dyDescent="0.2">
      <c r="A170" s="10"/>
      <c r="B170" s="133"/>
    </row>
    <row r="171" spans="1:2" s="7" customFormat="1" ht="20.100000000000001" customHeight="1" x14ac:dyDescent="0.2">
      <c r="A171" s="10"/>
      <c r="B171" s="133"/>
    </row>
    <row r="172" spans="1:2" s="7" customFormat="1" ht="20.100000000000001" customHeight="1" x14ac:dyDescent="0.2">
      <c r="A172" s="10"/>
      <c r="B172" s="133"/>
    </row>
    <row r="173" spans="1:2" s="7" customFormat="1" ht="20.100000000000001" customHeight="1" x14ac:dyDescent="0.2">
      <c r="A173" s="10"/>
      <c r="B173" s="133"/>
    </row>
    <row r="174" spans="1:2" s="7" customFormat="1" ht="20.100000000000001" customHeight="1" x14ac:dyDescent="0.2">
      <c r="A174" s="10"/>
      <c r="B174" s="133"/>
    </row>
    <row r="175" spans="1:2" s="7" customFormat="1" ht="20.100000000000001" customHeight="1" x14ac:dyDescent="0.2">
      <c r="A175" s="10"/>
      <c r="B175" s="133"/>
    </row>
    <row r="176" spans="1:2" s="7" customFormat="1" ht="20.100000000000001" customHeight="1" x14ac:dyDescent="0.2">
      <c r="A176" s="10"/>
      <c r="B176" s="133"/>
    </row>
    <row r="177" spans="1:2" s="7" customFormat="1" ht="20.100000000000001" customHeight="1" x14ac:dyDescent="0.2">
      <c r="A177" s="10"/>
      <c r="B177" s="133"/>
    </row>
    <row r="178" spans="1:2" s="7" customFormat="1" ht="20.100000000000001" customHeight="1" x14ac:dyDescent="0.2">
      <c r="A178" s="10"/>
      <c r="B178" s="133"/>
    </row>
    <row r="179" spans="1:2" s="7" customFormat="1" ht="20.100000000000001" customHeight="1" x14ac:dyDescent="0.2">
      <c r="A179" s="10"/>
      <c r="B179" s="133"/>
    </row>
    <row r="180" spans="1:2" s="7" customFormat="1" ht="20.100000000000001" customHeight="1" x14ac:dyDescent="0.2">
      <c r="A180" s="10"/>
      <c r="B180" s="133"/>
    </row>
    <row r="181" spans="1:2" s="7" customFormat="1" ht="20.100000000000001" customHeight="1" x14ac:dyDescent="0.2">
      <c r="A181" s="10"/>
      <c r="B181" s="133"/>
    </row>
    <row r="182" spans="1:2" s="7" customFormat="1" ht="20.100000000000001" customHeight="1" x14ac:dyDescent="0.2">
      <c r="A182" s="10"/>
      <c r="B182" s="133"/>
    </row>
    <row r="183" spans="1:2" s="7" customFormat="1" ht="20.100000000000001" customHeight="1" x14ac:dyDescent="0.2">
      <c r="A183" s="10"/>
      <c r="B183" s="133"/>
    </row>
    <row r="184" spans="1:2" s="7" customFormat="1" ht="20.100000000000001" customHeight="1" x14ac:dyDescent="0.2">
      <c r="A184" s="10"/>
      <c r="B184" s="133"/>
    </row>
    <row r="185" spans="1:2" s="7" customFormat="1" ht="20.100000000000001" customHeight="1" x14ac:dyDescent="0.2">
      <c r="A185" s="10"/>
      <c r="B185" s="133"/>
    </row>
    <row r="186" spans="1:2" s="7" customFormat="1" ht="20.100000000000001" customHeight="1" x14ac:dyDescent="0.2">
      <c r="A186" s="10"/>
      <c r="B186" s="133"/>
    </row>
    <row r="187" spans="1:2" s="7" customFormat="1" ht="20.100000000000001" customHeight="1" x14ac:dyDescent="0.2">
      <c r="A187" s="10"/>
      <c r="B187" s="133"/>
    </row>
    <row r="188" spans="1:2" s="7" customFormat="1" ht="20.100000000000001" customHeight="1" x14ac:dyDescent="0.2">
      <c r="A188" s="10"/>
      <c r="B188" s="133"/>
    </row>
    <row r="189" spans="1:2" s="7" customFormat="1" ht="20.100000000000001" customHeight="1" x14ac:dyDescent="0.2">
      <c r="A189" s="10"/>
      <c r="B189" s="133"/>
    </row>
    <row r="190" spans="1:2" s="7" customFormat="1" ht="20.100000000000001" customHeight="1" x14ac:dyDescent="0.2">
      <c r="A190" s="10"/>
      <c r="B190" s="133"/>
    </row>
    <row r="191" spans="1:2" s="7" customFormat="1" ht="20.100000000000001" customHeight="1" x14ac:dyDescent="0.2">
      <c r="A191" s="10"/>
      <c r="B191" s="133"/>
    </row>
    <row r="192" spans="1:2" s="7" customFormat="1" ht="20.100000000000001" customHeight="1" x14ac:dyDescent="0.2">
      <c r="A192" s="10"/>
      <c r="B192" s="133"/>
    </row>
    <row r="193" spans="1:2" s="7" customFormat="1" ht="20.100000000000001" customHeight="1" x14ac:dyDescent="0.2">
      <c r="A193" s="10"/>
      <c r="B193" s="133"/>
    </row>
    <row r="194" spans="1:2" s="7" customFormat="1" ht="20.100000000000001" customHeight="1" x14ac:dyDescent="0.2">
      <c r="A194" s="10"/>
      <c r="B194" s="133"/>
    </row>
    <row r="195" spans="1:2" s="7" customFormat="1" ht="20.100000000000001" customHeight="1" x14ac:dyDescent="0.2">
      <c r="A195" s="10"/>
      <c r="B195" s="133"/>
    </row>
    <row r="196" spans="1:2" s="7" customFormat="1" ht="20.100000000000001" customHeight="1" x14ac:dyDescent="0.2">
      <c r="A196" s="10"/>
      <c r="B196" s="133"/>
    </row>
    <row r="197" spans="1:2" s="7" customFormat="1" ht="20.100000000000001" customHeight="1" x14ac:dyDescent="0.2">
      <c r="A197" s="10"/>
      <c r="B197" s="133"/>
    </row>
    <row r="198" spans="1:2" s="7" customFormat="1" ht="20.100000000000001" customHeight="1" x14ac:dyDescent="0.2">
      <c r="A198" s="10"/>
      <c r="B198" s="133"/>
    </row>
    <row r="199" spans="1:2" s="7" customFormat="1" ht="20.100000000000001" customHeight="1" x14ac:dyDescent="0.2">
      <c r="A199" s="10"/>
      <c r="B199" s="133"/>
    </row>
    <row r="200" spans="1:2" s="7" customFormat="1" ht="20.100000000000001" customHeight="1" x14ac:dyDescent="0.2">
      <c r="A200" s="10"/>
      <c r="B200" s="133"/>
    </row>
    <row r="201" spans="1:2" s="7" customFormat="1" ht="20.100000000000001" customHeight="1" x14ac:dyDescent="0.2">
      <c r="A201" s="10"/>
      <c r="B201" s="133"/>
    </row>
    <row r="202" spans="1:2" s="7" customFormat="1" ht="20.100000000000001" customHeight="1" x14ac:dyDescent="0.2">
      <c r="A202" s="10"/>
      <c r="B202" s="133"/>
    </row>
    <row r="203" spans="1:2" s="7" customFormat="1" ht="20.100000000000001" customHeight="1" x14ac:dyDescent="0.2">
      <c r="A203" s="10"/>
      <c r="B203" s="133"/>
    </row>
    <row r="204" spans="1:2" s="7" customFormat="1" ht="20.100000000000001" customHeight="1" x14ac:dyDescent="0.2">
      <c r="A204" s="10"/>
      <c r="B204" s="133"/>
    </row>
    <row r="205" spans="1:2" s="7" customFormat="1" ht="20.100000000000001" customHeight="1" x14ac:dyDescent="0.2">
      <c r="A205" s="10"/>
      <c r="B205" s="133"/>
    </row>
    <row r="206" spans="1:2" s="7" customFormat="1" ht="20.100000000000001" customHeight="1" x14ac:dyDescent="0.2">
      <c r="A206" s="10"/>
      <c r="B206" s="133"/>
    </row>
    <row r="207" spans="1:2" s="7" customFormat="1" ht="20.100000000000001" customHeight="1" x14ac:dyDescent="0.2">
      <c r="A207" s="10"/>
      <c r="B207" s="133"/>
    </row>
    <row r="208" spans="1:2" s="7" customFormat="1" ht="20.100000000000001" customHeight="1" x14ac:dyDescent="0.2">
      <c r="A208" s="10"/>
      <c r="B208" s="133"/>
    </row>
    <row r="209" spans="1:2" s="7" customFormat="1" ht="20.100000000000001" customHeight="1" x14ac:dyDescent="0.2">
      <c r="A209" s="10"/>
      <c r="B209" s="133"/>
    </row>
    <row r="210" spans="1:2" s="7" customFormat="1" ht="20.100000000000001" customHeight="1" x14ac:dyDescent="0.2">
      <c r="A210" s="10"/>
      <c r="B210" s="133"/>
    </row>
    <row r="211" spans="1:2" s="7" customFormat="1" ht="20.100000000000001" customHeight="1" x14ac:dyDescent="0.2">
      <c r="A211" s="10"/>
      <c r="B211" s="133"/>
    </row>
    <row r="212" spans="1:2" s="7" customFormat="1" ht="20.100000000000001" customHeight="1" x14ac:dyDescent="0.2">
      <c r="A212" s="10"/>
      <c r="B212" s="133"/>
    </row>
    <row r="213" spans="1:2" s="7" customFormat="1" ht="20.100000000000001" customHeight="1" x14ac:dyDescent="0.2">
      <c r="A213" s="10"/>
      <c r="B213" s="133"/>
    </row>
    <row r="214" spans="1:2" s="7" customFormat="1" ht="20.100000000000001" customHeight="1" x14ac:dyDescent="0.2">
      <c r="A214" s="10"/>
      <c r="B214" s="133"/>
    </row>
    <row r="215" spans="1:2" s="7" customFormat="1" ht="20.100000000000001" customHeight="1" x14ac:dyDescent="0.2">
      <c r="A215" s="10"/>
      <c r="B215" s="133"/>
    </row>
    <row r="216" spans="1:2" s="7" customFormat="1" ht="20.100000000000001" customHeight="1" x14ac:dyDescent="0.2">
      <c r="A216" s="10"/>
      <c r="B216" s="133"/>
    </row>
    <row r="217" spans="1:2" s="7" customFormat="1" ht="20.100000000000001" customHeight="1" x14ac:dyDescent="0.2">
      <c r="A217" s="10"/>
      <c r="B217" s="133"/>
    </row>
    <row r="218" spans="1:2" s="7" customFormat="1" ht="20.100000000000001" customHeight="1" x14ac:dyDescent="0.2">
      <c r="A218" s="10"/>
      <c r="B218" s="133"/>
    </row>
    <row r="219" spans="1:2" s="7" customFormat="1" ht="20.100000000000001" customHeight="1" x14ac:dyDescent="0.2">
      <c r="A219" s="10"/>
      <c r="B219" s="133"/>
    </row>
    <row r="220" spans="1:2" s="7" customFormat="1" ht="20.100000000000001" customHeight="1" x14ac:dyDescent="0.2">
      <c r="A220" s="10"/>
      <c r="B220" s="133"/>
    </row>
    <row r="221" spans="1:2" s="7" customFormat="1" ht="20.100000000000001" customHeight="1" x14ac:dyDescent="0.2">
      <c r="A221" s="10"/>
      <c r="B221" s="133"/>
    </row>
    <row r="222" spans="1:2" s="7" customFormat="1" ht="20.100000000000001" customHeight="1" x14ac:dyDescent="0.2">
      <c r="A222" s="10"/>
      <c r="B222" s="133"/>
    </row>
    <row r="223" spans="1:2" s="7" customFormat="1" ht="20.100000000000001" customHeight="1" x14ac:dyDescent="0.2">
      <c r="A223" s="10"/>
      <c r="B223" s="133"/>
    </row>
    <row r="224" spans="1:2" s="7" customFormat="1" ht="20.100000000000001" customHeight="1" x14ac:dyDescent="0.2">
      <c r="A224" s="10"/>
      <c r="B224" s="133"/>
    </row>
    <row r="225" spans="1:2" s="7" customFormat="1" ht="20.100000000000001" customHeight="1" x14ac:dyDescent="0.2">
      <c r="A225" s="10"/>
      <c r="B225" s="133"/>
    </row>
    <row r="226" spans="1:2" s="7" customFormat="1" ht="20.100000000000001" customHeight="1" x14ac:dyDescent="0.2">
      <c r="A226" s="10"/>
      <c r="B226" s="133"/>
    </row>
    <row r="227" spans="1:2" s="7" customFormat="1" ht="20.100000000000001" customHeight="1" x14ac:dyDescent="0.2">
      <c r="A227" s="10"/>
      <c r="B227" s="133"/>
    </row>
    <row r="228" spans="1:2" s="7" customFormat="1" ht="20.100000000000001" customHeight="1" x14ac:dyDescent="0.2">
      <c r="A228" s="10"/>
      <c r="B228" s="133"/>
    </row>
    <row r="229" spans="1:2" s="7" customFormat="1" ht="20.100000000000001" customHeight="1" x14ac:dyDescent="0.2">
      <c r="A229" s="10"/>
      <c r="B229" s="133"/>
    </row>
    <row r="230" spans="1:2" s="7" customFormat="1" ht="20.100000000000001" customHeight="1" x14ac:dyDescent="0.2">
      <c r="A230" s="10"/>
      <c r="B230" s="133"/>
    </row>
    <row r="231" spans="1:2" s="7" customFormat="1" ht="20.100000000000001" customHeight="1" x14ac:dyDescent="0.2">
      <c r="A231" s="10"/>
      <c r="B231" s="133"/>
    </row>
    <row r="232" spans="1:2" s="7" customFormat="1" ht="20.100000000000001" customHeight="1" x14ac:dyDescent="0.2">
      <c r="A232" s="10"/>
      <c r="B232" s="133"/>
    </row>
    <row r="233" spans="1:2" s="7" customFormat="1" ht="20.100000000000001" customHeight="1" x14ac:dyDescent="0.2">
      <c r="A233" s="10"/>
      <c r="B233" s="133"/>
    </row>
    <row r="234" spans="1:2" s="7" customFormat="1" ht="20.100000000000001" customHeight="1" x14ac:dyDescent="0.2">
      <c r="A234" s="10"/>
      <c r="B234" s="133"/>
    </row>
    <row r="235" spans="1:2" s="7" customFormat="1" ht="20.100000000000001" customHeight="1" x14ac:dyDescent="0.2">
      <c r="A235" s="10"/>
      <c r="B235" s="133"/>
    </row>
    <row r="236" spans="1:2" s="7" customFormat="1" ht="20.100000000000001" customHeight="1" x14ac:dyDescent="0.2">
      <c r="A236" s="10"/>
      <c r="B236" s="133"/>
    </row>
    <row r="237" spans="1:2" s="7" customFormat="1" ht="20.100000000000001" customHeight="1" x14ac:dyDescent="0.2">
      <c r="A237" s="10"/>
      <c r="B237" s="133"/>
    </row>
    <row r="238" spans="1:2" s="7" customFormat="1" ht="20.100000000000001" customHeight="1" x14ac:dyDescent="0.2">
      <c r="A238" s="10"/>
      <c r="B238" s="133"/>
    </row>
    <row r="239" spans="1:2" s="7" customFormat="1" ht="20.100000000000001" customHeight="1" x14ac:dyDescent="0.2">
      <c r="A239" s="10"/>
      <c r="B239" s="133"/>
    </row>
    <row r="240" spans="1:2" s="7" customFormat="1" ht="20.100000000000001" customHeight="1" x14ac:dyDescent="0.2">
      <c r="A240" s="10"/>
      <c r="B240" s="133"/>
    </row>
    <row r="241" spans="1:2" s="7" customFormat="1" ht="20.100000000000001" customHeight="1" x14ac:dyDescent="0.2">
      <c r="A241" s="10"/>
      <c r="B241" s="133"/>
    </row>
    <row r="242" spans="1:2" s="7" customFormat="1" ht="20.100000000000001" customHeight="1" x14ac:dyDescent="0.2">
      <c r="A242" s="10"/>
      <c r="B242" s="133"/>
    </row>
    <row r="243" spans="1:2" s="7" customFormat="1" ht="20.100000000000001" customHeight="1" x14ac:dyDescent="0.2">
      <c r="A243" s="10"/>
      <c r="B243" s="133"/>
    </row>
    <row r="244" spans="1:2" s="7" customFormat="1" ht="20.100000000000001" customHeight="1" x14ac:dyDescent="0.2">
      <c r="A244" s="10"/>
      <c r="B244" s="133"/>
    </row>
    <row r="245" spans="1:2" s="7" customFormat="1" ht="20.100000000000001" customHeight="1" x14ac:dyDescent="0.2">
      <c r="A245" s="10"/>
      <c r="B245" s="133"/>
    </row>
    <row r="246" spans="1:2" s="7" customFormat="1" ht="20.100000000000001" customHeight="1" x14ac:dyDescent="0.2">
      <c r="A246" s="10"/>
      <c r="B246" s="133"/>
    </row>
    <row r="247" spans="1:2" s="7" customFormat="1" ht="20.100000000000001" customHeight="1" x14ac:dyDescent="0.2">
      <c r="A247" s="10"/>
      <c r="B247" s="133"/>
    </row>
    <row r="248" spans="1:2" s="7" customFormat="1" ht="20.100000000000001" customHeight="1" x14ac:dyDescent="0.2">
      <c r="A248" s="10"/>
      <c r="B248" s="133"/>
    </row>
    <row r="249" spans="1:2" s="7" customFormat="1" ht="20.100000000000001" customHeight="1" x14ac:dyDescent="0.2">
      <c r="A249" s="10"/>
      <c r="B249" s="133"/>
    </row>
    <row r="250" spans="1:2" s="7" customFormat="1" ht="20.100000000000001" customHeight="1" x14ac:dyDescent="0.2">
      <c r="A250" s="10"/>
      <c r="B250" s="133"/>
    </row>
    <row r="251" spans="1:2" s="7" customFormat="1" ht="20.100000000000001" customHeight="1" x14ac:dyDescent="0.2">
      <c r="A251" s="10"/>
      <c r="B251" s="133"/>
    </row>
    <row r="252" spans="1:2" s="7" customFormat="1" ht="20.100000000000001" customHeight="1" x14ac:dyDescent="0.2">
      <c r="A252" s="10"/>
      <c r="B252" s="133"/>
    </row>
    <row r="253" spans="1:2" s="7" customFormat="1" ht="20.100000000000001" customHeight="1" x14ac:dyDescent="0.2">
      <c r="A253" s="10"/>
      <c r="B253" s="133"/>
    </row>
    <row r="254" spans="1:2" s="7" customFormat="1" ht="20.100000000000001" customHeight="1" x14ac:dyDescent="0.2">
      <c r="A254" s="10"/>
      <c r="B254" s="133"/>
    </row>
    <row r="255" spans="1:2" s="7" customFormat="1" ht="20.100000000000001" customHeight="1" x14ac:dyDescent="0.2">
      <c r="A255" s="10"/>
      <c r="B255" s="133"/>
    </row>
    <row r="256" spans="1:2" s="7" customFormat="1" ht="20.100000000000001" customHeight="1" x14ac:dyDescent="0.2">
      <c r="A256" s="10"/>
      <c r="B256" s="133"/>
    </row>
    <row r="257" spans="1:2" s="7" customFormat="1" ht="20.100000000000001" customHeight="1" x14ac:dyDescent="0.2">
      <c r="A257" s="10"/>
      <c r="B257" s="133"/>
    </row>
    <row r="258" spans="1:2" s="7" customFormat="1" ht="20.100000000000001" customHeight="1" x14ac:dyDescent="0.2">
      <c r="A258" s="10"/>
      <c r="B258" s="133"/>
    </row>
    <row r="259" spans="1:2" s="7" customFormat="1" ht="20.100000000000001" customHeight="1" x14ac:dyDescent="0.2">
      <c r="A259" s="10"/>
      <c r="B259" s="133"/>
    </row>
    <row r="260" spans="1:2" s="7" customFormat="1" ht="20.100000000000001" customHeight="1" x14ac:dyDescent="0.2">
      <c r="A260" s="10"/>
      <c r="B260" s="133"/>
    </row>
    <row r="261" spans="1:2" s="7" customFormat="1" ht="20.100000000000001" customHeight="1" x14ac:dyDescent="0.2">
      <c r="A261" s="10"/>
      <c r="B261" s="133"/>
    </row>
    <row r="262" spans="1:2" s="7" customFormat="1" ht="20.100000000000001" customHeight="1" x14ac:dyDescent="0.2">
      <c r="A262" s="10"/>
      <c r="B262" s="133"/>
    </row>
    <row r="263" spans="1:2" s="7" customFormat="1" ht="20.100000000000001" customHeight="1" x14ac:dyDescent="0.2">
      <c r="A263" s="10"/>
      <c r="B263" s="133"/>
    </row>
    <row r="264" spans="1:2" s="7" customFormat="1" ht="20.100000000000001" customHeight="1" x14ac:dyDescent="0.2">
      <c r="A264" s="10"/>
      <c r="B264" s="133"/>
    </row>
    <row r="265" spans="1:2" s="7" customFormat="1" ht="20.100000000000001" customHeight="1" x14ac:dyDescent="0.2">
      <c r="A265" s="10"/>
      <c r="B265" s="133"/>
    </row>
    <row r="266" spans="1:2" s="7" customFormat="1" ht="20.100000000000001" customHeight="1" x14ac:dyDescent="0.2">
      <c r="A266" s="10"/>
      <c r="B266" s="133"/>
    </row>
    <row r="267" spans="1:2" s="7" customFormat="1" ht="20.100000000000001" customHeight="1" x14ac:dyDescent="0.2">
      <c r="A267" s="10"/>
      <c r="B267" s="133"/>
    </row>
    <row r="268" spans="1:2" s="7" customFormat="1" ht="20.100000000000001" customHeight="1" x14ac:dyDescent="0.2">
      <c r="A268" s="10"/>
      <c r="B268" s="133"/>
    </row>
    <row r="269" spans="1:2" s="7" customFormat="1" ht="20.100000000000001" customHeight="1" x14ac:dyDescent="0.2">
      <c r="A269" s="10"/>
      <c r="B269" s="133"/>
    </row>
    <row r="270" spans="1:2" s="7" customFormat="1" ht="20.100000000000001" customHeight="1" x14ac:dyDescent="0.2">
      <c r="A270" s="10"/>
      <c r="B270" s="133"/>
    </row>
    <row r="271" spans="1:2" s="7" customFormat="1" ht="20.100000000000001" customHeight="1" x14ac:dyDescent="0.2">
      <c r="A271" s="10"/>
      <c r="B271" s="133"/>
    </row>
    <row r="272" spans="1:2" s="7" customFormat="1" ht="20.100000000000001" customHeight="1" x14ac:dyDescent="0.2">
      <c r="A272" s="10"/>
      <c r="B272" s="133"/>
    </row>
    <row r="273" spans="1:2" s="7" customFormat="1" ht="20.100000000000001" customHeight="1" x14ac:dyDescent="0.2">
      <c r="A273" s="10"/>
      <c r="B273" s="133"/>
    </row>
    <row r="274" spans="1:2" s="7" customFormat="1" ht="20.100000000000001" customHeight="1" x14ac:dyDescent="0.2">
      <c r="A274" s="10"/>
      <c r="B274" s="133"/>
    </row>
    <row r="275" spans="1:2" s="7" customFormat="1" ht="20.100000000000001" customHeight="1" x14ac:dyDescent="0.2">
      <c r="A275" s="10"/>
      <c r="B275" s="133"/>
    </row>
    <row r="276" spans="1:2" s="7" customFormat="1" ht="20.100000000000001" customHeight="1" x14ac:dyDescent="0.2">
      <c r="A276" s="10"/>
      <c r="B276" s="133"/>
    </row>
    <row r="277" spans="1:2" s="7" customFormat="1" ht="20.100000000000001" customHeight="1" x14ac:dyDescent="0.2">
      <c r="A277" s="10"/>
      <c r="B277" s="133"/>
    </row>
    <row r="278" spans="1:2" s="7" customFormat="1" ht="20.100000000000001" customHeight="1" x14ac:dyDescent="0.2">
      <c r="A278" s="10"/>
      <c r="B278" s="133"/>
    </row>
    <row r="279" spans="1:2" s="7" customFormat="1" ht="20.100000000000001" customHeight="1" x14ac:dyDescent="0.2">
      <c r="A279" s="10"/>
      <c r="B279" s="133"/>
    </row>
    <row r="280" spans="1:2" s="7" customFormat="1" ht="20.100000000000001" customHeight="1" x14ac:dyDescent="0.2">
      <c r="A280" s="10"/>
      <c r="B280" s="133"/>
    </row>
    <row r="281" spans="1:2" s="7" customFormat="1" ht="20.100000000000001" customHeight="1" x14ac:dyDescent="0.2">
      <c r="A281" s="10"/>
      <c r="B281" s="133"/>
    </row>
    <row r="282" spans="1:2" s="7" customFormat="1" ht="20.100000000000001" customHeight="1" x14ac:dyDescent="0.2">
      <c r="A282" s="10"/>
      <c r="B282" s="133"/>
    </row>
    <row r="283" spans="1:2" s="7" customFormat="1" ht="20.100000000000001" customHeight="1" x14ac:dyDescent="0.2">
      <c r="A283" s="10"/>
      <c r="B283" s="133"/>
    </row>
    <row r="284" spans="1:2" s="7" customFormat="1" ht="20.100000000000001" customHeight="1" x14ac:dyDescent="0.2">
      <c r="A284" s="10"/>
      <c r="B284" s="133"/>
    </row>
    <row r="285" spans="1:2" s="7" customFormat="1" ht="20.100000000000001" customHeight="1" x14ac:dyDescent="0.2">
      <c r="A285" s="10"/>
      <c r="B285" s="133"/>
    </row>
    <row r="286" spans="1:2" s="7" customFormat="1" ht="20.100000000000001" customHeight="1" x14ac:dyDescent="0.2">
      <c r="A286" s="10"/>
      <c r="B286" s="133"/>
    </row>
    <row r="287" spans="1:2" s="7" customFormat="1" ht="20.100000000000001" customHeight="1" x14ac:dyDescent="0.2">
      <c r="A287" s="10"/>
      <c r="B287" s="133"/>
    </row>
    <row r="288" spans="1:2" s="7" customFormat="1" ht="20.100000000000001" customHeight="1" x14ac:dyDescent="0.2">
      <c r="A288" s="10"/>
      <c r="B288" s="133"/>
    </row>
    <row r="289" spans="1:2" s="7" customFormat="1" ht="20.100000000000001" customHeight="1" x14ac:dyDescent="0.2">
      <c r="A289" s="10"/>
      <c r="B289" s="133"/>
    </row>
    <row r="290" spans="1:2" s="7" customFormat="1" ht="20.100000000000001" customHeight="1" x14ac:dyDescent="0.2">
      <c r="A290" s="10"/>
      <c r="B290" s="133"/>
    </row>
    <row r="291" spans="1:2" s="7" customFormat="1" ht="20.100000000000001" customHeight="1" x14ac:dyDescent="0.2">
      <c r="A291" s="10"/>
      <c r="B291" s="133"/>
    </row>
    <row r="292" spans="1:2" s="7" customFormat="1" ht="20.100000000000001" customHeight="1" x14ac:dyDescent="0.2">
      <c r="A292" s="10"/>
      <c r="B292" s="133"/>
    </row>
    <row r="293" spans="1:2" s="7" customFormat="1" ht="20.100000000000001" customHeight="1" x14ac:dyDescent="0.2">
      <c r="A293" s="10"/>
      <c r="B293" s="133"/>
    </row>
    <row r="294" spans="1:2" s="7" customFormat="1" ht="20.100000000000001" customHeight="1" x14ac:dyDescent="0.2">
      <c r="A294" s="10"/>
      <c r="B294" s="133"/>
    </row>
    <row r="295" spans="1:2" s="7" customFormat="1" ht="20.100000000000001" customHeight="1" x14ac:dyDescent="0.2">
      <c r="A295" s="10"/>
      <c r="B295" s="133"/>
    </row>
    <row r="296" spans="1:2" s="7" customFormat="1" ht="20.100000000000001" customHeight="1" x14ac:dyDescent="0.2">
      <c r="A296" s="10"/>
      <c r="B296" s="133"/>
    </row>
    <row r="297" spans="1:2" s="7" customFormat="1" ht="20.100000000000001" customHeight="1" x14ac:dyDescent="0.2">
      <c r="A297" s="10"/>
      <c r="B297" s="133"/>
    </row>
    <row r="298" spans="1:2" s="7" customFormat="1" ht="20.100000000000001" customHeight="1" x14ac:dyDescent="0.2">
      <c r="A298" s="10"/>
      <c r="B298" s="133"/>
    </row>
    <row r="299" spans="1:2" s="7" customFormat="1" ht="20.100000000000001" customHeight="1" x14ac:dyDescent="0.2">
      <c r="A299" s="10"/>
      <c r="B299" s="133"/>
    </row>
    <row r="300" spans="1:2" s="7" customFormat="1" ht="20.100000000000001" customHeight="1" x14ac:dyDescent="0.2">
      <c r="A300" s="10"/>
      <c r="B300" s="133"/>
    </row>
    <row r="301" spans="1:2" s="7" customFormat="1" ht="20.100000000000001" customHeight="1" x14ac:dyDescent="0.2">
      <c r="A301" s="10"/>
      <c r="B301" s="133"/>
    </row>
    <row r="302" spans="1:2" s="7" customFormat="1" ht="20.100000000000001" customHeight="1" x14ac:dyDescent="0.2">
      <c r="A302" s="10"/>
      <c r="B302" s="133"/>
    </row>
    <row r="303" spans="1:2" s="7" customFormat="1" ht="20.100000000000001" customHeight="1" x14ac:dyDescent="0.2">
      <c r="A303" s="10"/>
      <c r="B303" s="133"/>
    </row>
    <row r="304" spans="1:2" s="7" customFormat="1" ht="20.100000000000001" customHeight="1" x14ac:dyDescent="0.2">
      <c r="A304" s="10"/>
      <c r="B304" s="133"/>
    </row>
    <row r="305" spans="1:2" s="7" customFormat="1" ht="20.100000000000001" customHeight="1" x14ac:dyDescent="0.2">
      <c r="A305" s="10"/>
      <c r="B305" s="133"/>
    </row>
    <row r="306" spans="1:2" s="7" customFormat="1" ht="20.100000000000001" customHeight="1" x14ac:dyDescent="0.2">
      <c r="A306" s="10"/>
      <c r="B306" s="133"/>
    </row>
    <row r="307" spans="1:2" s="7" customFormat="1" ht="20.100000000000001" customHeight="1" x14ac:dyDescent="0.2">
      <c r="A307" s="10"/>
      <c r="B307" s="133"/>
    </row>
    <row r="308" spans="1:2" s="7" customFormat="1" ht="20.100000000000001" customHeight="1" x14ac:dyDescent="0.2">
      <c r="A308" s="10"/>
      <c r="B308" s="133"/>
    </row>
    <row r="309" spans="1:2" s="7" customFormat="1" ht="20.100000000000001" customHeight="1" x14ac:dyDescent="0.2">
      <c r="A309" s="10"/>
      <c r="B309" s="133"/>
    </row>
    <row r="310" spans="1:2" s="7" customFormat="1" ht="20.100000000000001" customHeight="1" x14ac:dyDescent="0.2">
      <c r="A310" s="10"/>
      <c r="B310" s="133"/>
    </row>
    <row r="311" spans="1:2" s="7" customFormat="1" ht="20.100000000000001" customHeight="1" x14ac:dyDescent="0.2">
      <c r="A311" s="10"/>
      <c r="B311" s="133"/>
    </row>
    <row r="312" spans="1:2" s="7" customFormat="1" ht="20.100000000000001" customHeight="1" x14ac:dyDescent="0.2">
      <c r="A312" s="10"/>
      <c r="B312" s="133"/>
    </row>
    <row r="313" spans="1:2" s="7" customFormat="1" ht="20.100000000000001" customHeight="1" x14ac:dyDescent="0.2">
      <c r="A313" s="10"/>
      <c r="B313" s="133"/>
    </row>
    <row r="314" spans="1:2" s="7" customFormat="1" ht="20.100000000000001" customHeight="1" x14ac:dyDescent="0.2">
      <c r="A314" s="10"/>
      <c r="B314" s="133"/>
    </row>
    <row r="315" spans="1:2" s="7" customFormat="1" ht="20.100000000000001" customHeight="1" x14ac:dyDescent="0.2">
      <c r="A315" s="10"/>
      <c r="B315" s="133"/>
    </row>
    <row r="316" spans="1:2" s="7" customFormat="1" ht="20.100000000000001" customHeight="1" x14ac:dyDescent="0.2">
      <c r="A316" s="10"/>
      <c r="B316" s="133"/>
    </row>
    <row r="317" spans="1:2" s="7" customFormat="1" ht="20.100000000000001" customHeight="1" x14ac:dyDescent="0.2">
      <c r="A317" s="10"/>
      <c r="B317" s="133"/>
    </row>
    <row r="318" spans="1:2" s="7" customFormat="1" ht="20.100000000000001" customHeight="1" x14ac:dyDescent="0.2">
      <c r="A318" s="10"/>
      <c r="B318" s="133"/>
    </row>
    <row r="319" spans="1:2" s="7" customFormat="1" ht="20.100000000000001" customHeight="1" x14ac:dyDescent="0.2">
      <c r="A319" s="10"/>
      <c r="B319" s="133"/>
    </row>
    <row r="320" spans="1:2" s="7" customFormat="1" ht="20.100000000000001" customHeight="1" x14ac:dyDescent="0.2">
      <c r="A320" s="10"/>
      <c r="B320" s="133"/>
    </row>
    <row r="321" spans="1:2" s="7" customFormat="1" ht="20.100000000000001" customHeight="1" x14ac:dyDescent="0.2">
      <c r="A321" s="10"/>
      <c r="B321" s="133"/>
    </row>
    <row r="322" spans="1:2" s="7" customFormat="1" ht="20.100000000000001" customHeight="1" x14ac:dyDescent="0.2">
      <c r="A322" s="10"/>
      <c r="B322" s="133"/>
    </row>
    <row r="323" spans="1:2" s="7" customFormat="1" ht="20.100000000000001" customHeight="1" x14ac:dyDescent="0.2">
      <c r="A323" s="10"/>
      <c r="B323" s="133"/>
    </row>
    <row r="324" spans="1:2" s="7" customFormat="1" ht="20.100000000000001" customHeight="1" x14ac:dyDescent="0.2">
      <c r="A324" s="10"/>
      <c r="B324" s="133"/>
    </row>
    <row r="325" spans="1:2" s="7" customFormat="1" ht="20.100000000000001" customHeight="1" x14ac:dyDescent="0.2">
      <c r="A325" s="10"/>
      <c r="B325" s="133"/>
    </row>
    <row r="326" spans="1:2" s="7" customFormat="1" ht="20.100000000000001" customHeight="1" x14ac:dyDescent="0.2">
      <c r="A326" s="10"/>
      <c r="B326" s="133"/>
    </row>
    <row r="327" spans="1:2" s="7" customFormat="1" ht="20.100000000000001" customHeight="1" x14ac:dyDescent="0.2">
      <c r="A327" s="10"/>
      <c r="B327" s="133"/>
    </row>
    <row r="328" spans="1:2" s="7" customFormat="1" ht="20.100000000000001" customHeight="1" x14ac:dyDescent="0.2">
      <c r="A328" s="10"/>
      <c r="B328" s="133"/>
    </row>
    <row r="329" spans="1:2" s="7" customFormat="1" ht="20.100000000000001" customHeight="1" x14ac:dyDescent="0.2">
      <c r="A329" s="10"/>
      <c r="B329" s="133"/>
    </row>
    <row r="330" spans="1:2" s="7" customFormat="1" ht="20.100000000000001" customHeight="1" x14ac:dyDescent="0.2">
      <c r="A330" s="10"/>
      <c r="B330" s="133"/>
    </row>
    <row r="331" spans="1:2" s="7" customFormat="1" ht="20.100000000000001" customHeight="1" x14ac:dyDescent="0.2">
      <c r="A331" s="10"/>
      <c r="B331" s="133"/>
    </row>
    <row r="332" spans="1:2" s="7" customFormat="1" ht="20.100000000000001" customHeight="1" x14ac:dyDescent="0.2">
      <c r="A332" s="10"/>
      <c r="B332" s="133"/>
    </row>
    <row r="333" spans="1:2" s="7" customFormat="1" ht="20.100000000000001" customHeight="1" x14ac:dyDescent="0.2">
      <c r="A333" s="10"/>
      <c r="B333" s="133"/>
    </row>
    <row r="334" spans="1:2" s="7" customFormat="1" ht="20.100000000000001" customHeight="1" x14ac:dyDescent="0.2">
      <c r="A334" s="10"/>
      <c r="B334" s="133"/>
    </row>
    <row r="335" spans="1:2" s="7" customFormat="1" ht="20.100000000000001" customHeight="1" x14ac:dyDescent="0.2">
      <c r="A335" s="10"/>
      <c r="B335" s="133"/>
    </row>
    <row r="336" spans="1:2" s="7" customFormat="1" ht="20.100000000000001" customHeight="1" x14ac:dyDescent="0.2">
      <c r="A336" s="10"/>
      <c r="B336" s="133"/>
    </row>
    <row r="337" spans="1:2" s="7" customFormat="1" ht="20.100000000000001" customHeight="1" x14ac:dyDescent="0.2">
      <c r="A337" s="10"/>
      <c r="B337" s="133"/>
    </row>
    <row r="338" spans="1:2" s="7" customFormat="1" ht="20.100000000000001" customHeight="1" x14ac:dyDescent="0.2">
      <c r="A338" s="10"/>
      <c r="B338" s="133"/>
    </row>
    <row r="339" spans="1:2" s="7" customFormat="1" ht="20.100000000000001" customHeight="1" x14ac:dyDescent="0.2">
      <c r="A339" s="10"/>
      <c r="B339" s="133"/>
    </row>
    <row r="340" spans="1:2" s="7" customFormat="1" ht="20.100000000000001" customHeight="1" x14ac:dyDescent="0.2">
      <c r="A340" s="10"/>
      <c r="B340" s="133"/>
    </row>
    <row r="341" spans="1:2" s="7" customFormat="1" ht="20.100000000000001" customHeight="1" x14ac:dyDescent="0.2">
      <c r="A341" s="10"/>
      <c r="B341" s="133"/>
    </row>
    <row r="342" spans="1:2" s="7" customFormat="1" ht="20.100000000000001" customHeight="1" x14ac:dyDescent="0.2">
      <c r="A342" s="10"/>
      <c r="B342" s="133"/>
    </row>
    <row r="343" spans="1:2" s="7" customFormat="1" ht="20.100000000000001" customHeight="1" x14ac:dyDescent="0.2">
      <c r="A343" s="10"/>
      <c r="B343" s="133"/>
    </row>
    <row r="344" spans="1:2" s="7" customFormat="1" ht="20.100000000000001" customHeight="1" x14ac:dyDescent="0.2">
      <c r="A344" s="10"/>
      <c r="B344" s="133"/>
    </row>
    <row r="345" spans="1:2" s="7" customFormat="1" ht="20.100000000000001" customHeight="1" x14ac:dyDescent="0.2">
      <c r="A345" s="10"/>
      <c r="B345" s="133"/>
    </row>
    <row r="346" spans="1:2" s="7" customFormat="1" ht="20.100000000000001" customHeight="1" x14ac:dyDescent="0.2">
      <c r="A346" s="10"/>
      <c r="B346" s="133"/>
    </row>
    <row r="347" spans="1:2" s="7" customFormat="1" ht="20.100000000000001" customHeight="1" x14ac:dyDescent="0.2">
      <c r="A347" s="10"/>
      <c r="B347" s="133"/>
    </row>
    <row r="348" spans="1:2" s="7" customFormat="1" ht="20.100000000000001" customHeight="1" x14ac:dyDescent="0.2">
      <c r="A348" s="10"/>
      <c r="B348" s="133"/>
    </row>
    <row r="349" spans="1:2" s="7" customFormat="1" ht="20.100000000000001" customHeight="1" x14ac:dyDescent="0.2">
      <c r="A349" s="10"/>
      <c r="B349" s="133"/>
    </row>
    <row r="350" spans="1:2" s="7" customFormat="1" ht="20.100000000000001" customHeight="1" x14ac:dyDescent="0.2">
      <c r="A350" s="10"/>
      <c r="B350" s="133"/>
    </row>
    <row r="351" spans="1:2" s="7" customFormat="1" ht="20.100000000000001" customHeight="1" x14ac:dyDescent="0.2">
      <c r="A351" s="10"/>
      <c r="B351" s="133"/>
    </row>
    <row r="352" spans="1:2" s="7" customFormat="1" ht="20.100000000000001" customHeight="1" x14ac:dyDescent="0.2">
      <c r="A352" s="10"/>
      <c r="B352" s="133"/>
    </row>
    <row r="353" spans="1:2" s="7" customFormat="1" ht="20.100000000000001" customHeight="1" x14ac:dyDescent="0.2">
      <c r="A353" s="10"/>
      <c r="B353" s="133"/>
    </row>
    <row r="354" spans="1:2" s="7" customFormat="1" ht="20.100000000000001" customHeight="1" x14ac:dyDescent="0.2">
      <c r="A354" s="10"/>
      <c r="B354" s="133"/>
    </row>
    <row r="355" spans="1:2" s="7" customFormat="1" ht="20.100000000000001" customHeight="1" x14ac:dyDescent="0.2">
      <c r="A355" s="10"/>
      <c r="B355" s="133"/>
    </row>
    <row r="356" spans="1:2" s="7" customFormat="1" ht="20.100000000000001" customHeight="1" x14ac:dyDescent="0.2">
      <c r="A356" s="10"/>
      <c r="B356" s="133"/>
    </row>
    <row r="357" spans="1:2" s="7" customFormat="1" ht="20.100000000000001" customHeight="1" x14ac:dyDescent="0.2">
      <c r="A357" s="10"/>
      <c r="B357" s="133"/>
    </row>
    <row r="358" spans="1:2" s="7" customFormat="1" ht="20.100000000000001" customHeight="1" x14ac:dyDescent="0.2">
      <c r="A358" s="10"/>
      <c r="B358" s="133"/>
    </row>
    <row r="359" spans="1:2" s="7" customFormat="1" ht="20.100000000000001" customHeight="1" x14ac:dyDescent="0.2">
      <c r="A359" s="10"/>
      <c r="B359" s="133"/>
    </row>
    <row r="360" spans="1:2" s="7" customFormat="1" ht="20.100000000000001" customHeight="1" x14ac:dyDescent="0.2">
      <c r="A360" s="10"/>
      <c r="B360" s="133"/>
    </row>
    <row r="361" spans="1:2" s="7" customFormat="1" ht="20.100000000000001" customHeight="1" x14ac:dyDescent="0.2">
      <c r="A361" s="10"/>
      <c r="B361" s="133"/>
    </row>
    <row r="362" spans="1:2" s="7" customFormat="1" ht="20.100000000000001" customHeight="1" x14ac:dyDescent="0.2">
      <c r="A362" s="10"/>
      <c r="B362" s="133"/>
    </row>
    <row r="363" spans="1:2" s="7" customFormat="1" ht="20.100000000000001" customHeight="1" x14ac:dyDescent="0.2">
      <c r="A363" s="10"/>
      <c r="B363" s="133"/>
    </row>
    <row r="364" spans="1:2" s="7" customFormat="1" ht="20.100000000000001" customHeight="1" x14ac:dyDescent="0.2">
      <c r="A364" s="10"/>
      <c r="B364" s="133"/>
    </row>
    <row r="365" spans="1:2" s="7" customFormat="1" ht="20.100000000000001" customHeight="1" x14ac:dyDescent="0.2">
      <c r="A365" s="10"/>
      <c r="B365" s="133"/>
    </row>
    <row r="366" spans="1:2" s="7" customFormat="1" ht="20.100000000000001" customHeight="1" x14ac:dyDescent="0.2">
      <c r="A366" s="10"/>
      <c r="B366" s="133"/>
    </row>
    <row r="367" spans="1:2" s="7" customFormat="1" ht="20.100000000000001" customHeight="1" x14ac:dyDescent="0.2">
      <c r="A367" s="10"/>
      <c r="B367" s="133"/>
    </row>
    <row r="368" spans="1:2" s="7" customFormat="1" ht="20.100000000000001" customHeight="1" x14ac:dyDescent="0.2">
      <c r="A368" s="10"/>
      <c r="B368" s="133"/>
    </row>
    <row r="369" spans="1:2" s="7" customFormat="1" ht="20.100000000000001" customHeight="1" x14ac:dyDescent="0.2">
      <c r="A369" s="10"/>
      <c r="B369" s="133"/>
    </row>
    <row r="370" spans="1:2" s="7" customFormat="1" ht="20.100000000000001" customHeight="1" x14ac:dyDescent="0.2">
      <c r="A370" s="10"/>
      <c r="B370" s="133"/>
    </row>
    <row r="371" spans="1:2" s="7" customFormat="1" ht="20.100000000000001" customHeight="1" x14ac:dyDescent="0.2">
      <c r="A371" s="10"/>
      <c r="B371" s="133"/>
    </row>
    <row r="372" spans="1:2" s="7" customFormat="1" ht="20.100000000000001" customHeight="1" x14ac:dyDescent="0.2">
      <c r="A372" s="10"/>
      <c r="B372" s="133"/>
    </row>
    <row r="373" spans="1:2" s="7" customFormat="1" ht="20.100000000000001" customHeight="1" x14ac:dyDescent="0.2">
      <c r="A373" s="10"/>
      <c r="B373" s="133"/>
    </row>
    <row r="374" spans="1:2" s="7" customFormat="1" ht="20.100000000000001" customHeight="1" x14ac:dyDescent="0.2">
      <c r="A374" s="10"/>
      <c r="B374" s="133"/>
    </row>
    <row r="375" spans="1:2" s="7" customFormat="1" ht="20.100000000000001" customHeight="1" x14ac:dyDescent="0.2">
      <c r="A375" s="10"/>
      <c r="B375" s="133"/>
    </row>
    <row r="376" spans="1:2" s="7" customFormat="1" ht="20.100000000000001" customHeight="1" x14ac:dyDescent="0.2">
      <c r="A376" s="10"/>
      <c r="B376" s="133"/>
    </row>
    <row r="377" spans="1:2" s="7" customFormat="1" ht="20.100000000000001" customHeight="1" x14ac:dyDescent="0.2">
      <c r="A377" s="10"/>
      <c r="B377" s="133"/>
    </row>
    <row r="378" spans="1:2" s="7" customFormat="1" ht="20.100000000000001" customHeight="1" x14ac:dyDescent="0.2">
      <c r="A378" s="10"/>
      <c r="B378" s="133"/>
    </row>
    <row r="379" spans="1:2" s="7" customFormat="1" ht="20.100000000000001" customHeight="1" x14ac:dyDescent="0.2">
      <c r="A379" s="10"/>
      <c r="B379" s="133"/>
    </row>
    <row r="380" spans="1:2" s="7" customFormat="1" ht="20.100000000000001" customHeight="1" x14ac:dyDescent="0.2">
      <c r="A380" s="10"/>
      <c r="B380" s="133"/>
    </row>
    <row r="381" spans="1:2" s="7" customFormat="1" ht="20.100000000000001" customHeight="1" x14ac:dyDescent="0.2">
      <c r="A381" s="10"/>
      <c r="B381" s="133"/>
    </row>
    <row r="382" spans="1:2" s="7" customFormat="1" ht="20.100000000000001" customHeight="1" x14ac:dyDescent="0.2">
      <c r="A382" s="10"/>
      <c r="B382" s="133"/>
    </row>
    <row r="383" spans="1:2" s="7" customFormat="1" ht="20.100000000000001" customHeight="1" x14ac:dyDescent="0.2">
      <c r="A383" s="10"/>
      <c r="B383" s="133"/>
    </row>
    <row r="384" spans="1:2" s="7" customFormat="1" ht="20.100000000000001" customHeight="1" x14ac:dyDescent="0.2">
      <c r="A384" s="10"/>
      <c r="B384" s="133"/>
    </row>
    <row r="385" spans="1:2" s="7" customFormat="1" ht="20.100000000000001" customHeight="1" x14ac:dyDescent="0.2">
      <c r="A385" s="10"/>
      <c r="B385" s="133"/>
    </row>
    <row r="386" spans="1:2" s="7" customFormat="1" ht="20.100000000000001" customHeight="1" x14ac:dyDescent="0.2">
      <c r="A386" s="10"/>
      <c r="B386" s="133"/>
    </row>
    <row r="387" spans="1:2" s="7" customFormat="1" ht="20.100000000000001" customHeight="1" x14ac:dyDescent="0.2">
      <c r="A387" s="10"/>
      <c r="B387" s="133"/>
    </row>
    <row r="388" spans="1:2" s="7" customFormat="1" ht="20.100000000000001" customHeight="1" x14ac:dyDescent="0.2">
      <c r="A388" s="10"/>
      <c r="B388" s="133"/>
    </row>
    <row r="389" spans="1:2" s="7" customFormat="1" ht="20.100000000000001" customHeight="1" x14ac:dyDescent="0.2">
      <c r="A389" s="10"/>
      <c r="B389" s="133"/>
    </row>
    <row r="390" spans="1:2" s="7" customFormat="1" ht="20.100000000000001" customHeight="1" x14ac:dyDescent="0.2">
      <c r="A390" s="10"/>
      <c r="B390" s="133"/>
    </row>
    <row r="391" spans="1:2" s="7" customFormat="1" ht="20.100000000000001" customHeight="1" x14ac:dyDescent="0.2">
      <c r="A391" s="10"/>
      <c r="B391" s="133"/>
    </row>
    <row r="392" spans="1:2" s="7" customFormat="1" ht="20.100000000000001" customHeight="1" x14ac:dyDescent="0.2">
      <c r="A392" s="10"/>
      <c r="B392" s="133"/>
    </row>
    <row r="393" spans="1:2" s="7" customFormat="1" ht="20.100000000000001" customHeight="1" x14ac:dyDescent="0.2">
      <c r="A393" s="10"/>
      <c r="B393" s="133"/>
    </row>
    <row r="394" spans="1:2" s="7" customFormat="1" ht="20.100000000000001" customHeight="1" x14ac:dyDescent="0.2">
      <c r="A394" s="10"/>
      <c r="B394" s="133"/>
    </row>
    <row r="395" spans="1:2" s="7" customFormat="1" ht="20.100000000000001" customHeight="1" x14ac:dyDescent="0.2">
      <c r="A395" s="10"/>
      <c r="B395" s="133"/>
    </row>
    <row r="396" spans="1:2" s="7" customFormat="1" ht="20.100000000000001" customHeight="1" x14ac:dyDescent="0.2">
      <c r="A396" s="10"/>
      <c r="B396" s="133"/>
    </row>
    <row r="397" spans="1:2" s="7" customFormat="1" ht="20.100000000000001" customHeight="1" x14ac:dyDescent="0.2">
      <c r="A397" s="10"/>
      <c r="B397" s="133"/>
    </row>
    <row r="398" spans="1:2" s="7" customFormat="1" ht="20.100000000000001" customHeight="1" x14ac:dyDescent="0.2">
      <c r="A398" s="10"/>
      <c r="B398" s="133"/>
    </row>
    <row r="399" spans="1:2" s="7" customFormat="1" ht="20.100000000000001" customHeight="1" x14ac:dyDescent="0.2">
      <c r="A399" s="10"/>
      <c r="B399" s="133"/>
    </row>
    <row r="400" spans="1:2" s="7" customFormat="1" ht="20.100000000000001" customHeight="1" x14ac:dyDescent="0.2">
      <c r="A400" s="10"/>
      <c r="B400" s="133"/>
    </row>
    <row r="401" spans="1:2" s="7" customFormat="1" ht="20.100000000000001" customHeight="1" x14ac:dyDescent="0.2">
      <c r="A401" s="10"/>
      <c r="B401" s="133"/>
    </row>
    <row r="402" spans="1:2" s="7" customFormat="1" ht="20.100000000000001" customHeight="1" x14ac:dyDescent="0.2">
      <c r="A402" s="10"/>
      <c r="B402" s="133"/>
    </row>
    <row r="403" spans="1:2" s="7" customFormat="1" ht="20.100000000000001" customHeight="1" x14ac:dyDescent="0.2">
      <c r="A403" s="10"/>
      <c r="B403" s="133"/>
    </row>
    <row r="404" spans="1:2" s="7" customFormat="1" ht="20.100000000000001" customHeight="1" x14ac:dyDescent="0.2">
      <c r="A404" s="10"/>
      <c r="B404" s="133"/>
    </row>
    <row r="405" spans="1:2" s="7" customFormat="1" ht="20.100000000000001" customHeight="1" x14ac:dyDescent="0.2">
      <c r="A405" s="10"/>
      <c r="B405" s="133"/>
    </row>
    <row r="406" spans="1:2" s="7" customFormat="1" ht="20.100000000000001" customHeight="1" x14ac:dyDescent="0.2">
      <c r="A406" s="10"/>
      <c r="B406" s="133"/>
    </row>
    <row r="407" spans="1:2" s="7" customFormat="1" ht="20.100000000000001" customHeight="1" x14ac:dyDescent="0.2">
      <c r="A407" s="10"/>
      <c r="B407" s="133"/>
    </row>
    <row r="408" spans="1:2" s="7" customFormat="1" ht="20.100000000000001" customHeight="1" x14ac:dyDescent="0.2">
      <c r="A408" s="10"/>
      <c r="B408" s="133"/>
    </row>
    <row r="409" spans="1:2" s="7" customFormat="1" ht="20.100000000000001" customHeight="1" x14ac:dyDescent="0.2">
      <c r="A409" s="10"/>
      <c r="B409" s="133"/>
    </row>
    <row r="410" spans="1:2" s="7" customFormat="1" ht="20.100000000000001" customHeight="1" x14ac:dyDescent="0.2">
      <c r="A410" s="10"/>
      <c r="B410" s="133"/>
    </row>
    <row r="411" spans="1:2" s="7" customFormat="1" ht="20.100000000000001" customHeight="1" x14ac:dyDescent="0.2">
      <c r="A411" s="10"/>
      <c r="B411" s="133"/>
    </row>
    <row r="412" spans="1:2" s="7" customFormat="1" ht="20.100000000000001" customHeight="1" x14ac:dyDescent="0.2">
      <c r="A412" s="10"/>
      <c r="B412" s="133"/>
    </row>
    <row r="413" spans="1:2" s="7" customFormat="1" ht="20.100000000000001" customHeight="1" x14ac:dyDescent="0.2">
      <c r="A413" s="10"/>
      <c r="B413" s="133"/>
    </row>
    <row r="414" spans="1:2" s="7" customFormat="1" ht="20.100000000000001" customHeight="1" x14ac:dyDescent="0.2">
      <c r="A414" s="10"/>
      <c r="B414" s="133"/>
    </row>
    <row r="415" spans="1:2" s="7" customFormat="1" ht="20.100000000000001" customHeight="1" x14ac:dyDescent="0.2">
      <c r="A415" s="10"/>
      <c r="B415" s="133"/>
    </row>
    <row r="416" spans="1:2" s="7" customFormat="1" ht="20.100000000000001" customHeight="1" x14ac:dyDescent="0.2">
      <c r="A416" s="10"/>
      <c r="B416" s="133"/>
    </row>
    <row r="417" spans="1:2" s="7" customFormat="1" ht="20.100000000000001" customHeight="1" x14ac:dyDescent="0.2">
      <c r="A417" s="10"/>
      <c r="B417" s="133"/>
    </row>
    <row r="418" spans="1:2" s="7" customFormat="1" ht="20.100000000000001" customHeight="1" x14ac:dyDescent="0.2">
      <c r="A418" s="10"/>
      <c r="B418" s="133"/>
    </row>
    <row r="419" spans="1:2" s="7" customFormat="1" ht="20.100000000000001" customHeight="1" x14ac:dyDescent="0.2">
      <c r="A419" s="10"/>
      <c r="B419" s="133"/>
    </row>
    <row r="420" spans="1:2" s="7" customFormat="1" ht="20.100000000000001" customHeight="1" x14ac:dyDescent="0.2">
      <c r="A420" s="10"/>
      <c r="B420" s="133"/>
    </row>
    <row r="421" spans="1:2" s="7" customFormat="1" ht="20.100000000000001" customHeight="1" x14ac:dyDescent="0.2">
      <c r="A421" s="10"/>
      <c r="B421" s="133"/>
    </row>
    <row r="422" spans="1:2" s="7" customFormat="1" ht="20.100000000000001" customHeight="1" x14ac:dyDescent="0.2">
      <c r="A422" s="10"/>
      <c r="B422" s="133"/>
    </row>
    <row r="423" spans="1:2" s="7" customFormat="1" ht="20.100000000000001" customHeight="1" x14ac:dyDescent="0.2">
      <c r="A423" s="10"/>
      <c r="B423" s="133"/>
    </row>
    <row r="424" spans="1:2" s="7" customFormat="1" ht="20.100000000000001" customHeight="1" x14ac:dyDescent="0.2">
      <c r="A424" s="10"/>
      <c r="B424" s="133"/>
    </row>
    <row r="425" spans="1:2" s="7" customFormat="1" ht="20.100000000000001" customHeight="1" x14ac:dyDescent="0.2">
      <c r="A425" s="10"/>
      <c r="B425" s="133"/>
    </row>
    <row r="426" spans="1:2" s="7" customFormat="1" ht="20.100000000000001" customHeight="1" x14ac:dyDescent="0.2">
      <c r="A426" s="10"/>
      <c r="B426" s="133"/>
    </row>
    <row r="427" spans="1:2" s="7" customFormat="1" ht="20.100000000000001" customHeight="1" x14ac:dyDescent="0.2">
      <c r="A427" s="10"/>
      <c r="B427" s="133"/>
    </row>
  </sheetData>
  <sheetProtection algorithmName="SHA-512" hashValue="cYbnhtuh6GCyGr1DWnYofT75qoHjGetL1ncMOzT9Vmme4UZYN9kXjBij2rcjNXRnpCq8v3TMuekE1T6I56pEVA==" saltValue="JSVKevvJJsmzlstTOuv+kA==" spinCount="100000" sheet="1" objects="1" scenarios="1"/>
  <mergeCells count="71">
    <mergeCell ref="C1:E1"/>
    <mergeCell ref="A2:B2"/>
    <mergeCell ref="C2:E2"/>
    <mergeCell ref="A40:B40"/>
    <mergeCell ref="A22:B22"/>
    <mergeCell ref="A23:B23"/>
    <mergeCell ref="A35:B35"/>
    <mergeCell ref="A36:B36"/>
    <mergeCell ref="A8:B8"/>
    <mergeCell ref="A10:B10"/>
    <mergeCell ref="A11:B11"/>
    <mergeCell ref="A24:B24"/>
    <mergeCell ref="E6:E7"/>
    <mergeCell ref="C3:E4"/>
    <mergeCell ref="A67:B67"/>
    <mergeCell ref="A68:B68"/>
    <mergeCell ref="A69:B69"/>
    <mergeCell ref="A70:B70"/>
    <mergeCell ref="A1:B1"/>
    <mergeCell ref="A52:B52"/>
    <mergeCell ref="A53:B53"/>
    <mergeCell ref="A54:B54"/>
    <mergeCell ref="A64:B64"/>
    <mergeCell ref="A60:B60"/>
    <mergeCell ref="A61:B61"/>
    <mergeCell ref="A62:B62"/>
    <mergeCell ref="A63:B63"/>
    <mergeCell ref="A45:B45"/>
    <mergeCell ref="A46:B46"/>
    <mergeCell ref="A51:E51"/>
    <mergeCell ref="A74:B74"/>
    <mergeCell ref="A75:B75"/>
    <mergeCell ref="A77:B77"/>
    <mergeCell ref="A100:B100"/>
    <mergeCell ref="A101:B101"/>
    <mergeCell ref="A95:B95"/>
    <mergeCell ref="A96:B96"/>
    <mergeCell ref="A94:B94"/>
    <mergeCell ref="A98:A99"/>
    <mergeCell ref="A97:B97"/>
    <mergeCell ref="A92:B92"/>
    <mergeCell ref="A93:B93"/>
    <mergeCell ref="A78:B78"/>
    <mergeCell ref="A87:B87"/>
    <mergeCell ref="A88:B88"/>
    <mergeCell ref="A89:B89"/>
    <mergeCell ref="A71:B71"/>
    <mergeCell ref="A90:B90"/>
    <mergeCell ref="A76:B76"/>
    <mergeCell ref="A47:B47"/>
    <mergeCell ref="A48:B48"/>
    <mergeCell ref="A49:B49"/>
    <mergeCell ref="A65:B65"/>
    <mergeCell ref="A55:B55"/>
    <mergeCell ref="A56:B56"/>
    <mergeCell ref="A57:B57"/>
    <mergeCell ref="A58:B58"/>
    <mergeCell ref="A59:B59"/>
    <mergeCell ref="A66:B66"/>
    <mergeCell ref="A50:B50"/>
    <mergeCell ref="A72:B72"/>
    <mergeCell ref="A73:B73"/>
    <mergeCell ref="A85:B85"/>
    <mergeCell ref="A86:B86"/>
    <mergeCell ref="A82:B82"/>
    <mergeCell ref="A91:B91"/>
    <mergeCell ref="A79:B79"/>
    <mergeCell ref="A80:B80"/>
    <mergeCell ref="A81:B81"/>
    <mergeCell ref="A83:B83"/>
    <mergeCell ref="A84:B84"/>
  </mergeCells>
  <phoneticPr fontId="6" type="noConversion"/>
  <pageMargins left="0.25" right="0.25" top="1" bottom="0.71" header="0.3" footer="0.3"/>
  <pageSetup scale="92" fitToHeight="0" orientation="landscape" r:id="rId1"/>
  <headerFooter>
    <oddHeader xml:space="preserve">&amp;C&amp;"Arial Nova,Bold"&amp;16 2019-2020 Charter School Estimate of State Aid
Before House Bill &amp;14 3
</oddHeader>
    <oddFooter>&amp;L&amp;"Arial Nova,Regular"&amp;11&amp;D
&amp;T&amp;R&amp;"Arial Nova,Regular"&amp;11&amp;P of &amp;N</oddFooter>
  </headerFooter>
  <rowBreaks count="1" manualBreakCount="1">
    <brk id="50" max="11" man="1"/>
  </rowBreak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AE40"/>
  <sheetViews>
    <sheetView workbookViewId="0">
      <selection activeCell="E21" sqref="E21"/>
    </sheetView>
  </sheetViews>
  <sheetFormatPr defaultColWidth="8.85546875" defaultRowHeight="14.25" x14ac:dyDescent="0.2"/>
  <cols>
    <col min="1" max="1" width="39" style="16" customWidth="1"/>
    <col min="2" max="2" width="28" style="16" customWidth="1"/>
    <col min="3" max="7" width="16.7109375" style="16" customWidth="1"/>
    <col min="8" max="9" width="22" style="16" customWidth="1"/>
    <col min="10" max="16384" width="8.85546875" style="16"/>
  </cols>
  <sheetData>
    <row r="1" spans="1:31" s="13" customFormat="1" ht="84.75" customHeight="1" thickBot="1" x14ac:dyDescent="0.25">
      <c r="A1" s="644" t="s">
        <v>790</v>
      </c>
      <c r="B1" s="645"/>
      <c r="C1" s="645"/>
      <c r="D1" s="646"/>
      <c r="E1" s="652" t="s">
        <v>791</v>
      </c>
      <c r="F1" s="653"/>
      <c r="G1" s="653"/>
      <c r="H1" s="653"/>
      <c r="I1" s="653"/>
      <c r="J1" s="653"/>
      <c r="K1" s="653"/>
      <c r="L1" s="653"/>
      <c r="M1" s="653"/>
      <c r="N1" s="654"/>
      <c r="O1" s="655"/>
      <c r="P1" s="12"/>
      <c r="Q1" s="12"/>
      <c r="R1" s="12"/>
      <c r="S1" s="12"/>
      <c r="T1" s="12"/>
      <c r="U1" s="12"/>
      <c r="V1" s="12"/>
      <c r="W1" s="12"/>
      <c r="X1" s="12"/>
      <c r="Y1" s="12"/>
      <c r="Z1" s="12"/>
      <c r="AA1" s="12"/>
      <c r="AB1" s="12"/>
      <c r="AC1" s="12"/>
      <c r="AD1" s="12"/>
      <c r="AE1" s="12"/>
    </row>
    <row r="2" spans="1:31" ht="32.25" customHeight="1" x14ac:dyDescent="0.2">
      <c r="A2" s="664" t="s">
        <v>462</v>
      </c>
      <c r="B2" s="665"/>
      <c r="C2" s="14" t="s">
        <v>464</v>
      </c>
      <c r="D2" s="15" t="s">
        <v>465</v>
      </c>
      <c r="E2" s="647" t="s">
        <v>789</v>
      </c>
      <c r="F2" s="648"/>
      <c r="G2" s="648"/>
      <c r="H2" s="648"/>
      <c r="I2" s="648"/>
      <c r="J2" s="648"/>
      <c r="K2" s="648"/>
      <c r="L2" s="648"/>
      <c r="M2" s="648"/>
      <c r="N2" s="648"/>
      <c r="O2" s="649"/>
    </row>
    <row r="3" spans="1:31" ht="32.25" customHeight="1" thickBot="1" x14ac:dyDescent="0.25">
      <c r="A3" s="17"/>
      <c r="B3" s="18"/>
      <c r="C3" s="19"/>
      <c r="D3" s="20"/>
      <c r="E3" s="647"/>
      <c r="F3" s="648"/>
      <c r="G3" s="648"/>
      <c r="H3" s="648"/>
      <c r="I3" s="648"/>
      <c r="J3" s="648"/>
      <c r="K3" s="648"/>
      <c r="L3" s="648"/>
      <c r="M3" s="648"/>
      <c r="N3" s="648"/>
      <c r="O3" s="649"/>
    </row>
    <row r="4" spans="1:31" s="22" customFormat="1" ht="39.950000000000003" customHeight="1" thickTop="1" x14ac:dyDescent="0.2">
      <c r="A4" s="666" t="s">
        <v>463</v>
      </c>
      <c r="B4" s="667"/>
      <c r="C4" s="21">
        <v>0</v>
      </c>
      <c r="D4" s="21">
        <v>0</v>
      </c>
      <c r="E4" s="648"/>
      <c r="F4" s="648"/>
      <c r="G4" s="648"/>
      <c r="H4" s="648"/>
      <c r="I4" s="648"/>
      <c r="J4" s="648"/>
      <c r="K4" s="648"/>
      <c r="L4" s="648"/>
      <c r="M4" s="648"/>
      <c r="N4" s="648"/>
      <c r="O4" s="649"/>
    </row>
    <row r="5" spans="1:31" ht="39.950000000000003" customHeight="1" x14ac:dyDescent="0.2">
      <c r="A5" s="668" t="s">
        <v>531</v>
      </c>
      <c r="B5" s="669"/>
      <c r="C5" s="23">
        <v>0</v>
      </c>
      <c r="D5" s="23">
        <v>0</v>
      </c>
      <c r="E5" s="648"/>
      <c r="F5" s="648"/>
      <c r="G5" s="648"/>
      <c r="H5" s="648"/>
      <c r="I5" s="648"/>
      <c r="J5" s="648"/>
      <c r="K5" s="648"/>
      <c r="L5" s="648"/>
      <c r="M5" s="648"/>
      <c r="N5" s="648"/>
      <c r="O5" s="649"/>
    </row>
    <row r="6" spans="1:31" ht="39.950000000000003" customHeight="1" x14ac:dyDescent="0.2">
      <c r="A6" s="670" t="s">
        <v>617</v>
      </c>
      <c r="B6" s="669"/>
      <c r="C6" s="23">
        <v>0</v>
      </c>
      <c r="D6" s="23">
        <v>0</v>
      </c>
      <c r="E6" s="648"/>
      <c r="F6" s="648"/>
      <c r="G6" s="648"/>
      <c r="H6" s="648"/>
      <c r="I6" s="648"/>
      <c r="J6" s="648"/>
      <c r="K6" s="648"/>
      <c r="L6" s="648"/>
      <c r="M6" s="648"/>
      <c r="N6" s="648"/>
      <c r="O6" s="649"/>
    </row>
    <row r="7" spans="1:31" ht="13.5" customHeight="1" thickBot="1" x14ac:dyDescent="0.25">
      <c r="A7" s="671" t="s">
        <v>563</v>
      </c>
      <c r="B7" s="672"/>
      <c r="C7" s="24">
        <f>C4+C5+C6</f>
        <v>0</v>
      </c>
      <c r="D7" s="24">
        <f>D4+D5+D6</f>
        <v>0</v>
      </c>
      <c r="E7" s="648"/>
      <c r="F7" s="648"/>
      <c r="G7" s="648"/>
      <c r="H7" s="648"/>
      <c r="I7" s="648"/>
      <c r="J7" s="648"/>
      <c r="K7" s="648"/>
      <c r="L7" s="648"/>
      <c r="M7" s="648"/>
      <c r="N7" s="648"/>
      <c r="O7" s="649"/>
    </row>
    <row r="8" spans="1:31" ht="35.1" customHeight="1" thickTop="1" x14ac:dyDescent="0.2">
      <c r="A8" s="673" t="s">
        <v>461</v>
      </c>
      <c r="B8" s="674"/>
      <c r="C8" s="25">
        <v>1</v>
      </c>
      <c r="D8" s="25">
        <v>1</v>
      </c>
      <c r="E8" s="648"/>
      <c r="F8" s="648"/>
      <c r="G8" s="648"/>
      <c r="H8" s="648"/>
      <c r="I8" s="648"/>
      <c r="J8" s="648"/>
      <c r="K8" s="648"/>
      <c r="L8" s="648"/>
      <c r="M8" s="648"/>
      <c r="N8" s="648"/>
      <c r="O8" s="649"/>
    </row>
    <row r="9" spans="1:31" ht="13.5" customHeight="1" thickBot="1" x14ac:dyDescent="0.25">
      <c r="A9" s="660" t="s">
        <v>562</v>
      </c>
      <c r="B9" s="661"/>
      <c r="C9" s="26">
        <f>VLOOKUP(C8,B18:E30,4,FALSE)/100</f>
        <v>8.3000000000000004E-2</v>
      </c>
      <c r="D9" s="26">
        <f>VLOOKUP(D8,B18:H30,7,FALSE)/100</f>
        <v>0.22</v>
      </c>
      <c r="E9" s="648"/>
      <c r="F9" s="648"/>
      <c r="G9" s="648"/>
      <c r="H9" s="648"/>
      <c r="I9" s="648"/>
      <c r="J9" s="648"/>
      <c r="K9" s="648"/>
      <c r="L9" s="648"/>
      <c r="M9" s="648"/>
      <c r="N9" s="648"/>
      <c r="O9" s="649"/>
    </row>
    <row r="10" spans="1:31" x14ac:dyDescent="0.2">
      <c r="A10" s="662" t="s">
        <v>408</v>
      </c>
      <c r="B10" s="663"/>
      <c r="C10" s="27">
        <f>C7*C9</f>
        <v>0</v>
      </c>
      <c r="D10" s="27">
        <f>D7*D9</f>
        <v>0</v>
      </c>
      <c r="E10" s="648"/>
      <c r="F10" s="648"/>
      <c r="G10" s="648"/>
      <c r="H10" s="648"/>
      <c r="I10" s="648"/>
      <c r="J10" s="648"/>
      <c r="K10" s="648"/>
      <c r="L10" s="648"/>
      <c r="M10" s="648"/>
      <c r="N10" s="648"/>
      <c r="O10" s="649"/>
    </row>
    <row r="11" spans="1:31" ht="12.75" customHeight="1" x14ac:dyDescent="0.2">
      <c r="A11" s="656"/>
      <c r="B11" s="657"/>
      <c r="C11" s="28"/>
      <c r="D11" s="28"/>
      <c r="E11" s="648"/>
      <c r="F11" s="648"/>
      <c r="G11" s="648"/>
      <c r="H11" s="648"/>
      <c r="I11" s="648"/>
      <c r="J11" s="648"/>
      <c r="K11" s="648"/>
      <c r="L11" s="648"/>
      <c r="M11" s="648"/>
      <c r="N11" s="648"/>
      <c r="O11" s="649"/>
    </row>
    <row r="12" spans="1:31" ht="12.75" customHeight="1" thickBot="1" x14ac:dyDescent="0.25">
      <c r="A12" s="658"/>
      <c r="B12" s="659"/>
      <c r="C12" s="29"/>
      <c r="D12" s="29"/>
      <c r="E12" s="650"/>
      <c r="F12" s="650"/>
      <c r="G12" s="650"/>
      <c r="H12" s="650"/>
      <c r="I12" s="650"/>
      <c r="J12" s="650"/>
      <c r="K12" s="650"/>
      <c r="L12" s="650"/>
      <c r="M12" s="650"/>
      <c r="N12" s="650"/>
      <c r="O12" s="651"/>
    </row>
    <row r="13" spans="1:31" ht="12.75" customHeight="1" thickTop="1" x14ac:dyDescent="0.2"/>
    <row r="14" spans="1:31" ht="15" thickBot="1" x14ac:dyDescent="0.25"/>
    <row r="15" spans="1:31" ht="15.75" thickTop="1" thickBot="1" x14ac:dyDescent="0.25">
      <c r="C15" s="680" t="s">
        <v>483</v>
      </c>
      <c r="D15" s="681"/>
      <c r="E15" s="681"/>
      <c r="F15" s="681"/>
      <c r="G15" s="681"/>
      <c r="H15" s="682"/>
    </row>
    <row r="16" spans="1:31" ht="33" customHeight="1" thickTop="1" thickBot="1" x14ac:dyDescent="0.25">
      <c r="A16" s="683" t="s">
        <v>110</v>
      </c>
      <c r="B16" s="685" t="s">
        <v>388</v>
      </c>
      <c r="C16" s="687" t="s">
        <v>464</v>
      </c>
      <c r="D16" s="688"/>
      <c r="E16" s="689"/>
      <c r="F16" s="690" t="s">
        <v>465</v>
      </c>
      <c r="G16" s="688"/>
      <c r="H16" s="689"/>
    </row>
    <row r="17" spans="1:8" ht="29.25" thickBot="1" x14ac:dyDescent="0.25">
      <c r="A17" s="684"/>
      <c r="B17" s="686"/>
      <c r="C17" s="30" t="s">
        <v>387</v>
      </c>
      <c r="D17" s="31" t="s">
        <v>404</v>
      </c>
      <c r="E17" s="32" t="s">
        <v>111</v>
      </c>
      <c r="F17" s="33" t="s">
        <v>387</v>
      </c>
      <c r="G17" s="33" t="s">
        <v>404</v>
      </c>
      <c r="H17" s="34" t="s">
        <v>111</v>
      </c>
    </row>
    <row r="18" spans="1:8" ht="15.75" thickTop="1" thickBot="1" x14ac:dyDescent="0.25">
      <c r="A18" s="35" t="s">
        <v>112</v>
      </c>
      <c r="B18" s="36">
        <v>1</v>
      </c>
      <c r="C18" s="37">
        <v>8.3000000000000007</v>
      </c>
      <c r="D18" s="38">
        <v>100</v>
      </c>
      <c r="E18" s="39">
        <v>8.3000000000000007</v>
      </c>
      <c r="F18" s="38">
        <v>22</v>
      </c>
      <c r="G18" s="38">
        <v>100</v>
      </c>
      <c r="H18" s="40">
        <v>22</v>
      </c>
    </row>
    <row r="19" spans="1:8" ht="15" thickBot="1" x14ac:dyDescent="0.25">
      <c r="A19" s="41" t="s">
        <v>113</v>
      </c>
      <c r="B19" s="42">
        <v>2</v>
      </c>
      <c r="C19" s="43">
        <v>8.3000000000000007</v>
      </c>
      <c r="D19" s="44">
        <v>91.7</v>
      </c>
      <c r="E19" s="45">
        <v>9.1</v>
      </c>
      <c r="F19" s="44">
        <v>18</v>
      </c>
      <c r="G19" s="44">
        <v>78</v>
      </c>
      <c r="H19" s="46">
        <v>23.1</v>
      </c>
    </row>
    <row r="20" spans="1:8" ht="15" thickBot="1" x14ac:dyDescent="0.25">
      <c r="A20" s="47" t="s">
        <v>114</v>
      </c>
      <c r="B20" s="48">
        <v>3</v>
      </c>
      <c r="C20" s="49">
        <v>8.4</v>
      </c>
      <c r="D20" s="50">
        <v>83.4</v>
      </c>
      <c r="E20" s="51">
        <v>10.1</v>
      </c>
      <c r="F20" s="50">
        <v>9.5</v>
      </c>
      <c r="G20" s="50">
        <v>60</v>
      </c>
      <c r="H20" s="46">
        <v>15.8</v>
      </c>
    </row>
    <row r="21" spans="1:8" ht="15" thickBot="1" x14ac:dyDescent="0.25">
      <c r="A21" s="41" t="s">
        <v>115</v>
      </c>
      <c r="B21" s="42">
        <v>4</v>
      </c>
      <c r="C21" s="43">
        <v>8.3000000000000007</v>
      </c>
      <c r="D21" s="44">
        <v>75</v>
      </c>
      <c r="E21" s="45">
        <v>11.1</v>
      </c>
      <c r="F21" s="44">
        <v>4</v>
      </c>
      <c r="G21" s="44">
        <v>50.5</v>
      </c>
      <c r="H21" s="46">
        <v>7.9</v>
      </c>
    </row>
    <row r="22" spans="1:8" ht="15" thickBot="1" x14ac:dyDescent="0.25">
      <c r="A22" s="47" t="s">
        <v>116</v>
      </c>
      <c r="B22" s="48">
        <v>5</v>
      </c>
      <c r="C22" s="49">
        <v>8.3000000000000007</v>
      </c>
      <c r="D22" s="50">
        <v>66.7</v>
      </c>
      <c r="E22" s="51">
        <v>12.4</v>
      </c>
      <c r="F22" s="50">
        <v>4</v>
      </c>
      <c r="G22" s="50">
        <v>46.5</v>
      </c>
      <c r="H22" s="46">
        <v>8.6</v>
      </c>
    </row>
    <row r="23" spans="1:8" ht="15" thickBot="1" x14ac:dyDescent="0.25">
      <c r="A23" s="41" t="s">
        <v>117</v>
      </c>
      <c r="B23" s="42">
        <v>6</v>
      </c>
      <c r="C23" s="43">
        <v>8.4</v>
      </c>
      <c r="D23" s="44">
        <v>58.4</v>
      </c>
      <c r="E23" s="45">
        <v>14.4</v>
      </c>
      <c r="F23" s="44">
        <v>4</v>
      </c>
      <c r="G23" s="44">
        <v>42.5</v>
      </c>
      <c r="H23" s="46">
        <v>9.4</v>
      </c>
    </row>
    <row r="24" spans="1:8" ht="15" thickBot="1" x14ac:dyDescent="0.25">
      <c r="A24" s="47" t="s">
        <v>118</v>
      </c>
      <c r="B24" s="48">
        <v>7</v>
      </c>
      <c r="C24" s="49">
        <v>8.3000000000000007</v>
      </c>
      <c r="D24" s="50">
        <v>50</v>
      </c>
      <c r="E24" s="51">
        <v>16.600000000000001</v>
      </c>
      <c r="F24" s="50">
        <v>4</v>
      </c>
      <c r="G24" s="50">
        <v>38.5</v>
      </c>
      <c r="H24" s="46">
        <v>10.4</v>
      </c>
    </row>
    <row r="25" spans="1:8" ht="15" thickBot="1" x14ac:dyDescent="0.25">
      <c r="A25" s="41" t="s">
        <v>119</v>
      </c>
      <c r="B25" s="42">
        <v>8</v>
      </c>
      <c r="C25" s="43">
        <v>8.3000000000000007</v>
      </c>
      <c r="D25" s="44">
        <v>41.7</v>
      </c>
      <c r="E25" s="45">
        <v>19.899999999999999</v>
      </c>
      <c r="F25" s="44">
        <v>7.5</v>
      </c>
      <c r="G25" s="44">
        <v>34.5</v>
      </c>
      <c r="H25" s="46">
        <v>21.7</v>
      </c>
    </row>
    <row r="26" spans="1:8" ht="15" thickBot="1" x14ac:dyDescent="0.25">
      <c r="A26" s="47" t="s">
        <v>120</v>
      </c>
      <c r="B26" s="48">
        <v>9</v>
      </c>
      <c r="C26" s="49">
        <v>8.4</v>
      </c>
      <c r="D26" s="50">
        <v>33.4</v>
      </c>
      <c r="E26" s="51">
        <v>25.1</v>
      </c>
      <c r="F26" s="50">
        <v>5</v>
      </c>
      <c r="G26" s="50">
        <v>27</v>
      </c>
      <c r="H26" s="46">
        <v>18.5</v>
      </c>
    </row>
    <row r="27" spans="1:8" ht="15" thickBot="1" x14ac:dyDescent="0.25">
      <c r="A27" s="41" t="s">
        <v>121</v>
      </c>
      <c r="B27" s="42">
        <v>10</v>
      </c>
      <c r="C27" s="43">
        <v>8.3000000000000007</v>
      </c>
      <c r="D27" s="44">
        <v>25</v>
      </c>
      <c r="E27" s="45">
        <v>33.200000000000003</v>
      </c>
      <c r="F27" s="44">
        <v>7</v>
      </c>
      <c r="G27" s="44">
        <v>22</v>
      </c>
      <c r="H27" s="46">
        <v>31.8</v>
      </c>
    </row>
    <row r="28" spans="1:8" ht="15" thickBot="1" x14ac:dyDescent="0.25">
      <c r="A28" s="47" t="s">
        <v>122</v>
      </c>
      <c r="B28" s="48">
        <v>11</v>
      </c>
      <c r="C28" s="49">
        <v>8.3000000000000007</v>
      </c>
      <c r="D28" s="50">
        <v>16.7</v>
      </c>
      <c r="E28" s="51">
        <v>49.7</v>
      </c>
      <c r="F28" s="50">
        <v>7</v>
      </c>
      <c r="G28" s="50">
        <v>15</v>
      </c>
      <c r="H28" s="46">
        <v>46.7</v>
      </c>
    </row>
    <row r="29" spans="1:8" ht="15" thickBot="1" x14ac:dyDescent="0.25">
      <c r="A29" s="41" t="s">
        <v>123</v>
      </c>
      <c r="B29" s="42">
        <v>12</v>
      </c>
      <c r="C29" s="43">
        <v>8.4</v>
      </c>
      <c r="D29" s="44">
        <v>8.4</v>
      </c>
      <c r="E29" s="45">
        <v>100</v>
      </c>
      <c r="F29" s="44">
        <v>8</v>
      </c>
      <c r="G29" s="44">
        <v>8</v>
      </c>
      <c r="H29" s="46">
        <v>100</v>
      </c>
    </row>
    <row r="30" spans="1:8" ht="15" thickBot="1" x14ac:dyDescent="0.25">
      <c r="A30" s="52" t="s">
        <v>406</v>
      </c>
      <c r="B30" s="53">
        <v>13</v>
      </c>
      <c r="C30" s="54"/>
      <c r="D30" s="55"/>
      <c r="E30" s="56">
        <v>100</v>
      </c>
      <c r="F30" s="55"/>
      <c r="G30" s="55"/>
      <c r="H30" s="56">
        <v>100</v>
      </c>
    </row>
    <row r="31" spans="1:8" x14ac:dyDescent="0.2">
      <c r="A31" s="675" t="s">
        <v>792</v>
      </c>
      <c r="B31" s="676"/>
      <c r="C31" s="676"/>
      <c r="D31" s="676"/>
      <c r="E31" s="676"/>
      <c r="F31" s="676"/>
      <c r="G31" s="676"/>
      <c r="H31" s="677"/>
    </row>
    <row r="32" spans="1:8" x14ac:dyDescent="0.2">
      <c r="A32" s="678"/>
      <c r="B32" s="678"/>
      <c r="C32" s="678"/>
      <c r="D32" s="678"/>
      <c r="E32" s="678"/>
      <c r="F32" s="678"/>
      <c r="G32" s="678"/>
      <c r="H32" s="679"/>
    </row>
    <row r="33" spans="1:8" x14ac:dyDescent="0.2">
      <c r="A33" s="678"/>
      <c r="B33" s="678"/>
      <c r="C33" s="678"/>
      <c r="D33" s="678"/>
      <c r="E33" s="678"/>
      <c r="F33" s="678"/>
      <c r="G33" s="678"/>
      <c r="H33" s="679"/>
    </row>
    <row r="34" spans="1:8" ht="24.95" customHeight="1" x14ac:dyDescent="0.2">
      <c r="A34" s="678"/>
      <c r="B34" s="678"/>
      <c r="C34" s="678"/>
      <c r="D34" s="678"/>
      <c r="E34" s="678"/>
      <c r="F34" s="678"/>
      <c r="G34" s="678"/>
      <c r="H34" s="679"/>
    </row>
    <row r="35" spans="1:8" ht="24.95" customHeight="1" x14ac:dyDescent="0.2">
      <c r="A35" s="678"/>
      <c r="B35" s="678"/>
      <c r="C35" s="678"/>
      <c r="D35" s="678"/>
      <c r="E35" s="678"/>
      <c r="F35" s="678"/>
      <c r="G35" s="678"/>
      <c r="H35" s="679"/>
    </row>
    <row r="36" spans="1:8" ht="24.95" customHeight="1" x14ac:dyDescent="0.2">
      <c r="A36" s="678"/>
      <c r="B36" s="678"/>
      <c r="C36" s="678"/>
      <c r="D36" s="678"/>
      <c r="E36" s="678"/>
      <c r="F36" s="678"/>
      <c r="G36" s="678"/>
      <c r="H36" s="679"/>
    </row>
    <row r="37" spans="1:8" ht="24.95" customHeight="1" x14ac:dyDescent="0.2">
      <c r="A37" s="678"/>
      <c r="B37" s="678"/>
      <c r="C37" s="678"/>
      <c r="D37" s="678"/>
      <c r="E37" s="678"/>
      <c r="F37" s="678"/>
      <c r="G37" s="678"/>
      <c r="H37" s="679"/>
    </row>
    <row r="38" spans="1:8" ht="24.95" customHeight="1" x14ac:dyDescent="0.2"/>
    <row r="39" spans="1:8" ht="24.95" customHeight="1" x14ac:dyDescent="0.2"/>
    <row r="40" spans="1:8" ht="24.95" customHeight="1" x14ac:dyDescent="0.2"/>
  </sheetData>
  <sheetProtection algorithmName="SHA-512" hashValue="dADw2BWr1h03ZbKOc1gP57d+kK8jCdDfBUJIu/ojhAfBqJbOXQqygrd5kNUOQT0yX7CIBc2YXApD3AcGR1/5QA==" saltValue="oO9uYkbqKNmInjXHnxAwnA==" spinCount="100000" sheet="1" objects="1" scenarios="1"/>
  <mergeCells count="19">
    <mergeCell ref="A31:H37"/>
    <mergeCell ref="C15:H15"/>
    <mergeCell ref="A16:A17"/>
    <mergeCell ref="B16:B17"/>
    <mergeCell ref="C16:E16"/>
    <mergeCell ref="F16:H16"/>
    <mergeCell ref="A1:D1"/>
    <mergeCell ref="E2:O12"/>
    <mergeCell ref="E1:O1"/>
    <mergeCell ref="A11:B11"/>
    <mergeCell ref="A12:B12"/>
    <mergeCell ref="A9:B9"/>
    <mergeCell ref="A10:B10"/>
    <mergeCell ref="A2:B2"/>
    <mergeCell ref="A4:B4"/>
    <mergeCell ref="A5:B5"/>
    <mergeCell ref="A6:B6"/>
    <mergeCell ref="A7:B7"/>
    <mergeCell ref="A8:B8"/>
  </mergeCells>
  <dataValidations count="2">
    <dataValidation type="whole" allowBlank="1" showInputMessage="1" showErrorMessage="1" error="Payment number must be 1 through 13._x000a_" sqref="C8:D8" xr:uid="{00000000-0002-0000-0400-000000000000}">
      <formula1>1</formula1>
      <formula2>13</formula2>
    </dataValidation>
    <dataValidation type="whole" operator="lessThanOrEqual" allowBlank="1" showInputMessage="1" showErrorMessage="1" error="Paid to Date amount must be entered as a negativve amount." sqref="C6:D6" xr:uid="{00000000-0002-0000-0400-000001000000}">
      <formula1>0</formula1>
    </dataValidation>
  </dataValidations>
  <pageMargins left="0.7" right="0.7" top="0.75" bottom="0.75" header="0.3" footer="0.3"/>
  <pageSetup scale="4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4"/>
  <sheetViews>
    <sheetView topLeftCell="A107" workbookViewId="0">
      <selection activeCell="A107" sqref="A1:XFD1048576"/>
    </sheetView>
  </sheetViews>
  <sheetFormatPr defaultColWidth="8.85546875" defaultRowHeight="12.75" x14ac:dyDescent="0.2"/>
  <cols>
    <col min="1" max="1" width="7" style="279" bestFit="1" customWidth="1"/>
    <col min="2" max="2" width="60.42578125" style="279" bestFit="1" customWidth="1"/>
    <col min="3" max="3" width="23.140625" style="279" bestFit="1" customWidth="1"/>
    <col min="4" max="4" width="32.42578125" style="279" bestFit="1" customWidth="1"/>
    <col min="5" max="5" width="16.7109375" style="313" bestFit="1" customWidth="1"/>
    <col min="6" max="16384" width="8.85546875" style="279"/>
  </cols>
  <sheetData>
    <row r="1" spans="1:3" x14ac:dyDescent="0.2">
      <c r="A1" s="279" t="s">
        <v>65</v>
      </c>
      <c r="B1" s="279" t="s">
        <v>36</v>
      </c>
      <c r="C1" s="279" t="s">
        <v>466</v>
      </c>
    </row>
    <row r="2" spans="1:3" x14ac:dyDescent="0.2">
      <c r="A2" s="279">
        <v>0</v>
      </c>
      <c r="B2" s="279" t="s">
        <v>683</v>
      </c>
      <c r="C2" s="279">
        <v>0</v>
      </c>
    </row>
    <row r="3" spans="1:3" x14ac:dyDescent="0.2">
      <c r="A3" s="314">
        <v>57816</v>
      </c>
      <c r="B3" s="279" t="s">
        <v>467</v>
      </c>
      <c r="C3" s="279">
        <v>2500</v>
      </c>
    </row>
    <row r="4" spans="1:3" x14ac:dyDescent="0.2">
      <c r="A4" s="314">
        <v>57829</v>
      </c>
      <c r="B4" s="279" t="s">
        <v>46</v>
      </c>
      <c r="C4" s="279">
        <v>1750</v>
      </c>
    </row>
    <row r="5" spans="1:3" x14ac:dyDescent="0.2">
      <c r="A5" s="314">
        <v>101871</v>
      </c>
      <c r="B5" s="279" t="s">
        <v>409</v>
      </c>
      <c r="C5" s="279">
        <v>540</v>
      </c>
    </row>
    <row r="6" spans="1:3" x14ac:dyDescent="0.2">
      <c r="A6" s="314">
        <v>57814</v>
      </c>
      <c r="B6" s="279" t="s">
        <v>344</v>
      </c>
      <c r="C6" s="279">
        <v>900</v>
      </c>
    </row>
    <row r="7" spans="1:3" x14ac:dyDescent="0.2">
      <c r="A7" s="314">
        <v>101810</v>
      </c>
      <c r="B7" s="279" t="s">
        <v>53</v>
      </c>
      <c r="C7" s="279">
        <v>1050</v>
      </c>
    </row>
    <row r="8" spans="1:3" x14ac:dyDescent="0.2">
      <c r="A8" s="314">
        <v>57810</v>
      </c>
      <c r="B8" s="279" t="s">
        <v>21</v>
      </c>
      <c r="C8" s="279">
        <v>1000</v>
      </c>
    </row>
    <row r="9" spans="1:3" x14ac:dyDescent="0.2">
      <c r="A9" s="314">
        <v>101849</v>
      </c>
      <c r="B9" s="279" t="s">
        <v>15</v>
      </c>
      <c r="C9" s="279">
        <v>1300</v>
      </c>
    </row>
    <row r="10" spans="1:3" x14ac:dyDescent="0.2">
      <c r="A10" s="314">
        <v>57806</v>
      </c>
      <c r="B10" s="279" t="s">
        <v>342</v>
      </c>
      <c r="C10" s="279">
        <v>3000</v>
      </c>
    </row>
    <row r="11" spans="1:3" x14ac:dyDescent="0.2">
      <c r="A11" s="314">
        <v>101815</v>
      </c>
      <c r="B11" s="279" t="s">
        <v>55</v>
      </c>
      <c r="C11" s="279">
        <v>600</v>
      </c>
    </row>
    <row r="12" spans="1:3" x14ac:dyDescent="0.2">
      <c r="A12" s="314">
        <v>84804</v>
      </c>
      <c r="B12" s="279" t="s">
        <v>69</v>
      </c>
      <c r="C12" s="279">
        <v>600</v>
      </c>
    </row>
    <row r="13" spans="1:3" x14ac:dyDescent="0.2">
      <c r="A13" s="314">
        <v>101819</v>
      </c>
      <c r="B13" s="279" t="s">
        <v>9</v>
      </c>
      <c r="C13" s="279">
        <v>1500</v>
      </c>
    </row>
    <row r="14" spans="1:3" x14ac:dyDescent="0.2">
      <c r="A14" s="314">
        <v>101803</v>
      </c>
      <c r="B14" s="279" t="s">
        <v>98</v>
      </c>
      <c r="C14" s="279">
        <v>1128</v>
      </c>
    </row>
    <row r="15" spans="1:3" x14ac:dyDescent="0.2">
      <c r="A15" s="314">
        <v>220802</v>
      </c>
      <c r="B15" s="279" t="s">
        <v>81</v>
      </c>
      <c r="C15" s="279">
        <v>2500</v>
      </c>
    </row>
    <row r="16" spans="1:3" x14ac:dyDescent="0.2">
      <c r="A16" s="314">
        <v>21805</v>
      </c>
      <c r="B16" s="279" t="s">
        <v>338</v>
      </c>
      <c r="C16" s="279">
        <v>1000</v>
      </c>
    </row>
    <row r="17" spans="1:3" x14ac:dyDescent="0.2">
      <c r="A17" s="314">
        <v>227825</v>
      </c>
      <c r="B17" s="279" t="s">
        <v>128</v>
      </c>
      <c r="C17" s="279">
        <v>2352</v>
      </c>
    </row>
    <row r="18" spans="1:3" x14ac:dyDescent="0.2">
      <c r="A18" s="314">
        <v>227821</v>
      </c>
      <c r="B18" s="279" t="s">
        <v>72</v>
      </c>
      <c r="C18" s="279">
        <v>650</v>
      </c>
    </row>
    <row r="19" spans="1:3" x14ac:dyDescent="0.2">
      <c r="A19" s="314">
        <v>15834</v>
      </c>
      <c r="B19" s="279" t="s">
        <v>335</v>
      </c>
      <c r="C19" s="279">
        <v>4000</v>
      </c>
    </row>
    <row r="20" spans="1:3" x14ac:dyDescent="0.2">
      <c r="A20" s="314">
        <v>101847</v>
      </c>
      <c r="B20" s="279" t="s">
        <v>33</v>
      </c>
      <c r="C20" s="279">
        <v>650</v>
      </c>
    </row>
    <row r="21" spans="1:3" x14ac:dyDescent="0.2">
      <c r="A21" s="314">
        <v>101870</v>
      </c>
      <c r="B21" s="279" t="s">
        <v>390</v>
      </c>
      <c r="C21" s="279">
        <v>1680</v>
      </c>
    </row>
    <row r="22" spans="1:3" x14ac:dyDescent="0.2">
      <c r="A22" s="314">
        <v>15809</v>
      </c>
      <c r="B22" s="279" t="s">
        <v>39</v>
      </c>
      <c r="C22" s="279">
        <v>1000</v>
      </c>
    </row>
    <row r="23" spans="1:3" x14ac:dyDescent="0.2">
      <c r="A23" s="314">
        <v>193801</v>
      </c>
      <c r="B23" s="279" t="s">
        <v>77</v>
      </c>
      <c r="C23" s="279">
        <v>250</v>
      </c>
    </row>
    <row r="24" spans="1:3" x14ac:dyDescent="0.2">
      <c r="A24" s="314">
        <v>101875</v>
      </c>
      <c r="B24" s="279" t="s">
        <v>651</v>
      </c>
      <c r="C24" s="279">
        <v>1080</v>
      </c>
    </row>
    <row r="25" spans="1:3" x14ac:dyDescent="0.2">
      <c r="A25" s="314">
        <v>123807</v>
      </c>
      <c r="B25" s="279" t="s">
        <v>374</v>
      </c>
      <c r="C25" s="279">
        <v>2500</v>
      </c>
    </row>
    <row r="26" spans="1:3" x14ac:dyDescent="0.2">
      <c r="A26" s="314">
        <v>213801</v>
      </c>
      <c r="B26" s="279" t="s">
        <v>79</v>
      </c>
      <c r="C26" s="279">
        <v>350</v>
      </c>
    </row>
    <row r="27" spans="1:3" x14ac:dyDescent="0.2">
      <c r="A27" s="314">
        <v>21803</v>
      </c>
      <c r="B27" s="279" t="s">
        <v>42</v>
      </c>
      <c r="C27" s="279">
        <v>500</v>
      </c>
    </row>
    <row r="28" spans="1:3" x14ac:dyDescent="0.2">
      <c r="A28" s="314">
        <v>57851</v>
      </c>
      <c r="B28" s="279" t="s">
        <v>546</v>
      </c>
      <c r="C28" s="279">
        <v>1560</v>
      </c>
    </row>
    <row r="29" spans="1:3" x14ac:dyDescent="0.2">
      <c r="A29" s="314">
        <v>15830</v>
      </c>
      <c r="B29" s="279" t="s">
        <v>639</v>
      </c>
      <c r="C29" s="279">
        <v>4350</v>
      </c>
    </row>
    <row r="30" spans="1:3" x14ac:dyDescent="0.2">
      <c r="A30" s="314">
        <v>71801</v>
      </c>
      <c r="B30" s="279" t="s">
        <v>89</v>
      </c>
      <c r="C30" s="279">
        <v>1300</v>
      </c>
    </row>
    <row r="31" spans="1:3" x14ac:dyDescent="0.2">
      <c r="A31" s="314">
        <v>101837</v>
      </c>
      <c r="B31" s="279" t="s">
        <v>13</v>
      </c>
      <c r="C31" s="279">
        <v>750</v>
      </c>
    </row>
    <row r="32" spans="1:3" x14ac:dyDescent="0.2">
      <c r="A32" s="314">
        <v>227817</v>
      </c>
      <c r="B32" s="279" t="s">
        <v>85</v>
      </c>
      <c r="C32" s="279">
        <v>1000</v>
      </c>
    </row>
    <row r="33" spans="1:3" x14ac:dyDescent="0.2">
      <c r="A33" s="314">
        <v>227814</v>
      </c>
      <c r="B33" s="279" t="s">
        <v>99</v>
      </c>
      <c r="C33" s="279">
        <v>520</v>
      </c>
    </row>
    <row r="34" spans="1:3" x14ac:dyDescent="0.2">
      <c r="A34" s="314">
        <v>220815</v>
      </c>
      <c r="B34" s="279" t="s">
        <v>380</v>
      </c>
      <c r="C34" s="279">
        <v>1200</v>
      </c>
    </row>
    <row r="35" spans="1:3" x14ac:dyDescent="0.2">
      <c r="A35" s="314">
        <v>57841</v>
      </c>
      <c r="B35" s="279" t="s">
        <v>348</v>
      </c>
      <c r="C35" s="279">
        <v>2000</v>
      </c>
    </row>
    <row r="36" spans="1:3" x14ac:dyDescent="0.2">
      <c r="A36" s="314">
        <v>68802</v>
      </c>
      <c r="B36" s="279" t="s">
        <v>354</v>
      </c>
      <c r="C36" s="279">
        <v>1600</v>
      </c>
    </row>
    <row r="37" spans="1:3" x14ac:dyDescent="0.2">
      <c r="A37" s="314">
        <v>15838</v>
      </c>
      <c r="B37" s="279" t="s">
        <v>468</v>
      </c>
      <c r="C37" s="279">
        <v>3780</v>
      </c>
    </row>
    <row r="38" spans="1:3" x14ac:dyDescent="0.2">
      <c r="A38" s="314">
        <v>101842</v>
      </c>
      <c r="B38" s="279" t="s">
        <v>31</v>
      </c>
      <c r="C38" s="279">
        <v>700</v>
      </c>
    </row>
    <row r="39" spans="1:3" x14ac:dyDescent="0.2">
      <c r="A39" s="314">
        <v>178807</v>
      </c>
      <c r="B39" s="279" t="s">
        <v>73</v>
      </c>
      <c r="C39" s="279">
        <v>300</v>
      </c>
    </row>
    <row r="40" spans="1:3" x14ac:dyDescent="0.2">
      <c r="A40" s="314">
        <v>184801</v>
      </c>
      <c r="B40" s="279" t="s">
        <v>6</v>
      </c>
      <c r="C40" s="279">
        <v>350</v>
      </c>
    </row>
    <row r="41" spans="1:3" x14ac:dyDescent="0.2">
      <c r="A41" s="314">
        <v>212801</v>
      </c>
      <c r="B41" s="279" t="s">
        <v>78</v>
      </c>
      <c r="C41" s="279">
        <v>2500</v>
      </c>
    </row>
    <row r="42" spans="1:3" x14ac:dyDescent="0.2">
      <c r="A42" s="314">
        <v>178801</v>
      </c>
      <c r="B42" s="279" t="s">
        <v>394</v>
      </c>
      <c r="C42" s="279">
        <v>500</v>
      </c>
    </row>
    <row r="43" spans="1:3" x14ac:dyDescent="0.2">
      <c r="A43" s="314">
        <v>101856</v>
      </c>
      <c r="B43" s="279" t="s">
        <v>34</v>
      </c>
      <c r="C43" s="279">
        <v>750</v>
      </c>
    </row>
    <row r="44" spans="1:3" x14ac:dyDescent="0.2">
      <c r="A44" s="314">
        <v>220811</v>
      </c>
      <c r="B44" s="279" t="s">
        <v>67</v>
      </c>
      <c r="C44" s="279">
        <v>800</v>
      </c>
    </row>
    <row r="45" spans="1:3" x14ac:dyDescent="0.2">
      <c r="A45" s="314">
        <v>92801</v>
      </c>
      <c r="B45" s="279" t="s">
        <v>29</v>
      </c>
      <c r="C45" s="279">
        <v>500</v>
      </c>
    </row>
    <row r="46" spans="1:3" x14ac:dyDescent="0.2">
      <c r="A46" s="314">
        <v>57833</v>
      </c>
      <c r="B46" s="279" t="s">
        <v>49</v>
      </c>
      <c r="C46" s="279">
        <v>1000</v>
      </c>
    </row>
    <row r="47" spans="1:3" x14ac:dyDescent="0.2">
      <c r="A47" s="314">
        <v>123805</v>
      </c>
      <c r="B47" s="279" t="s">
        <v>4</v>
      </c>
      <c r="C47" s="279">
        <v>500</v>
      </c>
    </row>
    <row r="48" spans="1:3" x14ac:dyDescent="0.2">
      <c r="A48" s="314">
        <v>71804</v>
      </c>
      <c r="B48" s="279" t="s">
        <v>26</v>
      </c>
      <c r="C48" s="279">
        <v>500</v>
      </c>
    </row>
    <row r="49" spans="1:3" x14ac:dyDescent="0.2">
      <c r="A49" s="314">
        <v>71810</v>
      </c>
      <c r="B49" s="279" t="s">
        <v>358</v>
      </c>
      <c r="C49" s="279">
        <v>625</v>
      </c>
    </row>
    <row r="50" spans="1:3" x14ac:dyDescent="0.2">
      <c r="A50" s="314">
        <v>15836</v>
      </c>
      <c r="B50" s="279" t="s">
        <v>337</v>
      </c>
      <c r="C50" s="279">
        <v>700</v>
      </c>
    </row>
    <row r="51" spans="1:3" x14ac:dyDescent="0.2">
      <c r="A51" s="314">
        <v>152806</v>
      </c>
      <c r="B51" s="279" t="s">
        <v>658</v>
      </c>
      <c r="C51" s="279">
        <v>540</v>
      </c>
    </row>
    <row r="52" spans="1:3" x14ac:dyDescent="0.2">
      <c r="A52" s="314">
        <v>72802</v>
      </c>
      <c r="B52" s="279" t="s">
        <v>359</v>
      </c>
      <c r="C52" s="279">
        <v>600</v>
      </c>
    </row>
    <row r="53" spans="1:3" x14ac:dyDescent="0.2">
      <c r="A53" s="314">
        <v>101872</v>
      </c>
      <c r="B53" s="279" t="s">
        <v>547</v>
      </c>
      <c r="C53" s="279">
        <v>1200</v>
      </c>
    </row>
    <row r="54" spans="1:3" x14ac:dyDescent="0.2">
      <c r="A54" s="314">
        <v>57834</v>
      </c>
      <c r="B54" s="279" t="s">
        <v>24</v>
      </c>
      <c r="C54" s="279">
        <v>1200</v>
      </c>
    </row>
    <row r="55" spans="1:3" x14ac:dyDescent="0.2">
      <c r="A55" s="314">
        <v>101811</v>
      </c>
      <c r="B55" s="279" t="s">
        <v>362</v>
      </c>
      <c r="C55" s="279">
        <v>1000</v>
      </c>
    </row>
    <row r="56" spans="1:3" x14ac:dyDescent="0.2">
      <c r="A56" s="314">
        <v>108809</v>
      </c>
      <c r="B56" s="279" t="s">
        <v>126</v>
      </c>
      <c r="C56" s="279">
        <v>600</v>
      </c>
    </row>
    <row r="57" spans="1:3" x14ac:dyDescent="0.2">
      <c r="A57" s="314">
        <v>220809</v>
      </c>
      <c r="B57" s="279" t="s">
        <v>82</v>
      </c>
      <c r="C57" s="279">
        <v>1000</v>
      </c>
    </row>
    <row r="58" spans="1:3" x14ac:dyDescent="0.2">
      <c r="A58" s="314">
        <v>57831</v>
      </c>
      <c r="B58" s="279" t="s">
        <v>48</v>
      </c>
      <c r="C58" s="279">
        <v>1200</v>
      </c>
    </row>
    <row r="59" spans="1:3" x14ac:dyDescent="0.2">
      <c r="A59" s="314">
        <v>15802</v>
      </c>
      <c r="B59" s="279" t="s">
        <v>58</v>
      </c>
      <c r="C59" s="279">
        <v>2500</v>
      </c>
    </row>
    <row r="60" spans="1:3" x14ac:dyDescent="0.2">
      <c r="A60" s="314">
        <v>101804</v>
      </c>
      <c r="B60" s="279" t="s">
        <v>7</v>
      </c>
      <c r="C60" s="279">
        <v>1450</v>
      </c>
    </row>
    <row r="61" spans="1:3" x14ac:dyDescent="0.2">
      <c r="A61" s="314">
        <v>57835</v>
      </c>
      <c r="B61" s="279" t="s">
        <v>50</v>
      </c>
      <c r="C61" s="279">
        <v>2500</v>
      </c>
    </row>
    <row r="62" spans="1:3" x14ac:dyDescent="0.2">
      <c r="A62" s="314">
        <v>246802</v>
      </c>
      <c r="B62" s="279" t="s">
        <v>469</v>
      </c>
      <c r="C62" s="279">
        <v>540</v>
      </c>
    </row>
    <row r="63" spans="1:3" x14ac:dyDescent="0.2">
      <c r="A63" s="314">
        <v>15835</v>
      </c>
      <c r="B63" s="279" t="s">
        <v>336</v>
      </c>
      <c r="C63" s="279">
        <v>5600</v>
      </c>
    </row>
    <row r="64" spans="1:3" x14ac:dyDescent="0.2">
      <c r="A64" s="314">
        <v>101858</v>
      </c>
      <c r="B64" s="279" t="s">
        <v>64</v>
      </c>
      <c r="C64" s="279">
        <v>7000</v>
      </c>
    </row>
    <row r="65" spans="1:3" x14ac:dyDescent="0.2">
      <c r="A65" s="314">
        <v>101862</v>
      </c>
      <c r="B65" s="279" t="s">
        <v>368</v>
      </c>
      <c r="C65" s="279">
        <v>6000</v>
      </c>
    </row>
    <row r="66" spans="1:3" x14ac:dyDescent="0.2">
      <c r="A66" s="314">
        <v>227816</v>
      </c>
      <c r="B66" s="279" t="s">
        <v>396</v>
      </c>
      <c r="C66" s="279">
        <v>5000</v>
      </c>
    </row>
    <row r="67" spans="1:3" x14ac:dyDescent="0.2">
      <c r="A67" s="314">
        <v>71806</v>
      </c>
      <c r="B67" s="279" t="s">
        <v>27</v>
      </c>
      <c r="C67" s="279">
        <v>4500</v>
      </c>
    </row>
    <row r="68" spans="1:3" x14ac:dyDescent="0.2">
      <c r="A68" s="314">
        <v>101846</v>
      </c>
      <c r="B68" s="279" t="s">
        <v>395</v>
      </c>
      <c r="C68" s="279">
        <v>7000</v>
      </c>
    </row>
    <row r="69" spans="1:3" x14ac:dyDescent="0.2">
      <c r="A69" s="314">
        <v>15828</v>
      </c>
      <c r="B69" s="279" t="s">
        <v>17</v>
      </c>
      <c r="C69" s="279">
        <v>5500</v>
      </c>
    </row>
    <row r="70" spans="1:3" x14ac:dyDescent="0.2">
      <c r="A70" s="314">
        <v>161807</v>
      </c>
      <c r="B70" s="279" t="s">
        <v>377</v>
      </c>
      <c r="C70" s="279">
        <v>15000</v>
      </c>
    </row>
    <row r="71" spans="1:3" x14ac:dyDescent="0.2">
      <c r="A71" s="314">
        <v>15833</v>
      </c>
      <c r="B71" s="279" t="s">
        <v>101</v>
      </c>
      <c r="C71" s="279">
        <v>480</v>
      </c>
    </row>
    <row r="72" spans="1:3" x14ac:dyDescent="0.2">
      <c r="A72" s="314">
        <v>15815</v>
      </c>
      <c r="B72" s="279" t="s">
        <v>414</v>
      </c>
      <c r="C72" s="279">
        <v>1500</v>
      </c>
    </row>
    <row r="73" spans="1:3" x14ac:dyDescent="0.2">
      <c r="A73" s="314">
        <v>220819</v>
      </c>
      <c r="B73" s="279" t="s">
        <v>392</v>
      </c>
      <c r="C73" s="279">
        <v>2868</v>
      </c>
    </row>
    <row r="74" spans="1:3" x14ac:dyDescent="0.2">
      <c r="A74" s="314">
        <v>108802</v>
      </c>
      <c r="B74" s="279" t="s">
        <v>371</v>
      </c>
      <c r="C74" s="279">
        <v>2500</v>
      </c>
    </row>
    <row r="75" spans="1:3" x14ac:dyDescent="0.2">
      <c r="A75" s="314">
        <v>101828</v>
      </c>
      <c r="B75" s="279" t="s">
        <v>11</v>
      </c>
      <c r="C75" s="279">
        <v>2400</v>
      </c>
    </row>
    <row r="76" spans="1:3" x14ac:dyDescent="0.2">
      <c r="A76" s="314">
        <v>101821</v>
      </c>
      <c r="B76" s="279" t="s">
        <v>10</v>
      </c>
      <c r="C76" s="279">
        <v>450</v>
      </c>
    </row>
    <row r="77" spans="1:3" x14ac:dyDescent="0.2">
      <c r="A77" s="314">
        <v>108807</v>
      </c>
      <c r="B77" s="279" t="s">
        <v>102</v>
      </c>
      <c r="C77" s="279">
        <v>63200</v>
      </c>
    </row>
    <row r="78" spans="1:3" x14ac:dyDescent="0.2">
      <c r="A78" s="314">
        <v>43801</v>
      </c>
      <c r="B78" s="279" t="s">
        <v>339</v>
      </c>
      <c r="C78" s="279">
        <v>1500</v>
      </c>
    </row>
    <row r="79" spans="1:3" x14ac:dyDescent="0.2">
      <c r="A79" s="314">
        <v>15808</v>
      </c>
      <c r="B79" s="279" t="s">
        <v>548</v>
      </c>
      <c r="C79" s="279">
        <v>1400</v>
      </c>
    </row>
    <row r="80" spans="1:3" x14ac:dyDescent="0.2">
      <c r="A80" s="314">
        <v>57830</v>
      </c>
      <c r="B80" s="279" t="s">
        <v>47</v>
      </c>
      <c r="C80" s="279">
        <v>2000</v>
      </c>
    </row>
    <row r="81" spans="1:3" x14ac:dyDescent="0.2">
      <c r="A81" s="314">
        <v>57848</v>
      </c>
      <c r="B81" s="279" t="s">
        <v>669</v>
      </c>
      <c r="C81" s="279">
        <v>29340</v>
      </c>
    </row>
    <row r="82" spans="1:3" x14ac:dyDescent="0.2">
      <c r="A82" s="314">
        <v>57819</v>
      </c>
      <c r="B82" s="279" t="s">
        <v>45</v>
      </c>
      <c r="C82" s="279">
        <v>400</v>
      </c>
    </row>
    <row r="83" spans="1:3" x14ac:dyDescent="0.2">
      <c r="A83" s="314">
        <v>15822</v>
      </c>
      <c r="B83" s="279" t="s">
        <v>481</v>
      </c>
      <c r="C83" s="279">
        <v>12000</v>
      </c>
    </row>
    <row r="84" spans="1:3" x14ac:dyDescent="0.2">
      <c r="A84" s="314">
        <v>105801</v>
      </c>
      <c r="B84" s="279" t="s">
        <v>35</v>
      </c>
      <c r="C84" s="279">
        <v>300</v>
      </c>
    </row>
    <row r="85" spans="1:3" x14ac:dyDescent="0.2">
      <c r="A85" s="314">
        <v>126801</v>
      </c>
      <c r="B85" s="279" t="s">
        <v>410</v>
      </c>
      <c r="C85" s="279">
        <v>360</v>
      </c>
    </row>
    <row r="86" spans="1:3" x14ac:dyDescent="0.2">
      <c r="A86" s="314">
        <v>105803</v>
      </c>
      <c r="B86" s="279" t="s">
        <v>391</v>
      </c>
      <c r="C86" s="279">
        <v>360</v>
      </c>
    </row>
    <row r="87" spans="1:3" x14ac:dyDescent="0.2">
      <c r="A87" s="314">
        <v>227820</v>
      </c>
      <c r="B87" s="279" t="s">
        <v>662</v>
      </c>
      <c r="C87" s="279">
        <v>38000</v>
      </c>
    </row>
    <row r="88" spans="1:3" x14ac:dyDescent="0.2">
      <c r="A88" s="314">
        <v>57839</v>
      </c>
      <c r="B88" s="279" t="s">
        <v>63</v>
      </c>
      <c r="C88" s="279">
        <v>1550</v>
      </c>
    </row>
    <row r="89" spans="1:3" x14ac:dyDescent="0.2">
      <c r="A89" s="314">
        <v>71807</v>
      </c>
      <c r="B89" s="279" t="s">
        <v>68</v>
      </c>
      <c r="C89" s="279">
        <v>672</v>
      </c>
    </row>
    <row r="90" spans="1:3" x14ac:dyDescent="0.2">
      <c r="A90" s="314">
        <v>111801</v>
      </c>
      <c r="B90" s="279" t="s">
        <v>654</v>
      </c>
      <c r="C90" s="279">
        <v>96</v>
      </c>
    </row>
    <row r="91" spans="1:3" x14ac:dyDescent="0.2">
      <c r="A91" s="314">
        <v>61804</v>
      </c>
      <c r="B91" s="279" t="s">
        <v>353</v>
      </c>
      <c r="C91" s="279">
        <v>2000</v>
      </c>
    </row>
    <row r="92" spans="1:3" x14ac:dyDescent="0.2">
      <c r="A92" s="314">
        <v>57846</v>
      </c>
      <c r="B92" s="279" t="s">
        <v>125</v>
      </c>
      <c r="C92" s="279">
        <v>2600</v>
      </c>
    </row>
    <row r="93" spans="1:3" x14ac:dyDescent="0.2">
      <c r="A93" s="314">
        <v>101874</v>
      </c>
      <c r="B93" s="279" t="s">
        <v>549</v>
      </c>
      <c r="C93" s="279">
        <v>2400</v>
      </c>
    </row>
    <row r="94" spans="1:3" x14ac:dyDescent="0.2">
      <c r="A94" s="314">
        <v>57807</v>
      </c>
      <c r="B94" s="279" t="s">
        <v>19</v>
      </c>
      <c r="C94" s="279">
        <v>15000</v>
      </c>
    </row>
    <row r="95" spans="1:3" x14ac:dyDescent="0.2">
      <c r="A95" s="314">
        <v>15825</v>
      </c>
      <c r="B95" s="279" t="s">
        <v>66</v>
      </c>
      <c r="C95" s="279">
        <v>600</v>
      </c>
    </row>
    <row r="96" spans="1:3" x14ac:dyDescent="0.2">
      <c r="A96" s="314">
        <v>43802</v>
      </c>
      <c r="B96" s="279" t="s">
        <v>550</v>
      </c>
      <c r="C96" s="279">
        <v>1300</v>
      </c>
    </row>
    <row r="97" spans="1:3" x14ac:dyDescent="0.2">
      <c r="A97" s="314">
        <v>57805</v>
      </c>
      <c r="B97" s="279" t="s">
        <v>341</v>
      </c>
      <c r="C97" s="279">
        <v>600</v>
      </c>
    </row>
    <row r="98" spans="1:3" x14ac:dyDescent="0.2">
      <c r="A98" s="314">
        <v>57844</v>
      </c>
      <c r="B98" s="279" t="s">
        <v>349</v>
      </c>
      <c r="C98" s="279">
        <v>1500</v>
      </c>
    </row>
    <row r="99" spans="1:3" x14ac:dyDescent="0.2">
      <c r="A99" s="314">
        <v>130801</v>
      </c>
      <c r="B99" s="279" t="s">
        <v>551</v>
      </c>
      <c r="C99" s="279">
        <v>300</v>
      </c>
    </row>
    <row r="100" spans="1:3" x14ac:dyDescent="0.2">
      <c r="A100" s="314">
        <v>246801</v>
      </c>
      <c r="B100" s="279" t="s">
        <v>398</v>
      </c>
      <c r="C100" s="279">
        <v>1800</v>
      </c>
    </row>
    <row r="101" spans="1:3" x14ac:dyDescent="0.2">
      <c r="A101" s="314">
        <v>101855</v>
      </c>
      <c r="B101" s="279" t="s">
        <v>2</v>
      </c>
      <c r="C101" s="279">
        <v>500</v>
      </c>
    </row>
    <row r="102" spans="1:3" x14ac:dyDescent="0.2">
      <c r="A102" s="314">
        <v>165802</v>
      </c>
      <c r="B102" s="279" t="s">
        <v>95</v>
      </c>
      <c r="C102" s="279">
        <v>1170</v>
      </c>
    </row>
    <row r="103" spans="1:3" x14ac:dyDescent="0.2">
      <c r="A103" s="314">
        <v>227826</v>
      </c>
      <c r="B103" s="279" t="s">
        <v>384</v>
      </c>
      <c r="C103" s="279">
        <v>1100</v>
      </c>
    </row>
    <row r="104" spans="1:3" x14ac:dyDescent="0.2">
      <c r="A104" s="314">
        <v>15805</v>
      </c>
      <c r="B104" s="279" t="s">
        <v>552</v>
      </c>
      <c r="C104" s="279">
        <v>1176</v>
      </c>
    </row>
    <row r="105" spans="1:3" x14ac:dyDescent="0.2">
      <c r="A105" s="314">
        <v>220817</v>
      </c>
      <c r="B105" s="279" t="s">
        <v>381</v>
      </c>
      <c r="C105" s="279">
        <v>3500</v>
      </c>
    </row>
    <row r="106" spans="1:3" x14ac:dyDescent="0.2">
      <c r="A106" s="314">
        <v>61802</v>
      </c>
      <c r="B106" s="279" t="s">
        <v>352</v>
      </c>
      <c r="C106" s="279">
        <v>1200</v>
      </c>
    </row>
    <row r="107" spans="1:3" x14ac:dyDescent="0.2">
      <c r="A107" s="314">
        <v>57809</v>
      </c>
      <c r="B107" s="279" t="s">
        <v>20</v>
      </c>
      <c r="C107" s="279">
        <v>500</v>
      </c>
    </row>
    <row r="108" spans="1:3" x14ac:dyDescent="0.2">
      <c r="A108" s="314">
        <v>57827</v>
      </c>
      <c r="B108" s="279" t="s">
        <v>23</v>
      </c>
      <c r="C108" s="279">
        <v>1000</v>
      </c>
    </row>
    <row r="109" spans="1:3" x14ac:dyDescent="0.2">
      <c r="A109" s="314">
        <v>227804</v>
      </c>
      <c r="B109" s="279" t="s">
        <v>83</v>
      </c>
      <c r="C109" s="279">
        <v>2500</v>
      </c>
    </row>
    <row r="110" spans="1:3" x14ac:dyDescent="0.2">
      <c r="A110" s="314">
        <v>84802</v>
      </c>
      <c r="B110" s="279" t="s">
        <v>28</v>
      </c>
      <c r="C110" s="279">
        <v>2254</v>
      </c>
    </row>
    <row r="111" spans="1:3" x14ac:dyDescent="0.2">
      <c r="A111" s="314">
        <v>14804</v>
      </c>
      <c r="B111" s="279" t="s">
        <v>1</v>
      </c>
      <c r="C111" s="279">
        <v>2500</v>
      </c>
    </row>
    <row r="112" spans="1:3" x14ac:dyDescent="0.2">
      <c r="A112" s="314">
        <v>183801</v>
      </c>
      <c r="B112" s="279" t="s">
        <v>76</v>
      </c>
      <c r="C112" s="279">
        <v>600</v>
      </c>
    </row>
    <row r="113" spans="1:4" x14ac:dyDescent="0.2">
      <c r="A113" s="314">
        <v>57802</v>
      </c>
      <c r="B113" s="279" t="s">
        <v>18</v>
      </c>
      <c r="C113" s="279">
        <v>1000</v>
      </c>
    </row>
    <row r="114" spans="1:4" x14ac:dyDescent="0.2">
      <c r="A114" s="314">
        <v>3801</v>
      </c>
      <c r="B114" s="279" t="s">
        <v>56</v>
      </c>
      <c r="C114" s="279">
        <v>1500</v>
      </c>
    </row>
    <row r="115" spans="1:4" x14ac:dyDescent="0.2">
      <c r="A115" s="314">
        <v>57850</v>
      </c>
      <c r="B115" s="279" t="s">
        <v>411</v>
      </c>
      <c r="C115" s="279">
        <v>3550</v>
      </c>
    </row>
    <row r="116" spans="1:4" x14ac:dyDescent="0.2">
      <c r="A116" s="314">
        <v>15801</v>
      </c>
      <c r="B116" s="279" t="s">
        <v>38</v>
      </c>
      <c r="C116" s="279">
        <v>1000</v>
      </c>
    </row>
    <row r="117" spans="1:4" x14ac:dyDescent="0.2">
      <c r="A117" s="314">
        <v>15814</v>
      </c>
      <c r="B117" s="279" t="s">
        <v>41</v>
      </c>
      <c r="C117" s="279">
        <v>425</v>
      </c>
    </row>
    <row r="118" spans="1:4" x14ac:dyDescent="0.2">
      <c r="A118" s="314">
        <v>72801</v>
      </c>
      <c r="B118" s="279" t="s">
        <v>105</v>
      </c>
      <c r="C118" s="279">
        <v>15000</v>
      </c>
    </row>
    <row r="119" spans="1:4" x14ac:dyDescent="0.2">
      <c r="A119" s="314">
        <v>14803</v>
      </c>
      <c r="B119" s="279" t="s">
        <v>333</v>
      </c>
      <c r="C119" s="279">
        <v>1200</v>
      </c>
    </row>
    <row r="120" spans="1:4" x14ac:dyDescent="0.2">
      <c r="A120" s="314">
        <v>15839</v>
      </c>
      <c r="B120" s="279" t="s">
        <v>640</v>
      </c>
      <c r="C120" s="279">
        <v>1056</v>
      </c>
      <c r="D120" s="279" t="s">
        <v>670</v>
      </c>
    </row>
    <row r="121" spans="1:4" x14ac:dyDescent="0.2">
      <c r="A121" s="314">
        <v>227824</v>
      </c>
      <c r="B121" s="279" t="s">
        <v>553</v>
      </c>
      <c r="C121" s="279">
        <v>2800</v>
      </c>
    </row>
    <row r="122" spans="1:4" x14ac:dyDescent="0.2">
      <c r="A122" s="314">
        <v>101853</v>
      </c>
      <c r="B122" s="279" t="s">
        <v>106</v>
      </c>
      <c r="C122" s="279">
        <v>2500</v>
      </c>
    </row>
    <row r="123" spans="1:4" x14ac:dyDescent="0.2">
      <c r="A123" s="314">
        <v>234801</v>
      </c>
      <c r="B123" s="279" t="s">
        <v>86</v>
      </c>
      <c r="C123" s="279">
        <v>250</v>
      </c>
    </row>
    <row r="124" spans="1:4" x14ac:dyDescent="0.2">
      <c r="A124" s="314">
        <v>161802</v>
      </c>
      <c r="B124" s="279" t="s">
        <v>376</v>
      </c>
      <c r="C124" s="279">
        <v>950</v>
      </c>
    </row>
    <row r="125" spans="1:4" x14ac:dyDescent="0.2">
      <c r="A125" s="314">
        <v>101806</v>
      </c>
      <c r="B125" s="279" t="s">
        <v>554</v>
      </c>
      <c r="C125" s="279">
        <v>1330</v>
      </c>
    </row>
    <row r="126" spans="1:4" x14ac:dyDescent="0.2">
      <c r="A126" s="314">
        <v>236801</v>
      </c>
      <c r="B126" s="279" t="s">
        <v>87</v>
      </c>
      <c r="C126" s="279">
        <v>400</v>
      </c>
    </row>
    <row r="127" spans="1:4" x14ac:dyDescent="0.2">
      <c r="A127" s="314">
        <v>101876</v>
      </c>
      <c r="B127" s="279" t="s">
        <v>652</v>
      </c>
      <c r="C127" s="279">
        <v>1620</v>
      </c>
    </row>
    <row r="128" spans="1:4" x14ac:dyDescent="0.2">
      <c r="A128" s="314">
        <v>101861</v>
      </c>
      <c r="B128" s="279" t="s">
        <v>399</v>
      </c>
      <c r="C128" s="279">
        <v>2000</v>
      </c>
    </row>
    <row r="129" spans="1:3" x14ac:dyDescent="0.2">
      <c r="A129" s="314">
        <v>14801</v>
      </c>
      <c r="B129" s="279" t="s">
        <v>37</v>
      </c>
      <c r="C129" s="279">
        <v>3000</v>
      </c>
    </row>
    <row r="130" spans="1:3" x14ac:dyDescent="0.2">
      <c r="A130" s="314">
        <v>57840</v>
      </c>
      <c r="B130" s="279" t="s">
        <v>347</v>
      </c>
      <c r="C130" s="279">
        <v>900</v>
      </c>
    </row>
    <row r="131" spans="1:3" x14ac:dyDescent="0.2">
      <c r="A131" s="314">
        <v>152802</v>
      </c>
      <c r="B131" s="279" t="s">
        <v>94</v>
      </c>
      <c r="C131" s="279">
        <v>350</v>
      </c>
    </row>
    <row r="132" spans="1:3" x14ac:dyDescent="0.2">
      <c r="A132" s="314">
        <v>236802</v>
      </c>
      <c r="B132" s="279" t="s">
        <v>413</v>
      </c>
      <c r="C132" s="279">
        <v>2820</v>
      </c>
    </row>
    <row r="133" spans="1:3" x14ac:dyDescent="0.2">
      <c r="A133" s="314">
        <v>15806</v>
      </c>
      <c r="B133" s="279" t="s">
        <v>59</v>
      </c>
      <c r="C133" s="279">
        <v>4500</v>
      </c>
    </row>
    <row r="134" spans="1:3" x14ac:dyDescent="0.2">
      <c r="A134" s="314">
        <v>15827</v>
      </c>
      <c r="B134" s="279" t="s">
        <v>16</v>
      </c>
      <c r="C134" s="279">
        <v>5000</v>
      </c>
    </row>
    <row r="135" spans="1:3" x14ac:dyDescent="0.2">
      <c r="A135" s="314">
        <v>15831</v>
      </c>
      <c r="B135" s="279" t="s">
        <v>334</v>
      </c>
      <c r="C135" s="279">
        <v>5000</v>
      </c>
    </row>
    <row r="136" spans="1:3" x14ac:dyDescent="0.2">
      <c r="A136" s="314">
        <v>178808</v>
      </c>
      <c r="B136" s="279" t="s">
        <v>107</v>
      </c>
      <c r="C136" s="279">
        <v>600</v>
      </c>
    </row>
    <row r="137" spans="1:3" x14ac:dyDescent="0.2">
      <c r="A137" s="314">
        <v>101802</v>
      </c>
      <c r="B137" s="279" t="s">
        <v>52</v>
      </c>
      <c r="C137" s="279">
        <v>1750</v>
      </c>
    </row>
    <row r="138" spans="1:3" x14ac:dyDescent="0.2">
      <c r="A138" s="314">
        <v>15807</v>
      </c>
      <c r="B138" s="279" t="s">
        <v>40</v>
      </c>
      <c r="C138" s="279">
        <v>1350</v>
      </c>
    </row>
    <row r="139" spans="1:3" x14ac:dyDescent="0.2">
      <c r="A139" s="314">
        <v>101838</v>
      </c>
      <c r="B139" s="279" t="s">
        <v>470</v>
      </c>
      <c r="C139" s="279">
        <v>4250</v>
      </c>
    </row>
    <row r="140" spans="1:3" x14ac:dyDescent="0.2">
      <c r="A140" s="314">
        <v>57836</v>
      </c>
      <c r="B140" s="279" t="s">
        <v>25</v>
      </c>
      <c r="C140" s="279">
        <v>1000</v>
      </c>
    </row>
    <row r="141" spans="1:3" x14ac:dyDescent="0.2">
      <c r="A141" s="314">
        <v>13801</v>
      </c>
      <c r="B141" s="279" t="s">
        <v>400</v>
      </c>
      <c r="C141" s="279">
        <v>700</v>
      </c>
    </row>
    <row r="142" spans="1:3" x14ac:dyDescent="0.2">
      <c r="A142" s="314">
        <v>101859</v>
      </c>
      <c r="B142" s="279" t="s">
        <v>366</v>
      </c>
      <c r="C142" s="279">
        <v>818</v>
      </c>
    </row>
    <row r="143" spans="1:3" x14ac:dyDescent="0.2">
      <c r="A143" s="314">
        <v>174801</v>
      </c>
      <c r="B143" s="279" t="s">
        <v>378</v>
      </c>
      <c r="C143" s="279">
        <v>320</v>
      </c>
    </row>
    <row r="144" spans="1:3" x14ac:dyDescent="0.2">
      <c r="A144" s="314">
        <v>123803</v>
      </c>
      <c r="B144" s="279" t="s">
        <v>401</v>
      </c>
      <c r="C144" s="279">
        <v>1500</v>
      </c>
    </row>
    <row r="145" spans="1:3" x14ac:dyDescent="0.2">
      <c r="A145" s="314">
        <v>57804</v>
      </c>
      <c r="B145" s="279" t="s">
        <v>340</v>
      </c>
      <c r="C145" s="279">
        <v>7500</v>
      </c>
    </row>
    <row r="146" spans="1:3" x14ac:dyDescent="0.2">
      <c r="A146" s="314">
        <v>221801</v>
      </c>
      <c r="B146" s="279" t="s">
        <v>382</v>
      </c>
      <c r="C146" s="279">
        <v>25000</v>
      </c>
    </row>
    <row r="147" spans="1:3" x14ac:dyDescent="0.2">
      <c r="A147" s="314">
        <v>227805</v>
      </c>
      <c r="B147" s="279" t="s">
        <v>84</v>
      </c>
      <c r="C147" s="279">
        <v>400</v>
      </c>
    </row>
    <row r="148" spans="1:3" x14ac:dyDescent="0.2">
      <c r="A148" s="314">
        <v>226801</v>
      </c>
      <c r="B148" s="279" t="s">
        <v>108</v>
      </c>
      <c r="C148" s="279">
        <v>5500</v>
      </c>
    </row>
    <row r="149" spans="1:3" x14ac:dyDescent="0.2">
      <c r="A149" s="314">
        <v>105802</v>
      </c>
      <c r="B149" s="279" t="s">
        <v>3</v>
      </c>
      <c r="C149" s="279">
        <v>635</v>
      </c>
    </row>
    <row r="150" spans="1:3" x14ac:dyDescent="0.2">
      <c r="A150" s="314">
        <v>220814</v>
      </c>
      <c r="B150" s="279" t="s">
        <v>379</v>
      </c>
      <c r="C150" s="279">
        <v>1250</v>
      </c>
    </row>
    <row r="151" spans="1:3" x14ac:dyDescent="0.2">
      <c r="A151" s="314">
        <v>170801</v>
      </c>
      <c r="B151" s="279" t="s">
        <v>75</v>
      </c>
      <c r="C151" s="279">
        <v>1000</v>
      </c>
    </row>
    <row r="152" spans="1:3" x14ac:dyDescent="0.2">
      <c r="A152" s="314">
        <v>227828</v>
      </c>
      <c r="B152" s="279" t="s">
        <v>393</v>
      </c>
      <c r="C152" s="279">
        <v>600</v>
      </c>
    </row>
    <row r="153" spans="1:3" x14ac:dyDescent="0.2">
      <c r="A153" s="314">
        <v>227827</v>
      </c>
      <c r="B153" s="279" t="s">
        <v>385</v>
      </c>
      <c r="C153" s="279">
        <v>999999</v>
      </c>
    </row>
    <row r="154" spans="1:3" x14ac:dyDescent="0.2">
      <c r="A154" s="314">
        <v>101864</v>
      </c>
      <c r="B154" s="279" t="s">
        <v>369</v>
      </c>
      <c r="C154" s="279">
        <v>1080</v>
      </c>
    </row>
    <row r="155" spans="1:3" x14ac:dyDescent="0.2">
      <c r="A155" s="314">
        <v>101868</v>
      </c>
      <c r="B155" s="279" t="s">
        <v>370</v>
      </c>
      <c r="C155" s="279">
        <v>800</v>
      </c>
    </row>
    <row r="156" spans="1:3" x14ac:dyDescent="0.2">
      <c r="A156" s="314">
        <v>220801</v>
      </c>
      <c r="B156" s="279" t="s">
        <v>80</v>
      </c>
      <c r="C156" s="279">
        <v>600</v>
      </c>
    </row>
    <row r="157" spans="1:3" x14ac:dyDescent="0.2">
      <c r="A157" s="314">
        <v>57813</v>
      </c>
      <c r="B157" s="279" t="s">
        <v>22</v>
      </c>
      <c r="C157" s="279">
        <v>5000</v>
      </c>
    </row>
    <row r="158" spans="1:3" x14ac:dyDescent="0.2">
      <c r="A158" s="314">
        <v>46802</v>
      </c>
      <c r="B158" s="279" t="s">
        <v>43</v>
      </c>
      <c r="C158" s="279">
        <v>1000</v>
      </c>
    </row>
    <row r="159" spans="1:3" x14ac:dyDescent="0.2">
      <c r="A159" s="314">
        <v>71803</v>
      </c>
      <c r="B159" s="279" t="s">
        <v>671</v>
      </c>
      <c r="C159" s="279">
        <v>800</v>
      </c>
    </row>
    <row r="160" spans="1:3" x14ac:dyDescent="0.2">
      <c r="A160" s="314">
        <v>240801</v>
      </c>
      <c r="B160" s="279" t="s">
        <v>664</v>
      </c>
      <c r="C160" s="279">
        <v>700</v>
      </c>
    </row>
    <row r="161" spans="1:3" x14ac:dyDescent="0.2">
      <c r="A161" s="314">
        <v>152803</v>
      </c>
      <c r="B161" s="279" t="s">
        <v>672</v>
      </c>
      <c r="C161" s="279">
        <v>400</v>
      </c>
    </row>
    <row r="162" spans="1:3" x14ac:dyDescent="0.2">
      <c r="A162" s="314">
        <v>108804</v>
      </c>
      <c r="B162" s="279" t="s">
        <v>653</v>
      </c>
      <c r="C162" s="279">
        <v>700</v>
      </c>
    </row>
    <row r="163" spans="1:3" x14ac:dyDescent="0.2">
      <c r="A163" s="314">
        <v>61805</v>
      </c>
      <c r="B163" s="279" t="s">
        <v>412</v>
      </c>
      <c r="C163" s="279">
        <v>2000</v>
      </c>
    </row>
    <row r="164" spans="1:3" x14ac:dyDescent="0.2">
      <c r="A164" s="314">
        <v>101840</v>
      </c>
      <c r="B164" s="279" t="s">
        <v>30</v>
      </c>
      <c r="C164" s="279">
        <v>700</v>
      </c>
    </row>
    <row r="165" spans="1:3" x14ac:dyDescent="0.2">
      <c r="A165" s="314">
        <v>57845</v>
      </c>
      <c r="B165" s="279" t="s">
        <v>124</v>
      </c>
      <c r="C165" s="279">
        <v>2750</v>
      </c>
    </row>
    <row r="166" spans="1:3" x14ac:dyDescent="0.2">
      <c r="A166" s="314">
        <v>57808</v>
      </c>
      <c r="B166" s="279" t="s">
        <v>44</v>
      </c>
      <c r="C166" s="279">
        <v>3000</v>
      </c>
    </row>
    <row r="167" spans="1:3" x14ac:dyDescent="0.2">
      <c r="A167" s="314">
        <v>101807</v>
      </c>
      <c r="B167" s="279" t="s">
        <v>8</v>
      </c>
      <c r="C167" s="279">
        <v>138</v>
      </c>
    </row>
    <row r="168" spans="1:3" x14ac:dyDescent="0.2">
      <c r="A168" s="314">
        <v>227819</v>
      </c>
      <c r="B168" s="279" t="s">
        <v>92</v>
      </c>
      <c r="C168" s="279">
        <v>340</v>
      </c>
    </row>
    <row r="169" spans="1:3" x14ac:dyDescent="0.2">
      <c r="A169" s="314">
        <v>227806</v>
      </c>
      <c r="B169" s="279" t="s">
        <v>90</v>
      </c>
      <c r="C169" s="279">
        <v>2000</v>
      </c>
    </row>
    <row r="170" spans="1:3" x14ac:dyDescent="0.2">
      <c r="A170" s="314">
        <v>57803</v>
      </c>
      <c r="B170" s="279" t="s">
        <v>407</v>
      </c>
      <c r="C170" s="279">
        <v>24000</v>
      </c>
    </row>
    <row r="171" spans="1:3" x14ac:dyDescent="0.2">
      <c r="A171" s="314">
        <v>212804</v>
      </c>
      <c r="B171" s="279" t="s">
        <v>659</v>
      </c>
      <c r="C171" s="279">
        <v>2400</v>
      </c>
    </row>
    <row r="172" spans="1:3" x14ac:dyDescent="0.2">
      <c r="A172" s="314">
        <v>68803</v>
      </c>
      <c r="B172" s="279" t="s">
        <v>355</v>
      </c>
      <c r="C172" s="279">
        <v>3900</v>
      </c>
    </row>
    <row r="173" spans="1:3" x14ac:dyDescent="0.2">
      <c r="A173" s="314">
        <v>227829</v>
      </c>
      <c r="B173" s="279" t="s">
        <v>555</v>
      </c>
      <c r="C173" s="279">
        <v>2600</v>
      </c>
    </row>
    <row r="174" spans="1:3" x14ac:dyDescent="0.2">
      <c r="A174" s="314">
        <v>108808</v>
      </c>
      <c r="B174" s="279" t="s">
        <v>93</v>
      </c>
      <c r="C174" s="279">
        <v>5750</v>
      </c>
    </row>
    <row r="175" spans="1:3" x14ac:dyDescent="0.2">
      <c r="A175" s="314">
        <v>101814</v>
      </c>
      <c r="B175" s="279" t="s">
        <v>402</v>
      </c>
      <c r="C175" s="279">
        <v>2500</v>
      </c>
    </row>
    <row r="176" spans="1:3" x14ac:dyDescent="0.2">
      <c r="A176" s="314">
        <v>57847</v>
      </c>
      <c r="B176" s="279" t="s">
        <v>350</v>
      </c>
      <c r="C176" s="279">
        <v>1400</v>
      </c>
    </row>
    <row r="177" spans="1:3" x14ac:dyDescent="0.2">
      <c r="A177" s="314">
        <v>71809</v>
      </c>
      <c r="B177" s="279" t="s">
        <v>357</v>
      </c>
      <c r="C177" s="279">
        <v>1240</v>
      </c>
    </row>
    <row r="178" spans="1:3" x14ac:dyDescent="0.2">
      <c r="A178" s="314">
        <v>161801</v>
      </c>
      <c r="B178" s="279" t="s">
        <v>5</v>
      </c>
      <c r="C178" s="279">
        <v>360</v>
      </c>
    </row>
    <row r="179" spans="1:3" x14ac:dyDescent="0.2">
      <c r="A179" s="314">
        <v>70801</v>
      </c>
      <c r="B179" s="279" t="s">
        <v>51</v>
      </c>
      <c r="C179" s="279">
        <v>3300</v>
      </c>
    </row>
    <row r="180" spans="1:3" x14ac:dyDescent="0.2">
      <c r="A180" s="314">
        <v>227803</v>
      </c>
      <c r="B180" s="279" t="s">
        <v>383</v>
      </c>
      <c r="C180" s="279">
        <v>3500</v>
      </c>
    </row>
    <row r="181" spans="1:3" x14ac:dyDescent="0.2">
      <c r="A181" s="314">
        <v>220810</v>
      </c>
      <c r="B181" s="279" t="s">
        <v>0</v>
      </c>
      <c r="C181" s="279">
        <v>1450</v>
      </c>
    </row>
    <row r="182" spans="1:3" x14ac:dyDescent="0.2">
      <c r="A182" s="314">
        <v>57828</v>
      </c>
      <c r="B182" s="279" t="s">
        <v>88</v>
      </c>
      <c r="C182" s="279">
        <v>3000</v>
      </c>
    </row>
    <row r="183" spans="1:3" x14ac:dyDescent="0.2">
      <c r="A183" s="314">
        <v>101873</v>
      </c>
      <c r="B183" s="279" t="s">
        <v>556</v>
      </c>
      <c r="C183" s="279">
        <v>1000</v>
      </c>
    </row>
    <row r="184" spans="1:3" x14ac:dyDescent="0.2">
      <c r="A184" s="314">
        <v>101845</v>
      </c>
      <c r="B184" s="279" t="s">
        <v>403</v>
      </c>
      <c r="C184" s="279">
        <v>12500</v>
      </c>
    </row>
  </sheetData>
  <sheetProtection algorithmName="SHA-512" hashValue="8VXbPu3aTsoCFHNW8+RI5i+JrvSvM1A5TGR/LjGOvKXrs5lFSfOXgoJpmRWfR5p8WnQ49vMwNqfHHaSLwTeOPA==" saltValue="DJQdJ+H8iweatZJ0/9+5Kg==" spinCount="100000" sheet="1" objects="1" scenarios="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9" tint="0.79998168889431442"/>
    <pageSetUpPr fitToPage="1"/>
  </sheetPr>
  <dimension ref="A1:AA75"/>
  <sheetViews>
    <sheetView workbookViewId="0">
      <selection sqref="A1:XFD1048576"/>
    </sheetView>
  </sheetViews>
  <sheetFormatPr defaultColWidth="8.85546875" defaultRowHeight="14.25" x14ac:dyDescent="0.2"/>
  <cols>
    <col min="1" max="1" width="30.7109375" style="330" customWidth="1"/>
    <col min="2" max="2" width="25.7109375" style="330" customWidth="1"/>
    <col min="3" max="4" width="45.7109375" style="330" customWidth="1"/>
    <col min="5" max="5" width="35.7109375" style="330" customWidth="1"/>
    <col min="6" max="6" width="4.7109375" style="330" customWidth="1"/>
    <col min="7" max="7" width="6.7109375" style="330" customWidth="1"/>
    <col min="8" max="16384" width="8.85546875" style="330"/>
  </cols>
  <sheetData>
    <row r="1" spans="1:27" s="319" customFormat="1" ht="60" customHeight="1" x14ac:dyDescent="0.2">
      <c r="A1" s="716" t="s">
        <v>530</v>
      </c>
      <c r="B1" s="717"/>
      <c r="C1" s="717"/>
      <c r="D1" s="717"/>
      <c r="E1" s="718"/>
      <c r="F1" s="318"/>
      <c r="H1" s="691" t="s">
        <v>534</v>
      </c>
      <c r="I1" s="692"/>
      <c r="J1" s="692"/>
      <c r="K1" s="692"/>
      <c r="L1" s="692"/>
      <c r="M1" s="692"/>
      <c r="N1" s="692"/>
      <c r="O1" s="692"/>
      <c r="P1" s="692"/>
      <c r="Q1" s="692"/>
      <c r="R1" s="692"/>
      <c r="S1" s="692"/>
      <c r="T1" s="692"/>
      <c r="U1" s="692"/>
      <c r="V1" s="692"/>
      <c r="W1" s="692"/>
      <c r="X1" s="692"/>
      <c r="Y1" s="692"/>
      <c r="Z1" s="692"/>
      <c r="AA1" s="692"/>
    </row>
    <row r="2" spans="1:27" s="319" customFormat="1" ht="15" customHeight="1" x14ac:dyDescent="0.2">
      <c r="A2" s="719"/>
      <c r="B2" s="720"/>
      <c r="C2" s="720"/>
      <c r="D2" s="720"/>
      <c r="E2" s="721"/>
      <c r="F2" s="320"/>
      <c r="G2" s="693" t="s">
        <v>535</v>
      </c>
      <c r="H2" s="694"/>
      <c r="I2" s="694"/>
      <c r="J2" s="694"/>
      <c r="K2" s="694"/>
      <c r="L2" s="694"/>
      <c r="M2" s="694"/>
      <c r="N2" s="694"/>
      <c r="O2" s="694"/>
      <c r="P2" s="694"/>
      <c r="Q2" s="694"/>
      <c r="R2" s="694"/>
      <c r="S2" s="694"/>
      <c r="T2" s="694"/>
      <c r="U2" s="694"/>
      <c r="V2" s="694"/>
      <c r="W2" s="694"/>
      <c r="X2" s="694"/>
      <c r="Y2" s="694"/>
      <c r="Z2" s="694"/>
    </row>
    <row r="3" spans="1:27" s="323" customFormat="1" ht="15" customHeight="1" x14ac:dyDescent="0.2">
      <c r="A3" s="321" t="s">
        <v>491</v>
      </c>
      <c r="B3" s="706">
        <f>'ESTIMATE DATA ENTRY '!C1</f>
        <v>0</v>
      </c>
      <c r="C3" s="706"/>
      <c r="D3" s="707"/>
      <c r="E3" s="708"/>
      <c r="F3" s="322"/>
      <c r="G3" s="694"/>
      <c r="H3" s="694"/>
      <c r="I3" s="694"/>
      <c r="J3" s="694"/>
      <c r="K3" s="694"/>
      <c r="L3" s="694"/>
      <c r="M3" s="694"/>
      <c r="N3" s="694"/>
      <c r="O3" s="694"/>
      <c r="P3" s="694"/>
      <c r="Q3" s="694"/>
      <c r="R3" s="694"/>
      <c r="S3" s="694"/>
      <c r="T3" s="694"/>
      <c r="U3" s="694"/>
      <c r="V3" s="694"/>
      <c r="W3" s="694"/>
      <c r="X3" s="694"/>
      <c r="Y3" s="694"/>
      <c r="Z3" s="694"/>
    </row>
    <row r="4" spans="1:27" s="323" customFormat="1" ht="15" customHeight="1" x14ac:dyDescent="0.2">
      <c r="A4" s="321" t="s">
        <v>492</v>
      </c>
      <c r="B4" s="706" t="str">
        <f>'ESTIMATE DATA ENTRY '!A2</f>
        <v>Enter six digit county district number in cell C1</v>
      </c>
      <c r="C4" s="706"/>
      <c r="D4" s="706"/>
      <c r="E4" s="709"/>
      <c r="F4" s="324"/>
      <c r="G4" s="694"/>
      <c r="H4" s="694"/>
      <c r="I4" s="694"/>
      <c r="J4" s="694"/>
      <c r="K4" s="694"/>
      <c r="L4" s="694"/>
      <c r="M4" s="694"/>
      <c r="N4" s="694"/>
      <c r="O4" s="694"/>
      <c r="P4" s="694"/>
      <c r="Q4" s="694"/>
      <c r="R4" s="694"/>
      <c r="S4" s="694"/>
      <c r="T4" s="694"/>
      <c r="U4" s="694"/>
      <c r="V4" s="694"/>
      <c r="W4" s="694"/>
      <c r="X4" s="694"/>
      <c r="Y4" s="694"/>
      <c r="Z4" s="694"/>
    </row>
    <row r="5" spans="1:27" s="323" customFormat="1" ht="15" customHeight="1" thickBot="1" x14ac:dyDescent="0.25">
      <c r="A5" s="722"/>
      <c r="B5" s="723"/>
      <c r="C5" s="723"/>
      <c r="D5" s="723"/>
      <c r="E5" s="724"/>
      <c r="F5" s="325"/>
      <c r="G5" s="694"/>
      <c r="H5" s="694"/>
      <c r="I5" s="694"/>
      <c r="J5" s="694"/>
      <c r="K5" s="694"/>
      <c r="L5" s="694"/>
      <c r="M5" s="694"/>
      <c r="N5" s="694"/>
      <c r="O5" s="694"/>
      <c r="P5" s="694"/>
      <c r="Q5" s="694"/>
      <c r="R5" s="694"/>
      <c r="S5" s="694"/>
      <c r="T5" s="694"/>
      <c r="U5" s="694"/>
      <c r="V5" s="694"/>
      <c r="W5" s="694"/>
      <c r="X5" s="694"/>
      <c r="Y5" s="694"/>
      <c r="Z5" s="694"/>
    </row>
    <row r="6" spans="1:27" s="323" customFormat="1" ht="51" customHeight="1" thickBot="1" x14ac:dyDescent="0.25">
      <c r="A6" s="326" t="s">
        <v>493</v>
      </c>
      <c r="B6" s="327" t="s">
        <v>71</v>
      </c>
      <c r="C6" s="710" t="s">
        <v>903</v>
      </c>
      <c r="D6" s="710"/>
      <c r="E6" s="711"/>
      <c r="F6" s="328"/>
      <c r="G6" s="694"/>
      <c r="H6" s="694"/>
      <c r="I6" s="694"/>
      <c r="J6" s="694"/>
      <c r="K6" s="694"/>
      <c r="L6" s="694"/>
      <c r="M6" s="694"/>
      <c r="N6" s="694"/>
      <c r="O6" s="694"/>
      <c r="P6" s="694"/>
      <c r="Q6" s="694"/>
      <c r="R6" s="694"/>
      <c r="S6" s="694"/>
      <c r="T6" s="694"/>
      <c r="U6" s="694"/>
      <c r="V6" s="694"/>
      <c r="W6" s="694"/>
      <c r="X6" s="694"/>
      <c r="Y6" s="694"/>
      <c r="Z6" s="694"/>
    </row>
    <row r="7" spans="1:27" ht="16.5" customHeight="1" thickBot="1" x14ac:dyDescent="0.25">
      <c r="A7" s="725"/>
      <c r="B7" s="726"/>
      <c r="C7" s="726"/>
      <c r="D7" s="726"/>
      <c r="E7" s="727"/>
      <c r="F7" s="329"/>
      <c r="G7" s="694"/>
      <c r="H7" s="694"/>
      <c r="I7" s="694"/>
      <c r="J7" s="694"/>
      <c r="K7" s="694"/>
      <c r="L7" s="694"/>
      <c r="M7" s="694"/>
      <c r="N7" s="694"/>
      <c r="O7" s="694"/>
      <c r="P7" s="694"/>
      <c r="Q7" s="694"/>
      <c r="R7" s="694"/>
      <c r="S7" s="694"/>
      <c r="T7" s="694"/>
      <c r="U7" s="694"/>
      <c r="V7" s="694"/>
      <c r="W7" s="694"/>
      <c r="X7" s="694"/>
      <c r="Y7" s="694"/>
      <c r="Z7" s="694"/>
    </row>
    <row r="8" spans="1:27" s="332" customFormat="1" ht="33.75" customHeight="1" thickBot="1" x14ac:dyDescent="0.25">
      <c r="A8" s="730" t="s">
        <v>489</v>
      </c>
      <c r="B8" s="697" t="s">
        <v>532</v>
      </c>
      <c r="C8" s="712" t="str">
        <f>IF($B$6="NO","Enter number of approved Actual applications (estimates only for July, Aug, Sept) received through TDA and/or TEA:"," Enter number of Estimated Applications to be Reported
 to TDA and/or TEA:")</f>
        <v>Enter number of approved Actual applications (estimates only for July, Aug, Sept) received through TDA and/or TEA:</v>
      </c>
      <c r="D8" s="713" t="str">
        <f>IF($B$6="NO","October 2017"," October 2018")</f>
        <v>October 2017</v>
      </c>
      <c r="E8" s="714" t="str">
        <f>IF($B$6="NO","Total"," Estimated Total")</f>
        <v>Total</v>
      </c>
      <c r="F8" s="331"/>
      <c r="G8" s="694"/>
      <c r="H8" s="694"/>
      <c r="I8" s="694"/>
      <c r="J8" s="694"/>
      <c r="K8" s="694"/>
      <c r="L8" s="694"/>
      <c r="M8" s="694"/>
      <c r="N8" s="694"/>
      <c r="O8" s="694"/>
      <c r="P8" s="694"/>
      <c r="Q8" s="694"/>
      <c r="R8" s="694"/>
      <c r="S8" s="694"/>
      <c r="T8" s="694"/>
      <c r="U8" s="694"/>
      <c r="V8" s="694"/>
      <c r="W8" s="694"/>
      <c r="X8" s="694"/>
      <c r="Y8" s="694"/>
      <c r="Z8" s="694"/>
    </row>
    <row r="9" spans="1:27" ht="43.5" thickBot="1" x14ac:dyDescent="0.25">
      <c r="A9" s="731"/>
      <c r="B9" s="698"/>
      <c r="C9" s="326" t="s">
        <v>528</v>
      </c>
      <c r="D9" s="326" t="s">
        <v>490</v>
      </c>
      <c r="E9" s="715" t="str">
        <f>IF($B$6="NO","Enter number of approved Actual applications (estimate only for June, Aug, Sept) to TDA and/or TEA:"," Enter number of Estimated Applications to be Reported
 to TDA and/or TEA:")</f>
        <v>Enter number of approved Actual applications (estimate only for June, Aug, Sept) to TDA and/or TEA:</v>
      </c>
      <c r="F9" s="320"/>
      <c r="G9" s="694"/>
      <c r="H9" s="694"/>
      <c r="I9" s="694"/>
      <c r="J9" s="694"/>
      <c r="K9" s="694"/>
      <c r="L9" s="694"/>
      <c r="M9" s="694"/>
      <c r="N9" s="694"/>
      <c r="O9" s="694"/>
      <c r="P9" s="694"/>
      <c r="Q9" s="694"/>
      <c r="R9" s="694"/>
      <c r="S9" s="694"/>
      <c r="T9" s="694"/>
      <c r="U9" s="694"/>
      <c r="V9" s="694"/>
      <c r="W9" s="694"/>
      <c r="X9" s="694"/>
      <c r="Y9" s="694"/>
      <c r="Z9" s="694"/>
    </row>
    <row r="10" spans="1:27" ht="15" customHeight="1" thickBot="1" x14ac:dyDescent="0.25">
      <c r="A10" s="315" t="str">
        <f>IF($B$6="NO","October 2017"," October 2018")</f>
        <v>October 2017</v>
      </c>
      <c r="B10" s="316" t="str">
        <f>IF($B$6="NO","actual","estimate")</f>
        <v>actual</v>
      </c>
      <c r="C10" s="333">
        <v>0</v>
      </c>
      <c r="D10" s="333">
        <v>0</v>
      </c>
      <c r="E10" s="317">
        <f>SUM(C10:D10)</f>
        <v>0</v>
      </c>
      <c r="F10" s="334"/>
      <c r="G10" s="694"/>
      <c r="H10" s="694"/>
      <c r="I10" s="694"/>
      <c r="J10" s="694"/>
      <c r="K10" s="694"/>
      <c r="L10" s="694"/>
      <c r="M10" s="694"/>
      <c r="N10" s="694"/>
      <c r="O10" s="694"/>
      <c r="P10" s="694"/>
      <c r="Q10" s="694"/>
      <c r="R10" s="694"/>
      <c r="S10" s="694"/>
      <c r="T10" s="694"/>
      <c r="U10" s="694"/>
      <c r="V10" s="694"/>
      <c r="W10" s="694"/>
      <c r="X10" s="694"/>
      <c r="Y10" s="694"/>
      <c r="Z10" s="694"/>
    </row>
    <row r="11" spans="1:27" ht="15" customHeight="1" thickBot="1" x14ac:dyDescent="0.25">
      <c r="A11" s="315" t="str">
        <f>IF($B$6="NO","November 2017"," November 2018")</f>
        <v>November 2017</v>
      </c>
      <c r="B11" s="316" t="str">
        <f t="shared" ref="B11:B18" si="0">IF($B$6="NO","actual","estimate")</f>
        <v>actual</v>
      </c>
      <c r="C11" s="333">
        <v>0</v>
      </c>
      <c r="D11" s="333">
        <v>0</v>
      </c>
      <c r="E11" s="317">
        <f t="shared" ref="E11:E21" si="1">SUM(C11:D11)</f>
        <v>0</v>
      </c>
      <c r="F11" s="334"/>
      <c r="G11" s="694"/>
      <c r="H11" s="694"/>
      <c r="I11" s="694"/>
      <c r="J11" s="694"/>
      <c r="K11" s="694"/>
      <c r="L11" s="694"/>
      <c r="M11" s="694"/>
      <c r="N11" s="694"/>
      <c r="O11" s="694"/>
      <c r="P11" s="694"/>
      <c r="Q11" s="694"/>
      <c r="R11" s="694"/>
      <c r="S11" s="694"/>
      <c r="T11" s="694"/>
      <c r="U11" s="694"/>
      <c r="V11" s="694"/>
      <c r="W11" s="694"/>
      <c r="X11" s="694"/>
      <c r="Y11" s="694"/>
      <c r="Z11" s="694"/>
    </row>
    <row r="12" spans="1:27" ht="15" customHeight="1" thickBot="1" x14ac:dyDescent="0.25">
      <c r="A12" s="315" t="str">
        <f>IF($B$6="NO","December 2017"," December 2018")</f>
        <v>December 2017</v>
      </c>
      <c r="B12" s="316" t="str">
        <f t="shared" si="0"/>
        <v>actual</v>
      </c>
      <c r="C12" s="333">
        <v>0</v>
      </c>
      <c r="D12" s="333">
        <v>0</v>
      </c>
      <c r="E12" s="317">
        <f t="shared" si="1"/>
        <v>0</v>
      </c>
      <c r="F12" s="334"/>
      <c r="G12" s="694"/>
      <c r="H12" s="694"/>
      <c r="I12" s="694"/>
      <c r="J12" s="694"/>
      <c r="K12" s="694"/>
      <c r="L12" s="694"/>
      <c r="M12" s="694"/>
      <c r="N12" s="694"/>
      <c r="O12" s="694"/>
      <c r="P12" s="694"/>
      <c r="Q12" s="694"/>
      <c r="R12" s="694"/>
      <c r="S12" s="694"/>
      <c r="T12" s="694"/>
      <c r="U12" s="694"/>
      <c r="V12" s="694"/>
      <c r="W12" s="694"/>
      <c r="X12" s="694"/>
      <c r="Y12" s="694"/>
      <c r="Z12" s="694"/>
    </row>
    <row r="13" spans="1:27" ht="15" customHeight="1" thickBot="1" x14ac:dyDescent="0.25">
      <c r="A13" s="315" t="str">
        <f>IF($B$6="NO","January 2018"," January 2019")</f>
        <v>January 2018</v>
      </c>
      <c r="B13" s="316" t="str">
        <f t="shared" si="0"/>
        <v>actual</v>
      </c>
      <c r="C13" s="333">
        <v>0</v>
      </c>
      <c r="D13" s="333">
        <v>0</v>
      </c>
      <c r="E13" s="317">
        <f t="shared" si="1"/>
        <v>0</v>
      </c>
      <c r="F13" s="334"/>
      <c r="G13" s="694"/>
      <c r="H13" s="694"/>
      <c r="I13" s="694"/>
      <c r="J13" s="694"/>
      <c r="K13" s="694"/>
      <c r="L13" s="694"/>
      <c r="M13" s="694"/>
      <c r="N13" s="694"/>
      <c r="O13" s="694"/>
      <c r="P13" s="694"/>
      <c r="Q13" s="694"/>
      <c r="R13" s="694"/>
      <c r="S13" s="694"/>
      <c r="T13" s="694"/>
      <c r="U13" s="694"/>
      <c r="V13" s="694"/>
      <c r="W13" s="694"/>
      <c r="X13" s="694"/>
      <c r="Y13" s="694"/>
      <c r="Z13" s="694"/>
    </row>
    <row r="14" spans="1:27" ht="15" customHeight="1" thickBot="1" x14ac:dyDescent="0.25">
      <c r="A14" s="315" t="str">
        <f>IF($B$6="NO","February 2018"," February 2019")</f>
        <v>February 2018</v>
      </c>
      <c r="B14" s="316" t="str">
        <f t="shared" si="0"/>
        <v>actual</v>
      </c>
      <c r="C14" s="333">
        <v>0</v>
      </c>
      <c r="D14" s="333">
        <v>0</v>
      </c>
      <c r="E14" s="317">
        <f t="shared" si="1"/>
        <v>0</v>
      </c>
      <c r="F14" s="334"/>
      <c r="G14" s="694"/>
      <c r="H14" s="694"/>
      <c r="I14" s="694"/>
      <c r="J14" s="694"/>
      <c r="K14" s="694"/>
      <c r="L14" s="694"/>
      <c r="M14" s="694"/>
      <c r="N14" s="694"/>
      <c r="O14" s="694"/>
      <c r="P14" s="694"/>
      <c r="Q14" s="694"/>
      <c r="R14" s="694"/>
      <c r="S14" s="694"/>
      <c r="T14" s="694"/>
      <c r="U14" s="694"/>
      <c r="V14" s="694"/>
      <c r="W14" s="694"/>
      <c r="X14" s="694"/>
      <c r="Y14" s="694"/>
      <c r="Z14" s="694"/>
    </row>
    <row r="15" spans="1:27" ht="15" customHeight="1" thickBot="1" x14ac:dyDescent="0.25">
      <c r="A15" s="315" t="str">
        <f>IF($B$6="NO","March 2018","March 2019")</f>
        <v>March 2018</v>
      </c>
      <c r="B15" s="316" t="str">
        <f t="shared" si="0"/>
        <v>actual</v>
      </c>
      <c r="C15" s="333">
        <v>0</v>
      </c>
      <c r="D15" s="333">
        <v>0</v>
      </c>
      <c r="E15" s="317">
        <f t="shared" si="1"/>
        <v>0</v>
      </c>
      <c r="F15" s="334"/>
      <c r="G15" s="694"/>
      <c r="H15" s="694"/>
      <c r="I15" s="694"/>
      <c r="J15" s="694"/>
      <c r="K15" s="694"/>
      <c r="L15" s="694"/>
      <c r="M15" s="694"/>
      <c r="N15" s="694"/>
      <c r="O15" s="694"/>
      <c r="P15" s="694"/>
      <c r="Q15" s="694"/>
      <c r="R15" s="694"/>
      <c r="S15" s="694"/>
      <c r="T15" s="694"/>
      <c r="U15" s="694"/>
      <c r="V15" s="694"/>
      <c r="W15" s="694"/>
      <c r="X15" s="694"/>
      <c r="Y15" s="694"/>
      <c r="Z15" s="694"/>
    </row>
    <row r="16" spans="1:27" ht="15" customHeight="1" thickBot="1" x14ac:dyDescent="0.25">
      <c r="A16" s="315" t="str">
        <f>IF($B$6="NO","April 2018","April 2019")</f>
        <v>April 2018</v>
      </c>
      <c r="B16" s="316" t="str">
        <f t="shared" si="0"/>
        <v>actual</v>
      </c>
      <c r="C16" s="333">
        <v>0</v>
      </c>
      <c r="D16" s="333">
        <v>0</v>
      </c>
      <c r="E16" s="317">
        <f t="shared" si="1"/>
        <v>0</v>
      </c>
      <c r="F16" s="334"/>
      <c r="G16" s="694"/>
      <c r="H16" s="694"/>
      <c r="I16" s="694"/>
      <c r="J16" s="694"/>
      <c r="K16" s="694"/>
      <c r="L16" s="694"/>
      <c r="M16" s="694"/>
      <c r="N16" s="694"/>
      <c r="O16" s="694"/>
      <c r="P16" s="694"/>
      <c r="Q16" s="694"/>
      <c r="R16" s="694"/>
      <c r="S16" s="694"/>
      <c r="T16" s="694"/>
      <c r="U16" s="694"/>
      <c r="V16" s="694"/>
      <c r="W16" s="694"/>
      <c r="X16" s="694"/>
      <c r="Y16" s="694"/>
      <c r="Z16" s="694"/>
    </row>
    <row r="17" spans="1:26" ht="15" customHeight="1" thickBot="1" x14ac:dyDescent="0.25">
      <c r="A17" s="315" t="str">
        <f>IF($B$6="NO","May 2018","May 2019")</f>
        <v>May 2018</v>
      </c>
      <c r="B17" s="316" t="str">
        <f t="shared" si="0"/>
        <v>actual</v>
      </c>
      <c r="C17" s="333">
        <v>0</v>
      </c>
      <c r="D17" s="333">
        <v>0</v>
      </c>
      <c r="E17" s="317">
        <f t="shared" si="1"/>
        <v>0</v>
      </c>
      <c r="F17" s="334"/>
      <c r="G17" s="694"/>
      <c r="H17" s="694"/>
      <c r="I17" s="694"/>
      <c r="J17" s="694"/>
      <c r="K17" s="694"/>
      <c r="L17" s="694"/>
      <c r="M17" s="694"/>
      <c r="N17" s="694"/>
      <c r="O17" s="694"/>
      <c r="P17" s="694"/>
      <c r="Q17" s="694"/>
      <c r="R17" s="694"/>
      <c r="S17" s="694"/>
      <c r="T17" s="694"/>
      <c r="U17" s="694"/>
      <c r="V17" s="694"/>
      <c r="W17" s="694"/>
      <c r="X17" s="694"/>
      <c r="Y17" s="694"/>
      <c r="Z17" s="694"/>
    </row>
    <row r="18" spans="1:26" ht="15" customHeight="1" thickBot="1" x14ac:dyDescent="0.25">
      <c r="A18" s="315" t="str">
        <f>IF($B$6="NO","June 2018","June 2019")</f>
        <v>June 2018</v>
      </c>
      <c r="B18" s="316" t="str">
        <f t="shared" si="0"/>
        <v>actual</v>
      </c>
      <c r="C18" s="333">
        <v>0</v>
      </c>
      <c r="D18" s="333">
        <v>0</v>
      </c>
      <c r="E18" s="317">
        <f t="shared" si="1"/>
        <v>0</v>
      </c>
      <c r="F18" s="334"/>
      <c r="G18" s="694"/>
      <c r="H18" s="694"/>
      <c r="I18" s="694"/>
      <c r="J18" s="694"/>
      <c r="K18" s="694"/>
      <c r="L18" s="694"/>
      <c r="M18" s="694"/>
      <c r="N18" s="694"/>
      <c r="O18" s="694"/>
      <c r="P18" s="694"/>
      <c r="Q18" s="694"/>
      <c r="R18" s="694"/>
      <c r="S18" s="694"/>
      <c r="T18" s="694"/>
      <c r="U18" s="694"/>
      <c r="V18" s="694"/>
      <c r="W18" s="694"/>
      <c r="X18" s="694"/>
      <c r="Y18" s="694"/>
      <c r="Z18" s="694"/>
    </row>
    <row r="19" spans="1:26" ht="15" customHeight="1" thickBot="1" x14ac:dyDescent="0.25">
      <c r="A19" s="315" t="str">
        <f>IF($B$6="NO","July 2018","July 2019")</f>
        <v>July 2018</v>
      </c>
      <c r="B19" s="316" t="str">
        <f>IF($B$6="NO","estimate","estimate")</f>
        <v>estimate</v>
      </c>
      <c r="C19" s="333">
        <v>0</v>
      </c>
      <c r="D19" s="333">
        <v>0</v>
      </c>
      <c r="E19" s="317">
        <f t="shared" si="1"/>
        <v>0</v>
      </c>
      <c r="F19" s="334"/>
      <c r="G19" s="694"/>
      <c r="H19" s="694"/>
      <c r="I19" s="694"/>
      <c r="J19" s="694"/>
      <c r="K19" s="694"/>
      <c r="L19" s="694"/>
      <c r="M19" s="694"/>
      <c r="N19" s="694"/>
      <c r="O19" s="694"/>
      <c r="P19" s="694"/>
      <c r="Q19" s="694"/>
      <c r="R19" s="694"/>
      <c r="S19" s="694"/>
      <c r="T19" s="694"/>
      <c r="U19" s="694"/>
      <c r="V19" s="694"/>
      <c r="W19" s="694"/>
      <c r="X19" s="694"/>
      <c r="Y19" s="694"/>
      <c r="Z19" s="694"/>
    </row>
    <row r="20" spans="1:26" ht="15" customHeight="1" thickBot="1" x14ac:dyDescent="0.25">
      <c r="A20" s="315" t="str">
        <f>IF($B$6="NO","August 2018","August 2019")</f>
        <v>August 2018</v>
      </c>
      <c r="B20" s="316" t="str">
        <f t="shared" ref="B20:B21" si="2">IF($B$6="NO","estimate","estimate")</f>
        <v>estimate</v>
      </c>
      <c r="C20" s="333">
        <v>0</v>
      </c>
      <c r="D20" s="333">
        <v>0</v>
      </c>
      <c r="E20" s="317">
        <f t="shared" si="1"/>
        <v>0</v>
      </c>
      <c r="F20" s="334"/>
      <c r="G20" s="694"/>
      <c r="H20" s="694"/>
      <c r="I20" s="694"/>
      <c r="J20" s="694"/>
      <c r="K20" s="694"/>
      <c r="L20" s="694"/>
      <c r="M20" s="694"/>
      <c r="N20" s="694"/>
      <c r="O20" s="694"/>
      <c r="P20" s="694"/>
      <c r="Q20" s="694"/>
      <c r="R20" s="694"/>
      <c r="S20" s="694"/>
      <c r="T20" s="694"/>
      <c r="U20" s="694"/>
      <c r="V20" s="694"/>
      <c r="W20" s="694"/>
      <c r="X20" s="694"/>
      <c r="Y20" s="694"/>
      <c r="Z20" s="694"/>
    </row>
    <row r="21" spans="1:26" ht="15" customHeight="1" thickBot="1" x14ac:dyDescent="0.25">
      <c r="A21" s="315" t="str">
        <f>IF($B$6="NO","September 2018","September 2019")</f>
        <v>September 2018</v>
      </c>
      <c r="B21" s="316" t="str">
        <f t="shared" si="2"/>
        <v>estimate</v>
      </c>
      <c r="C21" s="333">
        <v>0</v>
      </c>
      <c r="D21" s="333">
        <v>0</v>
      </c>
      <c r="E21" s="317">
        <f t="shared" si="1"/>
        <v>0</v>
      </c>
      <c r="F21" s="334"/>
      <c r="G21" s="694"/>
      <c r="H21" s="694"/>
      <c r="I21" s="694"/>
      <c r="J21" s="694"/>
      <c r="K21" s="694"/>
      <c r="L21" s="694"/>
      <c r="M21" s="694"/>
      <c r="N21" s="694"/>
      <c r="O21" s="694"/>
      <c r="P21" s="694"/>
      <c r="Q21" s="694"/>
      <c r="R21" s="694"/>
      <c r="S21" s="694"/>
      <c r="T21" s="694"/>
      <c r="U21" s="694"/>
      <c r="V21" s="694"/>
      <c r="W21" s="694"/>
      <c r="X21" s="694"/>
      <c r="Y21" s="694"/>
      <c r="Z21" s="694"/>
    </row>
    <row r="22" spans="1:26" x14ac:dyDescent="0.2">
      <c r="A22" s="728"/>
      <c r="B22" s="700"/>
      <c r="C22" s="700"/>
      <c r="D22" s="700"/>
      <c r="E22" s="729"/>
      <c r="F22" s="335"/>
      <c r="G22" s="694"/>
      <c r="H22" s="694"/>
      <c r="I22" s="694"/>
      <c r="J22" s="694"/>
      <c r="K22" s="694"/>
      <c r="L22" s="694"/>
      <c r="M22" s="694"/>
      <c r="N22" s="694"/>
      <c r="O22" s="694"/>
      <c r="P22" s="694"/>
      <c r="Q22" s="694"/>
      <c r="R22" s="694"/>
      <c r="S22" s="694"/>
      <c r="T22" s="694"/>
      <c r="U22" s="694"/>
      <c r="V22" s="694"/>
      <c r="W22" s="694"/>
      <c r="X22" s="694"/>
      <c r="Y22" s="694"/>
      <c r="Z22" s="694"/>
    </row>
    <row r="23" spans="1:26" ht="15" customHeight="1" x14ac:dyDescent="0.2">
      <c r="A23" s="699"/>
      <c r="B23" s="700"/>
      <c r="C23" s="701"/>
      <c r="D23" s="695" t="s">
        <v>488</v>
      </c>
      <c r="E23" s="696"/>
      <c r="F23" s="336"/>
      <c r="G23" s="694"/>
      <c r="H23" s="694"/>
      <c r="I23" s="694"/>
      <c r="J23" s="694"/>
      <c r="K23" s="694"/>
      <c r="L23" s="694"/>
      <c r="M23" s="694"/>
      <c r="N23" s="694"/>
      <c r="O23" s="694"/>
      <c r="P23" s="694"/>
      <c r="Q23" s="694"/>
      <c r="R23" s="694"/>
      <c r="S23" s="694"/>
      <c r="T23" s="694"/>
      <c r="U23" s="694"/>
      <c r="V23" s="694"/>
      <c r="W23" s="694"/>
      <c r="X23" s="694"/>
      <c r="Y23" s="694"/>
      <c r="Z23" s="694"/>
    </row>
    <row r="24" spans="1:26" ht="15" customHeight="1" x14ac:dyDescent="0.2">
      <c r="A24" s="702"/>
      <c r="B24" s="700"/>
      <c r="C24" s="701"/>
      <c r="D24" s="337" t="s">
        <v>131</v>
      </c>
      <c r="E24" s="338">
        <f>LARGE($E$10:$E$21,1)</f>
        <v>0</v>
      </c>
      <c r="F24" s="339"/>
      <c r="G24" s="694"/>
      <c r="H24" s="694"/>
      <c r="I24" s="694"/>
      <c r="J24" s="694"/>
      <c r="K24" s="694"/>
      <c r="L24" s="694"/>
      <c r="M24" s="694"/>
      <c r="N24" s="694"/>
      <c r="O24" s="694"/>
      <c r="P24" s="694"/>
      <c r="Q24" s="694"/>
      <c r="R24" s="694"/>
      <c r="S24" s="694"/>
      <c r="T24" s="694"/>
      <c r="U24" s="694"/>
      <c r="V24" s="694"/>
      <c r="W24" s="694"/>
      <c r="X24" s="694"/>
      <c r="Y24" s="694"/>
      <c r="Z24" s="694"/>
    </row>
    <row r="25" spans="1:26" ht="15" customHeight="1" x14ac:dyDescent="0.2">
      <c r="A25" s="702"/>
      <c r="B25" s="700"/>
      <c r="C25" s="701"/>
      <c r="D25" s="337" t="s">
        <v>132</v>
      </c>
      <c r="E25" s="338">
        <f>LARGE($E$10:$E$21,2)</f>
        <v>0</v>
      </c>
      <c r="F25" s="339"/>
      <c r="G25" s="694"/>
      <c r="H25" s="694"/>
      <c r="I25" s="694"/>
      <c r="J25" s="694"/>
      <c r="K25" s="694"/>
      <c r="L25" s="694"/>
      <c r="M25" s="694"/>
      <c r="N25" s="694"/>
      <c r="O25" s="694"/>
      <c r="P25" s="694"/>
      <c r="Q25" s="694"/>
      <c r="R25" s="694"/>
      <c r="S25" s="694"/>
      <c r="T25" s="694"/>
      <c r="U25" s="694"/>
      <c r="V25" s="694"/>
      <c r="W25" s="694"/>
      <c r="X25" s="694"/>
      <c r="Y25" s="694"/>
      <c r="Z25" s="694"/>
    </row>
    <row r="26" spans="1:26" ht="15" customHeight="1" x14ac:dyDescent="0.2">
      <c r="A26" s="702"/>
      <c r="B26" s="700"/>
      <c r="C26" s="701"/>
      <c r="D26" s="337" t="s">
        <v>133</v>
      </c>
      <c r="E26" s="338">
        <f>LARGE($E$10:$E$21,3)</f>
        <v>0</v>
      </c>
      <c r="F26" s="339"/>
      <c r="G26" s="694"/>
      <c r="H26" s="694"/>
      <c r="I26" s="694"/>
      <c r="J26" s="694"/>
      <c r="K26" s="694"/>
      <c r="L26" s="694"/>
      <c r="M26" s="694"/>
      <c r="N26" s="694"/>
      <c r="O26" s="694"/>
      <c r="P26" s="694"/>
      <c r="Q26" s="694"/>
      <c r="R26" s="694"/>
      <c r="S26" s="694"/>
      <c r="T26" s="694"/>
      <c r="U26" s="694"/>
      <c r="V26" s="694"/>
      <c r="W26" s="694"/>
      <c r="X26" s="694"/>
      <c r="Y26" s="694"/>
      <c r="Z26" s="694"/>
    </row>
    <row r="27" spans="1:26" ht="15" customHeight="1" x14ac:dyDescent="0.2">
      <c r="A27" s="702"/>
      <c r="B27" s="700"/>
      <c r="C27" s="701"/>
      <c r="D27" s="337" t="s">
        <v>134</v>
      </c>
      <c r="E27" s="338">
        <f>LARGE($E$10:$E$21,4)</f>
        <v>0</v>
      </c>
      <c r="F27" s="339"/>
      <c r="G27" s="694"/>
      <c r="H27" s="694"/>
      <c r="I27" s="694"/>
      <c r="J27" s="694"/>
      <c r="K27" s="694"/>
      <c r="L27" s="694"/>
      <c r="M27" s="694"/>
      <c r="N27" s="694"/>
      <c r="O27" s="694"/>
      <c r="P27" s="694"/>
      <c r="Q27" s="694"/>
      <c r="R27" s="694"/>
      <c r="S27" s="694"/>
      <c r="T27" s="694"/>
      <c r="U27" s="694"/>
      <c r="V27" s="694"/>
      <c r="W27" s="694"/>
      <c r="X27" s="694"/>
      <c r="Y27" s="694"/>
      <c r="Z27" s="694"/>
    </row>
    <row r="28" spans="1:26" ht="15" customHeight="1" x14ac:dyDescent="0.2">
      <c r="A28" s="702"/>
      <c r="B28" s="700"/>
      <c r="C28" s="701"/>
      <c r="D28" s="337" t="s">
        <v>135</v>
      </c>
      <c r="E28" s="338">
        <f>LARGE($E$10:$E$21,5)</f>
        <v>0</v>
      </c>
      <c r="F28" s="339"/>
      <c r="G28" s="694"/>
      <c r="H28" s="694"/>
      <c r="I28" s="694"/>
      <c r="J28" s="694"/>
      <c r="K28" s="694"/>
      <c r="L28" s="694"/>
      <c r="M28" s="694"/>
      <c r="N28" s="694"/>
      <c r="O28" s="694"/>
      <c r="P28" s="694"/>
      <c r="Q28" s="694"/>
      <c r="R28" s="694"/>
      <c r="S28" s="694"/>
      <c r="T28" s="694"/>
      <c r="U28" s="694"/>
      <c r="V28" s="694"/>
      <c r="W28" s="694"/>
      <c r="X28" s="694"/>
      <c r="Y28" s="694"/>
      <c r="Z28" s="694"/>
    </row>
    <row r="29" spans="1:26" ht="15" customHeight="1" thickBot="1" x14ac:dyDescent="0.25">
      <c r="A29" s="702"/>
      <c r="B29" s="700"/>
      <c r="C29" s="701"/>
      <c r="D29" s="337" t="s">
        <v>136</v>
      </c>
      <c r="E29" s="338">
        <f>LARGE($E$10:$E$21,6)</f>
        <v>0</v>
      </c>
      <c r="F29" s="339"/>
      <c r="G29" s="694"/>
      <c r="H29" s="694"/>
      <c r="I29" s="694"/>
      <c r="J29" s="694"/>
      <c r="K29" s="694"/>
      <c r="L29" s="694"/>
      <c r="M29" s="694"/>
      <c r="N29" s="694"/>
      <c r="O29" s="694"/>
      <c r="P29" s="694"/>
      <c r="Q29" s="694"/>
      <c r="R29" s="694"/>
      <c r="S29" s="694"/>
      <c r="T29" s="694"/>
      <c r="U29" s="694"/>
      <c r="V29" s="694"/>
      <c r="W29" s="694"/>
      <c r="X29" s="694"/>
      <c r="Y29" s="694"/>
      <c r="Z29" s="694"/>
    </row>
    <row r="30" spans="1:26" s="343" customFormat="1" ht="30" customHeight="1" thickBot="1" x14ac:dyDescent="0.25">
      <c r="A30" s="703"/>
      <c r="B30" s="704"/>
      <c r="C30" s="705"/>
      <c r="D30" s="340" t="s">
        <v>527</v>
      </c>
      <c r="E30" s="341">
        <f>AVERAGE(E24:E29)</f>
        <v>0</v>
      </c>
      <c r="F30" s="342"/>
      <c r="G30" s="694"/>
      <c r="H30" s="694"/>
      <c r="I30" s="694"/>
      <c r="J30" s="694"/>
      <c r="K30" s="694"/>
      <c r="L30" s="694"/>
      <c r="M30" s="694"/>
      <c r="N30" s="694"/>
      <c r="O30" s="694"/>
      <c r="P30" s="694"/>
      <c r="Q30" s="694"/>
      <c r="R30" s="694"/>
      <c r="S30" s="694"/>
      <c r="T30" s="694"/>
      <c r="U30" s="694"/>
      <c r="V30" s="694"/>
      <c r="W30" s="694"/>
      <c r="X30" s="694"/>
      <c r="Y30" s="694"/>
      <c r="Z30" s="694"/>
    </row>
    <row r="31" spans="1:26" ht="15.75" customHeight="1" x14ac:dyDescent="0.2">
      <c r="G31" s="694"/>
      <c r="H31" s="694"/>
      <c r="I31" s="694"/>
      <c r="J31" s="694"/>
      <c r="K31" s="694"/>
      <c r="L31" s="694"/>
      <c r="M31" s="694"/>
      <c r="N31" s="694"/>
      <c r="O31" s="694"/>
      <c r="P31" s="694"/>
      <c r="Q31" s="694"/>
      <c r="R31" s="694"/>
      <c r="S31" s="694"/>
      <c r="T31" s="694"/>
      <c r="U31" s="694"/>
      <c r="V31" s="694"/>
      <c r="W31" s="694"/>
      <c r="X31" s="694"/>
      <c r="Y31" s="694"/>
      <c r="Z31" s="694"/>
    </row>
    <row r="32" spans="1:26" x14ac:dyDescent="0.2">
      <c r="G32" s="694"/>
      <c r="H32" s="694"/>
      <c r="I32" s="694"/>
      <c r="J32" s="694"/>
      <c r="K32" s="694"/>
      <c r="L32" s="694"/>
      <c r="M32" s="694"/>
      <c r="N32" s="694"/>
      <c r="O32" s="694"/>
      <c r="P32" s="694"/>
      <c r="Q32" s="694"/>
      <c r="R32" s="694"/>
      <c r="S32" s="694"/>
      <c r="T32" s="694"/>
      <c r="U32" s="694"/>
      <c r="V32" s="694"/>
      <c r="W32" s="694"/>
      <c r="X32" s="694"/>
      <c r="Y32" s="694"/>
      <c r="Z32" s="694"/>
    </row>
    <row r="33" spans="1:26" ht="15.75" customHeight="1" x14ac:dyDescent="0.2">
      <c r="A33" s="344" t="s">
        <v>529</v>
      </c>
      <c r="D33" s="345"/>
      <c r="E33" s="345"/>
      <c r="F33" s="346"/>
      <c r="G33" s="694"/>
      <c r="H33" s="694"/>
      <c r="I33" s="694"/>
      <c r="J33" s="694"/>
      <c r="K33" s="694"/>
      <c r="L33" s="694"/>
      <c r="M33" s="694"/>
      <c r="N33" s="694"/>
      <c r="O33" s="694"/>
      <c r="P33" s="694"/>
      <c r="Q33" s="694"/>
      <c r="R33" s="694"/>
      <c r="S33" s="694"/>
      <c r="T33" s="694"/>
      <c r="U33" s="694"/>
      <c r="V33" s="694"/>
      <c r="W33" s="694"/>
      <c r="X33" s="694"/>
      <c r="Y33" s="694"/>
      <c r="Z33" s="694"/>
    </row>
    <row r="34" spans="1:26" x14ac:dyDescent="0.2">
      <c r="G34" s="694"/>
      <c r="H34" s="694"/>
      <c r="I34" s="694"/>
      <c r="J34" s="694"/>
      <c r="K34" s="694"/>
      <c r="L34" s="694"/>
      <c r="M34" s="694"/>
      <c r="N34" s="694"/>
      <c r="O34" s="694"/>
      <c r="P34" s="694"/>
      <c r="Q34" s="694"/>
      <c r="R34" s="694"/>
      <c r="S34" s="694"/>
      <c r="T34" s="694"/>
      <c r="U34" s="694"/>
      <c r="V34" s="694"/>
      <c r="W34" s="694"/>
      <c r="X34" s="694"/>
      <c r="Y34" s="694"/>
      <c r="Z34" s="694"/>
    </row>
    <row r="35" spans="1:26" x14ac:dyDescent="0.2">
      <c r="D35" s="345"/>
      <c r="E35" s="345"/>
      <c r="F35" s="346"/>
      <c r="G35" s="694"/>
      <c r="H35" s="694"/>
      <c r="I35" s="694"/>
      <c r="J35" s="694"/>
      <c r="K35" s="694"/>
      <c r="L35" s="694"/>
      <c r="M35" s="694"/>
      <c r="N35" s="694"/>
      <c r="O35" s="694"/>
      <c r="P35" s="694"/>
      <c r="Q35" s="694"/>
      <c r="R35" s="694"/>
      <c r="S35" s="694"/>
      <c r="T35" s="694"/>
      <c r="U35" s="694"/>
      <c r="V35" s="694"/>
      <c r="W35" s="694"/>
      <c r="X35" s="694"/>
      <c r="Y35" s="694"/>
      <c r="Z35" s="694"/>
    </row>
    <row r="36" spans="1:26" x14ac:dyDescent="0.2">
      <c r="D36" s="347"/>
      <c r="E36" s="347"/>
      <c r="F36" s="347"/>
      <c r="G36" s="694"/>
      <c r="H36" s="694"/>
      <c r="I36" s="694"/>
      <c r="J36" s="694"/>
      <c r="K36" s="694"/>
      <c r="L36" s="694"/>
      <c r="M36" s="694"/>
      <c r="N36" s="694"/>
      <c r="O36" s="694"/>
      <c r="P36" s="694"/>
      <c r="Q36" s="694"/>
      <c r="R36" s="694"/>
      <c r="S36" s="694"/>
      <c r="T36" s="694"/>
      <c r="U36" s="694"/>
      <c r="V36" s="694"/>
      <c r="W36" s="694"/>
      <c r="X36" s="694"/>
      <c r="Y36" s="694"/>
      <c r="Z36" s="694"/>
    </row>
    <row r="37" spans="1:26" x14ac:dyDescent="0.2">
      <c r="C37" s="348"/>
      <c r="D37" s="347"/>
      <c r="E37" s="347"/>
      <c r="F37" s="347"/>
      <c r="G37" s="694"/>
      <c r="H37" s="694"/>
      <c r="I37" s="694"/>
      <c r="J37" s="694"/>
      <c r="K37" s="694"/>
      <c r="L37" s="694"/>
      <c r="M37" s="694"/>
      <c r="N37" s="694"/>
      <c r="O37" s="694"/>
      <c r="P37" s="694"/>
      <c r="Q37" s="694"/>
      <c r="R37" s="694"/>
      <c r="S37" s="694"/>
      <c r="T37" s="694"/>
      <c r="U37" s="694"/>
      <c r="V37" s="694"/>
      <c r="W37" s="694"/>
      <c r="X37" s="694"/>
      <c r="Y37" s="694"/>
      <c r="Z37" s="694"/>
    </row>
    <row r="38" spans="1:26" x14ac:dyDescent="0.2">
      <c r="G38" s="694"/>
      <c r="H38" s="694"/>
      <c r="I38" s="694"/>
      <c r="J38" s="694"/>
      <c r="K38" s="694"/>
      <c r="L38" s="694"/>
      <c r="M38" s="694"/>
      <c r="N38" s="694"/>
      <c r="O38" s="694"/>
      <c r="P38" s="694"/>
      <c r="Q38" s="694"/>
      <c r="R38" s="694"/>
      <c r="S38" s="694"/>
      <c r="T38" s="694"/>
      <c r="U38" s="694"/>
      <c r="V38" s="694"/>
      <c r="W38" s="694"/>
      <c r="X38" s="694"/>
      <c r="Y38" s="694"/>
      <c r="Z38" s="694"/>
    </row>
    <row r="39" spans="1:26" x14ac:dyDescent="0.2">
      <c r="G39" s="694"/>
      <c r="H39" s="694"/>
      <c r="I39" s="694"/>
      <c r="J39" s="694"/>
      <c r="K39" s="694"/>
      <c r="L39" s="694"/>
      <c r="M39" s="694"/>
      <c r="N39" s="694"/>
      <c r="O39" s="694"/>
      <c r="P39" s="694"/>
      <c r="Q39" s="694"/>
      <c r="R39" s="694"/>
      <c r="S39" s="694"/>
      <c r="T39" s="694"/>
      <c r="U39" s="694"/>
      <c r="V39" s="694"/>
      <c r="W39" s="694"/>
      <c r="X39" s="694"/>
      <c r="Y39" s="694"/>
      <c r="Z39" s="694"/>
    </row>
    <row r="40" spans="1:26" x14ac:dyDescent="0.2">
      <c r="G40" s="694"/>
      <c r="H40" s="694"/>
      <c r="I40" s="694"/>
      <c r="J40" s="694"/>
      <c r="K40" s="694"/>
      <c r="L40" s="694"/>
      <c r="M40" s="694"/>
      <c r="N40" s="694"/>
      <c r="O40" s="694"/>
      <c r="P40" s="694"/>
      <c r="Q40" s="694"/>
      <c r="R40" s="694"/>
      <c r="S40" s="694"/>
      <c r="T40" s="694"/>
      <c r="U40" s="694"/>
      <c r="V40" s="694"/>
      <c r="W40" s="694"/>
      <c r="X40" s="694"/>
      <c r="Y40" s="694"/>
      <c r="Z40" s="694"/>
    </row>
    <row r="41" spans="1:26" x14ac:dyDescent="0.2">
      <c r="G41" s="694"/>
      <c r="H41" s="694"/>
      <c r="I41" s="694"/>
      <c r="J41" s="694"/>
      <c r="K41" s="694"/>
      <c r="L41" s="694"/>
      <c r="M41" s="694"/>
      <c r="N41" s="694"/>
      <c r="O41" s="694"/>
      <c r="P41" s="694"/>
      <c r="Q41" s="694"/>
      <c r="R41" s="694"/>
      <c r="S41" s="694"/>
      <c r="T41" s="694"/>
      <c r="U41" s="694"/>
      <c r="V41" s="694"/>
      <c r="W41" s="694"/>
      <c r="X41" s="694"/>
      <c r="Y41" s="694"/>
      <c r="Z41" s="694"/>
    </row>
    <row r="42" spans="1:26" x14ac:dyDescent="0.2">
      <c r="G42" s="694"/>
      <c r="H42" s="694"/>
      <c r="I42" s="694"/>
      <c r="J42" s="694"/>
      <c r="K42" s="694"/>
      <c r="L42" s="694"/>
      <c r="M42" s="694"/>
      <c r="N42" s="694"/>
      <c r="O42" s="694"/>
      <c r="P42" s="694"/>
      <c r="Q42" s="694"/>
      <c r="R42" s="694"/>
      <c r="S42" s="694"/>
      <c r="T42" s="694"/>
      <c r="U42" s="694"/>
      <c r="V42" s="694"/>
      <c r="W42" s="694"/>
      <c r="X42" s="694"/>
      <c r="Y42" s="694"/>
      <c r="Z42" s="694"/>
    </row>
    <row r="43" spans="1:26" x14ac:dyDescent="0.2">
      <c r="G43" s="694"/>
      <c r="H43" s="694"/>
      <c r="I43" s="694"/>
      <c r="J43" s="694"/>
      <c r="K43" s="694"/>
      <c r="L43" s="694"/>
      <c r="M43" s="694"/>
      <c r="N43" s="694"/>
      <c r="O43" s="694"/>
      <c r="P43" s="694"/>
      <c r="Q43" s="694"/>
      <c r="R43" s="694"/>
      <c r="S43" s="694"/>
      <c r="T43" s="694"/>
      <c r="U43" s="694"/>
      <c r="V43" s="694"/>
      <c r="W43" s="694"/>
      <c r="X43" s="694"/>
      <c r="Y43" s="694"/>
      <c r="Z43" s="694"/>
    </row>
    <row r="44" spans="1:26" x14ac:dyDescent="0.2">
      <c r="G44" s="694"/>
      <c r="H44" s="694"/>
      <c r="I44" s="694"/>
      <c r="J44" s="694"/>
      <c r="K44" s="694"/>
      <c r="L44" s="694"/>
      <c r="M44" s="694"/>
      <c r="N44" s="694"/>
      <c r="O44" s="694"/>
      <c r="P44" s="694"/>
      <c r="Q44" s="694"/>
      <c r="R44" s="694"/>
      <c r="S44" s="694"/>
      <c r="T44" s="694"/>
      <c r="U44" s="694"/>
      <c r="V44" s="694"/>
      <c r="W44" s="694"/>
      <c r="X44" s="694"/>
      <c r="Y44" s="694"/>
      <c r="Z44" s="694"/>
    </row>
    <row r="45" spans="1:26" x14ac:dyDescent="0.2">
      <c r="G45" s="694"/>
      <c r="H45" s="694"/>
      <c r="I45" s="694"/>
      <c r="J45" s="694"/>
      <c r="K45" s="694"/>
      <c r="L45" s="694"/>
      <c r="M45" s="694"/>
      <c r="N45" s="694"/>
      <c r="O45" s="694"/>
      <c r="P45" s="694"/>
      <c r="Q45" s="694"/>
      <c r="R45" s="694"/>
      <c r="S45" s="694"/>
      <c r="T45" s="694"/>
      <c r="U45" s="694"/>
      <c r="V45" s="694"/>
      <c r="W45" s="694"/>
      <c r="X45" s="694"/>
      <c r="Y45" s="694"/>
      <c r="Z45" s="694"/>
    </row>
    <row r="46" spans="1:26" x14ac:dyDescent="0.2">
      <c r="G46" s="694"/>
      <c r="H46" s="694"/>
      <c r="I46" s="694"/>
      <c r="J46" s="694"/>
      <c r="K46" s="694"/>
      <c r="L46" s="694"/>
      <c r="M46" s="694"/>
      <c r="N46" s="694"/>
      <c r="O46" s="694"/>
      <c r="P46" s="694"/>
      <c r="Q46" s="694"/>
      <c r="R46" s="694"/>
      <c r="S46" s="694"/>
      <c r="T46" s="694"/>
      <c r="U46" s="694"/>
      <c r="V46" s="694"/>
      <c r="W46" s="694"/>
      <c r="X46" s="694"/>
      <c r="Y46" s="694"/>
      <c r="Z46" s="694"/>
    </row>
    <row r="47" spans="1:26" x14ac:dyDescent="0.2">
      <c r="G47" s="694"/>
      <c r="H47" s="694"/>
      <c r="I47" s="694"/>
      <c r="J47" s="694"/>
      <c r="K47" s="694"/>
      <c r="L47" s="694"/>
      <c r="M47" s="694"/>
      <c r="N47" s="694"/>
      <c r="O47" s="694"/>
      <c r="P47" s="694"/>
      <c r="Q47" s="694"/>
      <c r="R47" s="694"/>
      <c r="S47" s="694"/>
      <c r="T47" s="694"/>
      <c r="U47" s="694"/>
      <c r="V47" s="694"/>
      <c r="W47" s="694"/>
      <c r="X47" s="694"/>
      <c r="Y47" s="694"/>
      <c r="Z47" s="694"/>
    </row>
    <row r="74" spans="1:1" x14ac:dyDescent="0.2">
      <c r="A74" s="330" t="s">
        <v>71</v>
      </c>
    </row>
    <row r="75" spans="1:1" x14ac:dyDescent="0.2">
      <c r="A75" s="330" t="s">
        <v>70</v>
      </c>
    </row>
  </sheetData>
  <sheetProtection algorithmName="SHA-512" hashValue="VSkcNntX/jk5OoJhJbh6TXr/Pi8H1BhcGPHmwshsTKM5hb3J1dlfvg7otsggF7+C68oKxG4rJfYfhNvCWBRKPA==" saltValue="hCj2z+vYo2sWtCxuDi3Rtg==" spinCount="100000" sheet="1" objects="1" scenarios="1"/>
  <mergeCells count="16">
    <mergeCell ref="H1:AA1"/>
    <mergeCell ref="G2:Z47"/>
    <mergeCell ref="D23:E23"/>
    <mergeCell ref="B8:B9"/>
    <mergeCell ref="A23:C30"/>
    <mergeCell ref="B3:E3"/>
    <mergeCell ref="B4:E4"/>
    <mergeCell ref="C6:E6"/>
    <mergeCell ref="C8:D8"/>
    <mergeCell ref="E8:E9"/>
    <mergeCell ref="A1:E1"/>
    <mergeCell ref="A2:E2"/>
    <mergeCell ref="A5:E5"/>
    <mergeCell ref="A7:E7"/>
    <mergeCell ref="A22:E22"/>
    <mergeCell ref="A8:A9"/>
  </mergeCells>
  <dataValidations count="1">
    <dataValidation type="list" allowBlank="1" showInputMessage="1" showErrorMessage="1" sqref="B6" xr:uid="{00000000-0002-0000-0600-000000000000}">
      <formula1>$A$74:$A$75</formula1>
    </dataValidation>
  </dataValidations>
  <printOptions headings="1"/>
  <pageMargins left="0.45" right="0.45" top="0.5" bottom="0.5" header="0.3" footer="0.3"/>
  <pageSetup scale="64" fitToWidth="0" orientation="landscape" r:id="rId1"/>
  <colBreaks count="1" manualBreakCount="1">
    <brk id="5" max="46" man="1"/>
  </col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0000"/>
  </sheetPr>
  <dimension ref="A1:F183"/>
  <sheetViews>
    <sheetView workbookViewId="0">
      <selection sqref="A1:XFD1048576"/>
    </sheetView>
  </sheetViews>
  <sheetFormatPr defaultColWidth="89.140625" defaultRowHeight="12.75" x14ac:dyDescent="0.2"/>
  <cols>
    <col min="1" max="1" width="7.85546875" style="351" bestFit="1" customWidth="1"/>
    <col min="2" max="2" width="55.85546875" style="351" customWidth="1"/>
    <col min="3" max="3" width="13" style="369" customWidth="1"/>
    <col min="4" max="4" width="22.28515625" style="369" customWidth="1"/>
    <col min="5" max="6" width="22.28515625" style="351" customWidth="1"/>
    <col min="7" max="16384" width="89.140625" style="351"/>
  </cols>
  <sheetData>
    <row r="1" spans="1:6" ht="45" x14ac:dyDescent="0.25">
      <c r="A1" s="349" t="s">
        <v>65</v>
      </c>
      <c r="B1" s="349" t="s">
        <v>36</v>
      </c>
      <c r="C1" s="350" t="s">
        <v>559</v>
      </c>
      <c r="D1" s="350" t="s">
        <v>557</v>
      </c>
      <c r="E1" s="350" t="s">
        <v>558</v>
      </c>
      <c r="F1" s="350" t="s">
        <v>560</v>
      </c>
    </row>
    <row r="2" spans="1:6" ht="15" x14ac:dyDescent="0.25">
      <c r="A2" s="352">
        <v>0</v>
      </c>
      <c r="B2" s="353" t="s">
        <v>471</v>
      </c>
      <c r="C2" s="354">
        <v>5000</v>
      </c>
      <c r="D2" s="355">
        <v>0</v>
      </c>
      <c r="E2" s="356">
        <v>0</v>
      </c>
      <c r="F2" s="356" t="s">
        <v>71</v>
      </c>
    </row>
    <row r="3" spans="1:6" ht="15" x14ac:dyDescent="0.25">
      <c r="A3" s="357">
        <v>3801</v>
      </c>
      <c r="B3" s="353" t="s">
        <v>56</v>
      </c>
      <c r="C3" s="358">
        <v>1500</v>
      </c>
      <c r="D3" s="355"/>
      <c r="E3" s="356"/>
      <c r="F3" s="356" t="s">
        <v>70</v>
      </c>
    </row>
    <row r="4" spans="1:6" ht="15" x14ac:dyDescent="0.25">
      <c r="A4" s="359">
        <v>13801</v>
      </c>
      <c r="B4" s="360" t="s">
        <v>400</v>
      </c>
      <c r="C4" s="361">
        <v>700</v>
      </c>
      <c r="D4" s="362"/>
      <c r="E4" s="363"/>
      <c r="F4" s="363" t="s">
        <v>70</v>
      </c>
    </row>
    <row r="5" spans="1:6" ht="15" x14ac:dyDescent="0.25">
      <c r="A5" s="359">
        <v>14801</v>
      </c>
      <c r="B5" s="360" t="s">
        <v>37</v>
      </c>
      <c r="C5" s="361">
        <v>3000</v>
      </c>
      <c r="D5" s="362"/>
      <c r="E5" s="363"/>
      <c r="F5" s="363" t="s">
        <v>71</v>
      </c>
    </row>
    <row r="6" spans="1:6" ht="15" x14ac:dyDescent="0.25">
      <c r="A6" s="359">
        <v>14803</v>
      </c>
      <c r="B6" s="360" t="s">
        <v>333</v>
      </c>
      <c r="C6" s="361">
        <v>1200</v>
      </c>
      <c r="D6" s="362"/>
      <c r="E6" s="363"/>
      <c r="F6" s="363" t="s">
        <v>70</v>
      </c>
    </row>
    <row r="7" spans="1:6" ht="15" x14ac:dyDescent="0.25">
      <c r="A7" s="359">
        <v>14804</v>
      </c>
      <c r="B7" s="360" t="s">
        <v>1</v>
      </c>
      <c r="C7" s="361">
        <v>2500</v>
      </c>
      <c r="D7" s="362"/>
      <c r="E7" s="363"/>
      <c r="F7" s="363" t="s">
        <v>70</v>
      </c>
    </row>
    <row r="8" spans="1:6" ht="15" x14ac:dyDescent="0.25">
      <c r="A8" s="359">
        <v>15801</v>
      </c>
      <c r="B8" s="360" t="s">
        <v>38</v>
      </c>
      <c r="C8" s="361">
        <v>1000</v>
      </c>
      <c r="D8" s="362"/>
      <c r="E8" s="363"/>
      <c r="F8" s="363" t="s">
        <v>70</v>
      </c>
    </row>
    <row r="9" spans="1:6" ht="15" x14ac:dyDescent="0.25">
      <c r="A9" s="359">
        <v>15802</v>
      </c>
      <c r="B9" s="360" t="s">
        <v>58</v>
      </c>
      <c r="C9" s="361">
        <v>2500</v>
      </c>
      <c r="D9" s="362"/>
      <c r="E9" s="363"/>
      <c r="F9" s="363" t="s">
        <v>71</v>
      </c>
    </row>
    <row r="10" spans="1:6" ht="15" x14ac:dyDescent="0.25">
      <c r="A10" s="359">
        <v>15805</v>
      </c>
      <c r="B10" s="360" t="s">
        <v>552</v>
      </c>
      <c r="C10" s="361">
        <v>1176</v>
      </c>
      <c r="D10" s="362"/>
      <c r="E10" s="363"/>
      <c r="F10" s="363" t="s">
        <v>71</v>
      </c>
    </row>
    <row r="11" spans="1:6" ht="15" x14ac:dyDescent="0.25">
      <c r="A11" s="359">
        <v>15806</v>
      </c>
      <c r="B11" s="360" t="s">
        <v>59</v>
      </c>
      <c r="C11" s="361">
        <v>4500</v>
      </c>
      <c r="D11" s="362"/>
      <c r="E11" s="363"/>
      <c r="F11" s="363" t="s">
        <v>70</v>
      </c>
    </row>
    <row r="12" spans="1:6" ht="15" x14ac:dyDescent="0.25">
      <c r="A12" s="359">
        <v>15807</v>
      </c>
      <c r="B12" s="360" t="s">
        <v>40</v>
      </c>
      <c r="C12" s="361">
        <v>1350</v>
      </c>
      <c r="D12" s="362"/>
      <c r="E12" s="363"/>
      <c r="F12" s="363" t="s">
        <v>70</v>
      </c>
    </row>
    <row r="13" spans="1:6" ht="15" x14ac:dyDescent="0.25">
      <c r="A13" s="359">
        <v>15808</v>
      </c>
      <c r="B13" s="360" t="s">
        <v>548</v>
      </c>
      <c r="C13" s="361">
        <v>1400</v>
      </c>
      <c r="D13" s="362"/>
      <c r="E13" s="363"/>
      <c r="F13" s="363" t="s">
        <v>71</v>
      </c>
    </row>
    <row r="14" spans="1:6" ht="15" x14ac:dyDescent="0.25">
      <c r="A14" s="359">
        <v>15809</v>
      </c>
      <c r="B14" s="360" t="s">
        <v>39</v>
      </c>
      <c r="C14" s="361">
        <v>1000</v>
      </c>
      <c r="D14" s="362"/>
      <c r="E14" s="363"/>
      <c r="F14" s="363" t="s">
        <v>71</v>
      </c>
    </row>
    <row r="15" spans="1:6" ht="15" x14ac:dyDescent="0.25">
      <c r="A15" s="359">
        <v>15814</v>
      </c>
      <c r="B15" s="360" t="s">
        <v>41</v>
      </c>
      <c r="C15" s="361">
        <v>425</v>
      </c>
      <c r="D15" s="362"/>
      <c r="E15" s="363"/>
      <c r="F15" s="363" t="s">
        <v>71</v>
      </c>
    </row>
    <row r="16" spans="1:6" ht="15" x14ac:dyDescent="0.25">
      <c r="A16" s="359">
        <v>15815</v>
      </c>
      <c r="B16" s="360" t="s">
        <v>414</v>
      </c>
      <c r="C16" s="361">
        <v>1500</v>
      </c>
      <c r="D16" s="362"/>
      <c r="E16" s="363"/>
      <c r="F16" s="363" t="s">
        <v>70</v>
      </c>
    </row>
    <row r="17" spans="1:6" ht="15" x14ac:dyDescent="0.25">
      <c r="A17" s="359">
        <v>15822</v>
      </c>
      <c r="B17" s="360" t="s">
        <v>481</v>
      </c>
      <c r="C17" s="362">
        <v>12000</v>
      </c>
      <c r="D17" s="362">
        <v>12000</v>
      </c>
      <c r="E17" s="363"/>
      <c r="F17" s="363" t="s">
        <v>71</v>
      </c>
    </row>
    <row r="18" spans="1:6" ht="15" x14ac:dyDescent="0.25">
      <c r="A18" s="359">
        <v>15825</v>
      </c>
      <c r="B18" s="360" t="s">
        <v>66</v>
      </c>
      <c r="C18" s="361">
        <v>600</v>
      </c>
      <c r="D18" s="362"/>
      <c r="E18" s="363"/>
      <c r="F18" s="363" t="s">
        <v>70</v>
      </c>
    </row>
    <row r="19" spans="1:6" ht="15" x14ac:dyDescent="0.25">
      <c r="A19" s="359">
        <v>15826</v>
      </c>
      <c r="B19" s="360" t="s">
        <v>103</v>
      </c>
      <c r="C19" s="361">
        <v>3600</v>
      </c>
      <c r="D19" s="362"/>
      <c r="E19" s="363">
        <v>6108</v>
      </c>
      <c r="F19" s="363" t="s">
        <v>71</v>
      </c>
    </row>
    <row r="20" spans="1:6" ht="15" x14ac:dyDescent="0.25">
      <c r="A20" s="359">
        <v>15827</v>
      </c>
      <c r="B20" s="360" t="s">
        <v>16</v>
      </c>
      <c r="C20" s="362">
        <v>3000</v>
      </c>
      <c r="D20" s="362">
        <v>3000</v>
      </c>
      <c r="E20" s="363"/>
      <c r="F20" s="363" t="s">
        <v>70</v>
      </c>
    </row>
    <row r="21" spans="1:6" ht="15" x14ac:dyDescent="0.25">
      <c r="A21" s="359">
        <v>15828</v>
      </c>
      <c r="B21" s="360" t="s">
        <v>17</v>
      </c>
      <c r="C21" s="361">
        <v>5500</v>
      </c>
      <c r="D21" s="362"/>
      <c r="E21" s="363"/>
      <c r="F21" s="363" t="s">
        <v>70</v>
      </c>
    </row>
    <row r="22" spans="1:6" ht="15" x14ac:dyDescent="0.25">
      <c r="A22" s="359">
        <v>15830</v>
      </c>
      <c r="B22" s="360" t="s">
        <v>62</v>
      </c>
      <c r="C22" s="361">
        <v>3600</v>
      </c>
      <c r="D22" s="362"/>
      <c r="E22" s="363">
        <v>7200</v>
      </c>
      <c r="F22" s="363" t="s">
        <v>71</v>
      </c>
    </row>
    <row r="23" spans="1:6" ht="15" x14ac:dyDescent="0.25">
      <c r="A23" s="359">
        <v>15831</v>
      </c>
      <c r="B23" s="360" t="s">
        <v>334</v>
      </c>
      <c r="C23" s="361">
        <v>3000</v>
      </c>
      <c r="D23" s="362"/>
      <c r="E23" s="363"/>
      <c r="F23" s="363" t="s">
        <v>70</v>
      </c>
    </row>
    <row r="24" spans="1:6" ht="15" x14ac:dyDescent="0.25">
      <c r="A24" s="359">
        <v>15833</v>
      </c>
      <c r="B24" s="360" t="s">
        <v>101</v>
      </c>
      <c r="C24" s="361">
        <v>480</v>
      </c>
      <c r="D24" s="362"/>
      <c r="E24" s="363"/>
      <c r="F24" s="363" t="s">
        <v>71</v>
      </c>
    </row>
    <row r="25" spans="1:6" ht="15" x14ac:dyDescent="0.25">
      <c r="A25" s="359">
        <v>15834</v>
      </c>
      <c r="B25" s="360" t="s">
        <v>335</v>
      </c>
      <c r="C25" s="361">
        <v>3750</v>
      </c>
      <c r="D25" s="362"/>
      <c r="E25" s="363">
        <v>4000</v>
      </c>
      <c r="F25" s="363" t="s">
        <v>71</v>
      </c>
    </row>
    <row r="26" spans="1:6" ht="15" x14ac:dyDescent="0.25">
      <c r="A26" s="359">
        <v>15835</v>
      </c>
      <c r="B26" s="360" t="s">
        <v>336</v>
      </c>
      <c r="C26" s="361">
        <v>5600</v>
      </c>
      <c r="D26" s="362"/>
      <c r="E26" s="363"/>
      <c r="F26" s="363" t="s">
        <v>71</v>
      </c>
    </row>
    <row r="27" spans="1:6" ht="15" x14ac:dyDescent="0.25">
      <c r="A27" s="359">
        <v>15836</v>
      </c>
      <c r="B27" s="360" t="s">
        <v>337</v>
      </c>
      <c r="C27" s="361">
        <v>700</v>
      </c>
      <c r="D27" s="362"/>
      <c r="E27" s="363"/>
      <c r="F27" s="363" t="s">
        <v>71</v>
      </c>
    </row>
    <row r="28" spans="1:6" ht="15" x14ac:dyDescent="0.25">
      <c r="A28" s="359">
        <v>15838</v>
      </c>
      <c r="B28" s="360" t="s">
        <v>468</v>
      </c>
      <c r="C28" s="361">
        <v>3780</v>
      </c>
      <c r="D28" s="362"/>
      <c r="E28" s="363"/>
      <c r="F28" s="363" t="s">
        <v>71</v>
      </c>
    </row>
    <row r="29" spans="1:6" ht="15" x14ac:dyDescent="0.25">
      <c r="A29" s="359">
        <v>21803</v>
      </c>
      <c r="B29" s="360" t="s">
        <v>42</v>
      </c>
      <c r="C29" s="361">
        <v>500</v>
      </c>
      <c r="D29" s="362"/>
      <c r="E29" s="363"/>
      <c r="F29" s="363" t="s">
        <v>70</v>
      </c>
    </row>
    <row r="30" spans="1:6" ht="15" x14ac:dyDescent="0.25">
      <c r="A30" s="359">
        <v>21805</v>
      </c>
      <c r="B30" s="360" t="s">
        <v>338</v>
      </c>
      <c r="C30" s="361">
        <v>1000</v>
      </c>
      <c r="D30" s="362"/>
      <c r="E30" s="363"/>
      <c r="F30" s="363" t="s">
        <v>71</v>
      </c>
    </row>
    <row r="31" spans="1:6" ht="15" x14ac:dyDescent="0.25">
      <c r="A31" s="359">
        <v>43801</v>
      </c>
      <c r="B31" s="360" t="s">
        <v>339</v>
      </c>
      <c r="C31" s="361">
        <v>1500</v>
      </c>
      <c r="D31" s="362"/>
      <c r="E31" s="363"/>
      <c r="F31" s="363" t="s">
        <v>71</v>
      </c>
    </row>
    <row r="32" spans="1:6" ht="15" x14ac:dyDescent="0.25">
      <c r="A32" s="359">
        <v>43802</v>
      </c>
      <c r="B32" s="360" t="s">
        <v>550</v>
      </c>
      <c r="C32" s="361">
        <v>1300</v>
      </c>
      <c r="D32" s="362"/>
      <c r="E32" s="363"/>
      <c r="F32" s="363" t="s">
        <v>71</v>
      </c>
    </row>
    <row r="33" spans="1:6" ht="15" x14ac:dyDescent="0.25">
      <c r="A33" s="359">
        <v>46802</v>
      </c>
      <c r="B33" s="360" t="s">
        <v>43</v>
      </c>
      <c r="C33" s="361">
        <v>1000</v>
      </c>
      <c r="D33" s="362"/>
      <c r="E33" s="363"/>
      <c r="F33" s="363" t="s">
        <v>70</v>
      </c>
    </row>
    <row r="34" spans="1:6" ht="15" x14ac:dyDescent="0.25">
      <c r="A34" s="359">
        <v>57802</v>
      </c>
      <c r="B34" s="360" t="s">
        <v>18</v>
      </c>
      <c r="C34" s="361">
        <v>1000</v>
      </c>
      <c r="D34" s="362"/>
      <c r="E34" s="363"/>
      <c r="F34" s="363" t="s">
        <v>70</v>
      </c>
    </row>
    <row r="35" spans="1:6" ht="15" x14ac:dyDescent="0.25">
      <c r="A35" s="359">
        <v>57803</v>
      </c>
      <c r="B35" s="360" t="s">
        <v>407</v>
      </c>
      <c r="C35" s="361">
        <v>24000</v>
      </c>
      <c r="D35" s="362"/>
      <c r="E35" s="363"/>
      <c r="F35" s="363" t="s">
        <v>70</v>
      </c>
    </row>
    <row r="36" spans="1:6" ht="15" x14ac:dyDescent="0.25">
      <c r="A36" s="359">
        <v>57804</v>
      </c>
      <c r="B36" s="360" t="s">
        <v>340</v>
      </c>
      <c r="C36" s="361">
        <v>7500</v>
      </c>
      <c r="D36" s="362"/>
      <c r="E36" s="363"/>
      <c r="F36" s="363" t="s">
        <v>71</v>
      </c>
    </row>
    <row r="37" spans="1:6" ht="15" x14ac:dyDescent="0.25">
      <c r="A37" s="359">
        <v>57805</v>
      </c>
      <c r="B37" s="360" t="s">
        <v>341</v>
      </c>
      <c r="C37" s="361">
        <v>600</v>
      </c>
      <c r="D37" s="362"/>
      <c r="E37" s="363"/>
      <c r="F37" s="363" t="s">
        <v>71</v>
      </c>
    </row>
    <row r="38" spans="1:6" ht="15" x14ac:dyDescent="0.25">
      <c r="A38" s="359">
        <v>57806</v>
      </c>
      <c r="B38" s="360" t="s">
        <v>342</v>
      </c>
      <c r="C38" s="361">
        <v>3000</v>
      </c>
      <c r="D38" s="362"/>
      <c r="E38" s="363"/>
      <c r="F38" s="363" t="s">
        <v>70</v>
      </c>
    </row>
    <row r="39" spans="1:6" ht="15" x14ac:dyDescent="0.25">
      <c r="A39" s="359">
        <v>57807</v>
      </c>
      <c r="B39" s="360" t="s">
        <v>19</v>
      </c>
      <c r="C39" s="361">
        <v>15000</v>
      </c>
      <c r="D39" s="362"/>
      <c r="E39" s="363"/>
      <c r="F39" s="363" t="s">
        <v>71</v>
      </c>
    </row>
    <row r="40" spans="1:6" ht="15" x14ac:dyDescent="0.25">
      <c r="A40" s="359">
        <v>57808</v>
      </c>
      <c r="B40" s="360" t="s">
        <v>44</v>
      </c>
      <c r="C40" s="361">
        <v>3000</v>
      </c>
      <c r="D40" s="362"/>
      <c r="E40" s="363"/>
      <c r="F40" s="363" t="s">
        <v>70</v>
      </c>
    </row>
    <row r="41" spans="1:6" ht="15" x14ac:dyDescent="0.25">
      <c r="A41" s="359">
        <v>57809</v>
      </c>
      <c r="B41" s="360" t="s">
        <v>20</v>
      </c>
      <c r="C41" s="361">
        <v>500</v>
      </c>
      <c r="D41" s="362"/>
      <c r="E41" s="363"/>
      <c r="F41" s="363" t="s">
        <v>70</v>
      </c>
    </row>
    <row r="42" spans="1:6" ht="15" x14ac:dyDescent="0.25">
      <c r="A42" s="359">
        <v>57810</v>
      </c>
      <c r="B42" s="360" t="s">
        <v>21</v>
      </c>
      <c r="C42" s="361">
        <v>1000</v>
      </c>
      <c r="D42" s="362"/>
      <c r="E42" s="363"/>
      <c r="F42" s="363" t="s">
        <v>71</v>
      </c>
    </row>
    <row r="43" spans="1:6" ht="15" x14ac:dyDescent="0.25">
      <c r="A43" s="359">
        <v>57813</v>
      </c>
      <c r="B43" s="360" t="s">
        <v>22</v>
      </c>
      <c r="C43" s="361">
        <v>5000</v>
      </c>
      <c r="D43" s="362"/>
      <c r="E43" s="363"/>
      <c r="F43" s="363" t="s">
        <v>70</v>
      </c>
    </row>
    <row r="44" spans="1:6" ht="15" x14ac:dyDescent="0.25">
      <c r="A44" s="359">
        <v>57814</v>
      </c>
      <c r="B44" s="360" t="s">
        <v>344</v>
      </c>
      <c r="C44" s="361">
        <v>900</v>
      </c>
      <c r="D44" s="362"/>
      <c r="E44" s="363"/>
      <c r="F44" s="363" t="s">
        <v>71</v>
      </c>
    </row>
    <row r="45" spans="1:6" ht="15" x14ac:dyDescent="0.25">
      <c r="A45" s="359">
        <v>57816</v>
      </c>
      <c r="B45" s="360" t="s">
        <v>467</v>
      </c>
      <c r="C45" s="361">
        <v>2500</v>
      </c>
      <c r="D45" s="362"/>
      <c r="E45" s="363"/>
      <c r="F45" s="363" t="s">
        <v>70</v>
      </c>
    </row>
    <row r="46" spans="1:6" ht="15" x14ac:dyDescent="0.25">
      <c r="A46" s="359">
        <v>57819</v>
      </c>
      <c r="B46" s="360" t="s">
        <v>45</v>
      </c>
      <c r="C46" s="361">
        <v>400</v>
      </c>
      <c r="D46" s="362">
        <v>400</v>
      </c>
      <c r="E46" s="363"/>
      <c r="F46" s="363" t="s">
        <v>70</v>
      </c>
    </row>
    <row r="47" spans="1:6" ht="15" x14ac:dyDescent="0.25">
      <c r="A47" s="359">
        <v>57827</v>
      </c>
      <c r="B47" s="360" t="s">
        <v>23</v>
      </c>
      <c r="C47" s="361">
        <v>1000</v>
      </c>
      <c r="D47" s="362"/>
      <c r="E47" s="363"/>
      <c r="F47" s="363" t="s">
        <v>70</v>
      </c>
    </row>
    <row r="48" spans="1:6" ht="15" x14ac:dyDescent="0.25">
      <c r="A48" s="359">
        <v>57828</v>
      </c>
      <c r="B48" s="360" t="s">
        <v>88</v>
      </c>
      <c r="C48" s="361">
        <v>3000</v>
      </c>
      <c r="D48" s="362"/>
      <c r="E48" s="363"/>
      <c r="F48" s="363" t="s">
        <v>71</v>
      </c>
    </row>
    <row r="49" spans="1:6" ht="15" x14ac:dyDescent="0.25">
      <c r="A49" s="359">
        <v>57829</v>
      </c>
      <c r="B49" s="360" t="s">
        <v>46</v>
      </c>
      <c r="C49" s="361">
        <v>1750</v>
      </c>
      <c r="D49" s="362"/>
      <c r="E49" s="363"/>
      <c r="F49" s="363" t="s">
        <v>70</v>
      </c>
    </row>
    <row r="50" spans="1:6" ht="15" x14ac:dyDescent="0.25">
      <c r="A50" s="359">
        <v>57830</v>
      </c>
      <c r="B50" s="360" t="s">
        <v>47</v>
      </c>
      <c r="C50" s="361">
        <v>2000</v>
      </c>
      <c r="D50" s="362"/>
      <c r="E50" s="363"/>
      <c r="F50" s="363" t="s">
        <v>70</v>
      </c>
    </row>
    <row r="51" spans="1:6" ht="15" x14ac:dyDescent="0.25">
      <c r="A51" s="359">
        <v>57831</v>
      </c>
      <c r="B51" s="360" t="s">
        <v>48</v>
      </c>
      <c r="C51" s="361">
        <v>1200</v>
      </c>
      <c r="D51" s="362"/>
      <c r="E51" s="363"/>
      <c r="F51" s="363" t="s">
        <v>70</v>
      </c>
    </row>
    <row r="52" spans="1:6" ht="15" x14ac:dyDescent="0.25">
      <c r="A52" s="359">
        <v>57833</v>
      </c>
      <c r="B52" s="360" t="s">
        <v>49</v>
      </c>
      <c r="C52" s="361">
        <v>1000</v>
      </c>
      <c r="D52" s="362"/>
      <c r="E52" s="363"/>
      <c r="F52" s="363" t="s">
        <v>70</v>
      </c>
    </row>
    <row r="53" spans="1:6" ht="15" x14ac:dyDescent="0.25">
      <c r="A53" s="359">
        <v>57834</v>
      </c>
      <c r="B53" s="360" t="s">
        <v>24</v>
      </c>
      <c r="C53" s="361">
        <v>1200</v>
      </c>
      <c r="D53" s="362"/>
      <c r="E53" s="363"/>
      <c r="F53" s="363" t="s">
        <v>70</v>
      </c>
    </row>
    <row r="54" spans="1:6" ht="15" x14ac:dyDescent="0.25">
      <c r="A54" s="359">
        <v>57835</v>
      </c>
      <c r="B54" s="360" t="s">
        <v>50</v>
      </c>
      <c r="C54" s="361">
        <v>2500</v>
      </c>
      <c r="D54" s="362"/>
      <c r="E54" s="363"/>
      <c r="F54" s="363" t="s">
        <v>71</v>
      </c>
    </row>
    <row r="55" spans="1:6" ht="15" x14ac:dyDescent="0.25">
      <c r="A55" s="359">
        <v>57836</v>
      </c>
      <c r="B55" s="360" t="s">
        <v>25</v>
      </c>
      <c r="C55" s="361">
        <v>500</v>
      </c>
      <c r="D55" s="362"/>
      <c r="E55" s="363"/>
      <c r="F55" s="363" t="s">
        <v>70</v>
      </c>
    </row>
    <row r="56" spans="1:6" ht="15" x14ac:dyDescent="0.25">
      <c r="A56" s="359">
        <v>57837</v>
      </c>
      <c r="B56" s="360" t="s">
        <v>346</v>
      </c>
      <c r="C56" s="361">
        <v>2400</v>
      </c>
      <c r="D56" s="362"/>
      <c r="E56" s="363"/>
      <c r="F56" s="363" t="s">
        <v>71</v>
      </c>
    </row>
    <row r="57" spans="1:6" ht="15" x14ac:dyDescent="0.25">
      <c r="A57" s="359">
        <v>57839</v>
      </c>
      <c r="B57" s="360" t="s">
        <v>63</v>
      </c>
      <c r="C57" s="361">
        <v>1550</v>
      </c>
      <c r="D57" s="362"/>
      <c r="E57" s="363"/>
      <c r="F57" s="363" t="s">
        <v>71</v>
      </c>
    </row>
    <row r="58" spans="1:6" ht="15" x14ac:dyDescent="0.25">
      <c r="A58" s="359">
        <v>57840</v>
      </c>
      <c r="B58" s="360" t="s">
        <v>347</v>
      </c>
      <c r="C58" s="361">
        <v>900</v>
      </c>
      <c r="D58" s="362"/>
      <c r="E58" s="363"/>
      <c r="F58" s="363" t="s">
        <v>71</v>
      </c>
    </row>
    <row r="59" spans="1:6" ht="15" x14ac:dyDescent="0.25">
      <c r="A59" s="359">
        <v>57841</v>
      </c>
      <c r="B59" s="360" t="s">
        <v>348</v>
      </c>
      <c r="C59" s="361">
        <v>2000</v>
      </c>
      <c r="D59" s="362"/>
      <c r="E59" s="363"/>
      <c r="F59" s="363" t="s">
        <v>71</v>
      </c>
    </row>
    <row r="60" spans="1:6" ht="15" x14ac:dyDescent="0.25">
      <c r="A60" s="359">
        <v>57844</v>
      </c>
      <c r="B60" s="360" t="s">
        <v>349</v>
      </c>
      <c r="C60" s="361">
        <v>1500</v>
      </c>
      <c r="D60" s="362"/>
      <c r="E60" s="363"/>
      <c r="F60" s="363" t="s">
        <v>71</v>
      </c>
    </row>
    <row r="61" spans="1:6" ht="15" x14ac:dyDescent="0.25">
      <c r="A61" s="359">
        <v>57845</v>
      </c>
      <c r="B61" s="360" t="s">
        <v>124</v>
      </c>
      <c r="C61" s="361">
        <v>2000</v>
      </c>
      <c r="D61" s="362"/>
      <c r="E61" s="363"/>
      <c r="F61" s="363" t="s">
        <v>71</v>
      </c>
    </row>
    <row r="62" spans="1:6" ht="15" x14ac:dyDescent="0.25">
      <c r="A62" s="359">
        <v>57846</v>
      </c>
      <c r="B62" s="360" t="s">
        <v>125</v>
      </c>
      <c r="C62" s="361">
        <v>2600</v>
      </c>
      <c r="D62" s="362"/>
      <c r="E62" s="363"/>
      <c r="F62" s="363" t="s">
        <v>71</v>
      </c>
    </row>
    <row r="63" spans="1:6" ht="15" x14ac:dyDescent="0.25">
      <c r="A63" s="359">
        <v>57847</v>
      </c>
      <c r="B63" s="360" t="s">
        <v>350</v>
      </c>
      <c r="C63" s="361">
        <v>1400</v>
      </c>
      <c r="D63" s="362">
        <v>1400</v>
      </c>
      <c r="E63" s="363"/>
      <c r="F63" s="363" t="s">
        <v>71</v>
      </c>
    </row>
    <row r="64" spans="1:6" ht="15" x14ac:dyDescent="0.25">
      <c r="A64" s="359">
        <v>57848</v>
      </c>
      <c r="B64" s="360" t="s">
        <v>351</v>
      </c>
      <c r="C64" s="361">
        <v>29340</v>
      </c>
      <c r="D64" s="362"/>
      <c r="E64" s="363"/>
      <c r="F64" s="363" t="s">
        <v>71</v>
      </c>
    </row>
    <row r="65" spans="1:6" ht="15" x14ac:dyDescent="0.25">
      <c r="A65" s="359">
        <v>57849</v>
      </c>
      <c r="B65" s="360" t="s">
        <v>389</v>
      </c>
      <c r="C65" s="361">
        <v>1080</v>
      </c>
      <c r="D65" s="362"/>
      <c r="E65" s="363"/>
      <c r="F65" s="363" t="s">
        <v>71</v>
      </c>
    </row>
    <row r="66" spans="1:6" ht="15" x14ac:dyDescent="0.25">
      <c r="A66" s="359">
        <v>57850</v>
      </c>
      <c r="B66" s="360" t="s">
        <v>411</v>
      </c>
      <c r="C66" s="361">
        <v>3550</v>
      </c>
      <c r="D66" s="362"/>
      <c r="E66" s="363"/>
      <c r="F66" s="363" t="s">
        <v>71</v>
      </c>
    </row>
    <row r="67" spans="1:6" ht="15" x14ac:dyDescent="0.25">
      <c r="A67" s="359">
        <v>57851</v>
      </c>
      <c r="B67" s="360" t="s">
        <v>546</v>
      </c>
      <c r="C67" s="361">
        <v>1560</v>
      </c>
      <c r="D67" s="362"/>
      <c r="E67" s="363"/>
      <c r="F67" s="363" t="s">
        <v>71</v>
      </c>
    </row>
    <row r="68" spans="1:6" ht="15" x14ac:dyDescent="0.25">
      <c r="A68" s="359">
        <v>61802</v>
      </c>
      <c r="B68" s="360" t="s">
        <v>352</v>
      </c>
      <c r="C68" s="361">
        <v>1200</v>
      </c>
      <c r="D68" s="362"/>
      <c r="E68" s="363"/>
      <c r="F68" s="363" t="s">
        <v>70</v>
      </c>
    </row>
    <row r="69" spans="1:6" ht="15" x14ac:dyDescent="0.25">
      <c r="A69" s="359">
        <v>61804</v>
      </c>
      <c r="B69" s="360" t="s">
        <v>353</v>
      </c>
      <c r="C69" s="361">
        <v>1300</v>
      </c>
      <c r="D69" s="362"/>
      <c r="E69" s="363"/>
      <c r="F69" s="363" t="s">
        <v>71</v>
      </c>
    </row>
    <row r="70" spans="1:6" ht="15" x14ac:dyDescent="0.25">
      <c r="A70" s="359">
        <v>61805</v>
      </c>
      <c r="B70" s="360" t="s">
        <v>412</v>
      </c>
      <c r="C70" s="361">
        <v>2000</v>
      </c>
      <c r="D70" s="362"/>
      <c r="E70" s="363"/>
      <c r="F70" s="363" t="s">
        <v>71</v>
      </c>
    </row>
    <row r="71" spans="1:6" ht="15" x14ac:dyDescent="0.25">
      <c r="A71" s="359">
        <v>68802</v>
      </c>
      <c r="B71" s="360" t="s">
        <v>354</v>
      </c>
      <c r="C71" s="361">
        <v>1200</v>
      </c>
      <c r="D71" s="362"/>
      <c r="E71" s="363"/>
      <c r="F71" s="363" t="s">
        <v>71</v>
      </c>
    </row>
    <row r="72" spans="1:6" ht="15" x14ac:dyDescent="0.25">
      <c r="A72" s="359">
        <v>68803</v>
      </c>
      <c r="B72" s="360" t="s">
        <v>355</v>
      </c>
      <c r="C72" s="361">
        <v>3900</v>
      </c>
      <c r="D72" s="362"/>
      <c r="E72" s="363"/>
      <c r="F72" s="363" t="s">
        <v>71</v>
      </c>
    </row>
    <row r="73" spans="1:6" ht="15" x14ac:dyDescent="0.25">
      <c r="A73" s="359">
        <v>70801</v>
      </c>
      <c r="B73" s="360" t="s">
        <v>51</v>
      </c>
      <c r="C73" s="361">
        <v>3000</v>
      </c>
      <c r="D73" s="362"/>
      <c r="E73" s="363"/>
      <c r="F73" s="363" t="s">
        <v>70</v>
      </c>
    </row>
    <row r="74" spans="1:6" ht="15" x14ac:dyDescent="0.25">
      <c r="A74" s="359">
        <v>71801</v>
      </c>
      <c r="B74" s="360" t="s">
        <v>89</v>
      </c>
      <c r="C74" s="361">
        <v>1300</v>
      </c>
      <c r="D74" s="362"/>
      <c r="E74" s="363"/>
      <c r="F74" s="363" t="s">
        <v>70</v>
      </c>
    </row>
    <row r="75" spans="1:6" ht="15" x14ac:dyDescent="0.25">
      <c r="A75" s="359">
        <v>71803</v>
      </c>
      <c r="B75" s="360" t="s">
        <v>356</v>
      </c>
      <c r="C75" s="361">
        <v>800</v>
      </c>
      <c r="D75" s="362"/>
      <c r="E75" s="363"/>
      <c r="F75" s="363" t="s">
        <v>70</v>
      </c>
    </row>
    <row r="76" spans="1:6" ht="15" x14ac:dyDescent="0.25">
      <c r="A76" s="359">
        <v>71804</v>
      </c>
      <c r="B76" s="360" t="s">
        <v>26</v>
      </c>
      <c r="C76" s="361">
        <v>500</v>
      </c>
      <c r="D76" s="362"/>
      <c r="E76" s="363"/>
      <c r="F76" s="363" t="s">
        <v>70</v>
      </c>
    </row>
    <row r="77" spans="1:6" ht="15" x14ac:dyDescent="0.25">
      <c r="A77" s="359">
        <v>71806</v>
      </c>
      <c r="B77" s="360" t="s">
        <v>27</v>
      </c>
      <c r="C77" s="361">
        <v>4500</v>
      </c>
      <c r="D77" s="362"/>
      <c r="E77" s="363"/>
      <c r="F77" s="363" t="s">
        <v>70</v>
      </c>
    </row>
    <row r="78" spans="1:6" ht="15" x14ac:dyDescent="0.25">
      <c r="A78" s="359">
        <v>71807</v>
      </c>
      <c r="B78" s="360" t="s">
        <v>68</v>
      </c>
      <c r="C78" s="361">
        <v>672</v>
      </c>
      <c r="D78" s="362"/>
      <c r="E78" s="363"/>
      <c r="F78" s="363" t="s">
        <v>71</v>
      </c>
    </row>
    <row r="79" spans="1:6" ht="15" x14ac:dyDescent="0.25">
      <c r="A79" s="359">
        <v>71809</v>
      </c>
      <c r="B79" s="360" t="s">
        <v>357</v>
      </c>
      <c r="C79" s="361">
        <v>1240</v>
      </c>
      <c r="D79" s="362"/>
      <c r="E79" s="363"/>
      <c r="F79" s="363" t="s">
        <v>70</v>
      </c>
    </row>
    <row r="80" spans="1:6" ht="15" x14ac:dyDescent="0.25">
      <c r="A80" s="359">
        <v>71810</v>
      </c>
      <c r="B80" s="360" t="s">
        <v>358</v>
      </c>
      <c r="C80" s="361">
        <v>625</v>
      </c>
      <c r="D80" s="362"/>
      <c r="E80" s="363"/>
      <c r="F80" s="363" t="s">
        <v>71</v>
      </c>
    </row>
    <row r="81" spans="1:6" ht="15" x14ac:dyDescent="0.25">
      <c r="A81" s="359">
        <v>72801</v>
      </c>
      <c r="B81" s="360" t="s">
        <v>105</v>
      </c>
      <c r="C81" s="361">
        <v>10000</v>
      </c>
      <c r="D81" s="362"/>
      <c r="E81" s="363"/>
      <c r="F81" s="363" t="s">
        <v>70</v>
      </c>
    </row>
    <row r="82" spans="1:6" ht="15" x14ac:dyDescent="0.25">
      <c r="A82" s="359">
        <v>72802</v>
      </c>
      <c r="B82" s="360" t="s">
        <v>359</v>
      </c>
      <c r="C82" s="361">
        <v>600</v>
      </c>
      <c r="D82" s="362"/>
      <c r="E82" s="363"/>
      <c r="F82" s="363" t="s">
        <v>70</v>
      </c>
    </row>
    <row r="83" spans="1:6" ht="15" x14ac:dyDescent="0.25">
      <c r="A83" s="359">
        <v>84802</v>
      </c>
      <c r="B83" s="360" t="s">
        <v>28</v>
      </c>
      <c r="C83" s="361">
        <v>2254</v>
      </c>
      <c r="D83" s="362"/>
      <c r="E83" s="363"/>
      <c r="F83" s="363" t="s">
        <v>70</v>
      </c>
    </row>
    <row r="84" spans="1:6" ht="15" x14ac:dyDescent="0.25">
      <c r="A84" s="359">
        <v>84804</v>
      </c>
      <c r="B84" s="360" t="s">
        <v>69</v>
      </c>
      <c r="C84" s="361">
        <v>600</v>
      </c>
      <c r="D84" s="362"/>
      <c r="E84" s="363"/>
      <c r="F84" s="363" t="s">
        <v>71</v>
      </c>
    </row>
    <row r="85" spans="1:6" ht="15" x14ac:dyDescent="0.25">
      <c r="A85" s="359">
        <v>92801</v>
      </c>
      <c r="B85" s="360" t="s">
        <v>29</v>
      </c>
      <c r="C85" s="361">
        <v>500</v>
      </c>
      <c r="D85" s="362"/>
      <c r="E85" s="363"/>
      <c r="F85" s="363" t="s">
        <v>70</v>
      </c>
    </row>
    <row r="86" spans="1:6" ht="15" x14ac:dyDescent="0.25">
      <c r="A86" s="359">
        <v>101802</v>
      </c>
      <c r="B86" s="360" t="s">
        <v>52</v>
      </c>
      <c r="C86" s="361">
        <v>1750</v>
      </c>
      <c r="D86" s="362">
        <v>1750</v>
      </c>
      <c r="E86" s="363"/>
      <c r="F86" s="363" t="s">
        <v>71</v>
      </c>
    </row>
    <row r="87" spans="1:6" ht="15" x14ac:dyDescent="0.25">
      <c r="A87" s="359">
        <v>101803</v>
      </c>
      <c r="B87" s="360" t="s">
        <v>98</v>
      </c>
      <c r="C87" s="361">
        <v>1128</v>
      </c>
      <c r="D87" s="362"/>
      <c r="E87" s="363"/>
      <c r="F87" s="363" t="s">
        <v>70</v>
      </c>
    </row>
    <row r="88" spans="1:6" ht="15" x14ac:dyDescent="0.25">
      <c r="A88" s="359">
        <v>101804</v>
      </c>
      <c r="B88" s="360" t="s">
        <v>7</v>
      </c>
      <c r="C88" s="361">
        <v>1450</v>
      </c>
      <c r="D88" s="362"/>
      <c r="E88" s="363"/>
      <c r="F88" s="363" t="s">
        <v>71</v>
      </c>
    </row>
    <row r="89" spans="1:6" ht="15" x14ac:dyDescent="0.25">
      <c r="A89" s="359">
        <v>101806</v>
      </c>
      <c r="B89" s="360" t="s">
        <v>554</v>
      </c>
      <c r="C89" s="361">
        <v>1330</v>
      </c>
      <c r="D89" s="362"/>
      <c r="E89" s="363"/>
      <c r="F89" s="363" t="s">
        <v>70</v>
      </c>
    </row>
    <row r="90" spans="1:6" ht="15" x14ac:dyDescent="0.25">
      <c r="A90" s="359">
        <v>101807</v>
      </c>
      <c r="B90" s="360" t="s">
        <v>8</v>
      </c>
      <c r="C90" s="361">
        <v>138</v>
      </c>
      <c r="D90" s="362"/>
      <c r="E90" s="363"/>
      <c r="F90" s="363" t="s">
        <v>71</v>
      </c>
    </row>
    <row r="91" spans="1:6" ht="15" x14ac:dyDescent="0.25">
      <c r="A91" s="359">
        <v>101810</v>
      </c>
      <c r="B91" s="360" t="s">
        <v>53</v>
      </c>
      <c r="C91" s="361">
        <v>750</v>
      </c>
      <c r="D91" s="362"/>
      <c r="E91" s="363">
        <v>1050</v>
      </c>
      <c r="F91" s="363" t="s">
        <v>70</v>
      </c>
    </row>
    <row r="92" spans="1:6" ht="15" x14ac:dyDescent="0.25">
      <c r="A92" s="359">
        <v>101811</v>
      </c>
      <c r="B92" s="360" t="s">
        <v>362</v>
      </c>
      <c r="C92" s="361">
        <v>1000</v>
      </c>
      <c r="D92" s="362"/>
      <c r="E92" s="363"/>
      <c r="F92" s="363" t="s">
        <v>71</v>
      </c>
    </row>
    <row r="93" spans="1:6" ht="15" x14ac:dyDescent="0.25">
      <c r="A93" s="359">
        <v>101813</v>
      </c>
      <c r="B93" s="360" t="s">
        <v>54</v>
      </c>
      <c r="C93" s="361">
        <v>28300</v>
      </c>
      <c r="D93" s="362"/>
      <c r="E93" s="363"/>
      <c r="F93" s="363" t="s">
        <v>71</v>
      </c>
    </row>
    <row r="94" spans="1:6" ht="15" x14ac:dyDescent="0.25">
      <c r="A94" s="359">
        <v>101814</v>
      </c>
      <c r="B94" s="360" t="s">
        <v>402</v>
      </c>
      <c r="C94" s="361">
        <v>2500</v>
      </c>
      <c r="D94" s="362"/>
      <c r="E94" s="363"/>
      <c r="F94" s="363" t="s">
        <v>70</v>
      </c>
    </row>
    <row r="95" spans="1:6" ht="15" x14ac:dyDescent="0.25">
      <c r="A95" s="359">
        <v>101815</v>
      </c>
      <c r="B95" s="360" t="s">
        <v>55</v>
      </c>
      <c r="C95" s="361">
        <v>600</v>
      </c>
      <c r="D95" s="362"/>
      <c r="E95" s="363"/>
      <c r="F95" s="363" t="s">
        <v>70</v>
      </c>
    </row>
    <row r="96" spans="1:6" ht="15" x14ac:dyDescent="0.25">
      <c r="A96" s="359">
        <v>101819</v>
      </c>
      <c r="B96" s="360" t="s">
        <v>9</v>
      </c>
      <c r="C96" s="361">
        <v>1500</v>
      </c>
      <c r="D96" s="362"/>
      <c r="E96" s="363"/>
      <c r="F96" s="363" t="s">
        <v>71</v>
      </c>
    </row>
    <row r="97" spans="1:6" ht="15" x14ac:dyDescent="0.25">
      <c r="A97" s="359">
        <v>101821</v>
      </c>
      <c r="B97" s="360" t="s">
        <v>10</v>
      </c>
      <c r="C97" s="361">
        <v>450</v>
      </c>
      <c r="D97" s="362"/>
      <c r="E97" s="363"/>
      <c r="F97" s="363" t="s">
        <v>71</v>
      </c>
    </row>
    <row r="98" spans="1:6" ht="15" x14ac:dyDescent="0.25">
      <c r="A98" s="359">
        <v>101828</v>
      </c>
      <c r="B98" s="360" t="s">
        <v>11</v>
      </c>
      <c r="C98" s="361">
        <v>2400</v>
      </c>
      <c r="D98" s="362"/>
      <c r="E98" s="363"/>
      <c r="F98" s="363" t="s">
        <v>71</v>
      </c>
    </row>
    <row r="99" spans="1:6" ht="15" x14ac:dyDescent="0.25">
      <c r="A99" s="359">
        <v>101837</v>
      </c>
      <c r="B99" s="360" t="s">
        <v>13</v>
      </c>
      <c r="C99" s="361">
        <v>750</v>
      </c>
      <c r="D99" s="362"/>
      <c r="E99" s="363"/>
      <c r="F99" s="363" t="s">
        <v>70</v>
      </c>
    </row>
    <row r="100" spans="1:6" ht="15" x14ac:dyDescent="0.25">
      <c r="A100" s="359">
        <v>101838</v>
      </c>
      <c r="B100" s="360" t="s">
        <v>470</v>
      </c>
      <c r="C100" s="361">
        <v>4250</v>
      </c>
      <c r="D100" s="362"/>
      <c r="E100" s="363"/>
      <c r="F100" s="363" t="s">
        <v>71</v>
      </c>
    </row>
    <row r="101" spans="1:6" ht="15" x14ac:dyDescent="0.25">
      <c r="A101" s="359">
        <v>101840</v>
      </c>
      <c r="B101" s="360" t="s">
        <v>30</v>
      </c>
      <c r="C101" s="361">
        <v>700</v>
      </c>
      <c r="D101" s="362"/>
      <c r="E101" s="363"/>
      <c r="F101" s="363" t="s">
        <v>70</v>
      </c>
    </row>
    <row r="102" spans="1:6" ht="15" x14ac:dyDescent="0.25">
      <c r="A102" s="359">
        <v>101842</v>
      </c>
      <c r="B102" s="360" t="s">
        <v>31</v>
      </c>
      <c r="C102" s="361">
        <v>700</v>
      </c>
      <c r="D102" s="362"/>
      <c r="E102" s="363"/>
      <c r="F102" s="363" t="s">
        <v>70</v>
      </c>
    </row>
    <row r="103" spans="1:6" ht="15" x14ac:dyDescent="0.25">
      <c r="A103" s="359">
        <v>101845</v>
      </c>
      <c r="B103" s="360" t="s">
        <v>403</v>
      </c>
      <c r="C103" s="361">
        <v>12500</v>
      </c>
      <c r="D103" s="362"/>
      <c r="E103" s="363"/>
      <c r="F103" s="363" t="s">
        <v>70</v>
      </c>
    </row>
    <row r="104" spans="1:6" ht="15" x14ac:dyDescent="0.25">
      <c r="A104" s="359">
        <v>101846</v>
      </c>
      <c r="B104" s="360" t="s">
        <v>395</v>
      </c>
      <c r="C104" s="361">
        <v>7000</v>
      </c>
      <c r="D104" s="362"/>
      <c r="E104" s="363"/>
      <c r="F104" s="363" t="s">
        <v>70</v>
      </c>
    </row>
    <row r="105" spans="1:6" ht="15" x14ac:dyDescent="0.25">
      <c r="A105" s="359">
        <v>101847</v>
      </c>
      <c r="B105" s="360" t="s">
        <v>33</v>
      </c>
      <c r="C105" s="361">
        <v>650</v>
      </c>
      <c r="D105" s="362"/>
      <c r="E105" s="363"/>
      <c r="F105" s="363" t="s">
        <v>70</v>
      </c>
    </row>
    <row r="106" spans="1:6" ht="15" x14ac:dyDescent="0.25">
      <c r="A106" s="359">
        <v>101849</v>
      </c>
      <c r="B106" s="360" t="s">
        <v>15</v>
      </c>
      <c r="C106" s="361">
        <v>1300</v>
      </c>
      <c r="D106" s="362"/>
      <c r="E106" s="363"/>
      <c r="F106" s="363" t="s">
        <v>70</v>
      </c>
    </row>
    <row r="107" spans="1:6" ht="15" x14ac:dyDescent="0.25">
      <c r="A107" s="359">
        <v>101853</v>
      </c>
      <c r="B107" s="360" t="s">
        <v>106</v>
      </c>
      <c r="C107" s="361">
        <v>2500</v>
      </c>
      <c r="D107" s="362"/>
      <c r="E107" s="363"/>
      <c r="F107" s="363" t="s">
        <v>71</v>
      </c>
    </row>
    <row r="108" spans="1:6" ht="15" x14ac:dyDescent="0.25">
      <c r="A108" s="359">
        <v>101855</v>
      </c>
      <c r="B108" s="360" t="s">
        <v>2</v>
      </c>
      <c r="C108" s="361">
        <v>500</v>
      </c>
      <c r="D108" s="362"/>
      <c r="E108" s="363"/>
      <c r="F108" s="363" t="s">
        <v>71</v>
      </c>
    </row>
    <row r="109" spans="1:6" ht="15" x14ac:dyDescent="0.25">
      <c r="A109" s="359">
        <v>101856</v>
      </c>
      <c r="B109" s="360" t="s">
        <v>34</v>
      </c>
      <c r="C109" s="361">
        <v>750</v>
      </c>
      <c r="D109" s="362"/>
      <c r="E109" s="363"/>
      <c r="F109" s="363" t="s">
        <v>71</v>
      </c>
    </row>
    <row r="110" spans="1:6" ht="15" x14ac:dyDescent="0.25">
      <c r="A110" s="359">
        <v>101858</v>
      </c>
      <c r="B110" s="360" t="s">
        <v>64</v>
      </c>
      <c r="C110" s="361">
        <v>7000</v>
      </c>
      <c r="D110" s="362"/>
      <c r="E110" s="363"/>
      <c r="F110" s="363" t="s">
        <v>70</v>
      </c>
    </row>
    <row r="111" spans="1:6" ht="15" x14ac:dyDescent="0.25">
      <c r="A111" s="359">
        <v>101859</v>
      </c>
      <c r="B111" s="360" t="s">
        <v>366</v>
      </c>
      <c r="C111" s="361">
        <v>818</v>
      </c>
      <c r="D111" s="362"/>
      <c r="E111" s="363"/>
      <c r="F111" s="363" t="s">
        <v>71</v>
      </c>
    </row>
    <row r="112" spans="1:6" ht="15" x14ac:dyDescent="0.25">
      <c r="A112" s="359">
        <v>101861</v>
      </c>
      <c r="B112" s="360" t="s">
        <v>399</v>
      </c>
      <c r="C112" s="361">
        <v>2000</v>
      </c>
      <c r="D112" s="362"/>
      <c r="E112" s="363"/>
      <c r="F112" s="363" t="s">
        <v>71</v>
      </c>
    </row>
    <row r="113" spans="1:6" ht="15" x14ac:dyDescent="0.25">
      <c r="A113" s="359">
        <v>101862</v>
      </c>
      <c r="B113" s="360" t="s">
        <v>368</v>
      </c>
      <c r="C113" s="361">
        <v>6000</v>
      </c>
      <c r="D113" s="362"/>
      <c r="E113" s="363"/>
      <c r="F113" s="363" t="s">
        <v>70</v>
      </c>
    </row>
    <row r="114" spans="1:6" ht="15" x14ac:dyDescent="0.25">
      <c r="A114" s="359">
        <v>101864</v>
      </c>
      <c r="B114" s="360" t="s">
        <v>369</v>
      </c>
      <c r="C114" s="361">
        <v>1080</v>
      </c>
      <c r="D114" s="362"/>
      <c r="E114" s="363"/>
      <c r="F114" s="363" t="s">
        <v>71</v>
      </c>
    </row>
    <row r="115" spans="1:6" ht="15" x14ac:dyDescent="0.25">
      <c r="A115" s="359">
        <v>101868</v>
      </c>
      <c r="B115" s="360" t="s">
        <v>370</v>
      </c>
      <c r="C115" s="361">
        <v>800</v>
      </c>
      <c r="D115" s="362"/>
      <c r="E115" s="363"/>
      <c r="F115" s="363" t="s">
        <v>71</v>
      </c>
    </row>
    <row r="116" spans="1:6" ht="15" x14ac:dyDescent="0.25">
      <c r="A116" s="359">
        <v>101870</v>
      </c>
      <c r="B116" s="360" t="s">
        <v>390</v>
      </c>
      <c r="C116" s="361">
        <v>1680</v>
      </c>
      <c r="D116" s="362"/>
      <c r="E116" s="363"/>
      <c r="F116" s="363" t="s">
        <v>71</v>
      </c>
    </row>
    <row r="117" spans="1:6" ht="15" x14ac:dyDescent="0.25">
      <c r="A117" s="359">
        <v>101871</v>
      </c>
      <c r="B117" s="360" t="s">
        <v>409</v>
      </c>
      <c r="C117" s="361">
        <v>540</v>
      </c>
      <c r="D117" s="362"/>
      <c r="E117" s="363"/>
      <c r="F117" s="363" t="s">
        <v>71</v>
      </c>
    </row>
    <row r="118" spans="1:6" ht="15" x14ac:dyDescent="0.25">
      <c r="A118" s="359">
        <v>101872</v>
      </c>
      <c r="B118" s="360" t="s">
        <v>547</v>
      </c>
      <c r="C118" s="361">
        <v>1200</v>
      </c>
      <c r="D118" s="362"/>
      <c r="E118" s="363"/>
      <c r="F118" s="363" t="s">
        <v>71</v>
      </c>
    </row>
    <row r="119" spans="1:6" ht="15" x14ac:dyDescent="0.25">
      <c r="A119" s="359">
        <v>101873</v>
      </c>
      <c r="B119" s="360" t="s">
        <v>556</v>
      </c>
      <c r="C119" s="361">
        <v>1000</v>
      </c>
      <c r="D119" s="362"/>
      <c r="E119" s="363"/>
      <c r="F119" s="363" t="s">
        <v>71</v>
      </c>
    </row>
    <row r="120" spans="1:6" ht="15" x14ac:dyDescent="0.25">
      <c r="A120" s="359">
        <v>101874</v>
      </c>
      <c r="B120" s="360" t="s">
        <v>549</v>
      </c>
      <c r="C120" s="361">
        <v>2400</v>
      </c>
      <c r="D120" s="362"/>
      <c r="E120" s="363"/>
      <c r="F120" s="363" t="s">
        <v>71</v>
      </c>
    </row>
    <row r="121" spans="1:6" ht="15" x14ac:dyDescent="0.25">
      <c r="A121" s="359">
        <v>105801</v>
      </c>
      <c r="B121" s="360" t="s">
        <v>35</v>
      </c>
      <c r="C121" s="361">
        <v>300</v>
      </c>
      <c r="D121" s="362"/>
      <c r="E121" s="363"/>
      <c r="F121" s="363" t="s">
        <v>70</v>
      </c>
    </row>
    <row r="122" spans="1:6" ht="15" x14ac:dyDescent="0.25">
      <c r="A122" s="359">
        <v>105802</v>
      </c>
      <c r="B122" s="360" t="s">
        <v>3</v>
      </c>
      <c r="C122" s="361">
        <v>635</v>
      </c>
      <c r="D122" s="362"/>
      <c r="E122" s="363"/>
      <c r="F122" s="363" t="s">
        <v>70</v>
      </c>
    </row>
    <row r="123" spans="1:6" ht="15" x14ac:dyDescent="0.25">
      <c r="A123" s="359">
        <v>105803</v>
      </c>
      <c r="B123" s="360" t="s">
        <v>391</v>
      </c>
      <c r="C123" s="361">
        <v>220</v>
      </c>
      <c r="D123" s="362"/>
      <c r="E123" s="363"/>
      <c r="F123" s="363" t="s">
        <v>71</v>
      </c>
    </row>
    <row r="124" spans="1:6" ht="15" x14ac:dyDescent="0.25">
      <c r="A124" s="359">
        <v>108802</v>
      </c>
      <c r="B124" s="360" t="s">
        <v>371</v>
      </c>
      <c r="C124" s="361">
        <v>2500</v>
      </c>
      <c r="D124" s="362"/>
      <c r="E124" s="363"/>
      <c r="F124" s="363" t="s">
        <v>70</v>
      </c>
    </row>
    <row r="125" spans="1:6" ht="15" x14ac:dyDescent="0.25">
      <c r="A125" s="359">
        <v>108804</v>
      </c>
      <c r="B125" s="360" t="s">
        <v>372</v>
      </c>
      <c r="C125" s="361">
        <v>700</v>
      </c>
      <c r="D125" s="362"/>
      <c r="E125" s="363"/>
      <c r="F125" s="363" t="s">
        <v>70</v>
      </c>
    </row>
    <row r="126" spans="1:6" ht="15" x14ac:dyDescent="0.25">
      <c r="A126" s="359">
        <v>108807</v>
      </c>
      <c r="B126" s="360" t="s">
        <v>102</v>
      </c>
      <c r="C126" s="361">
        <v>57000</v>
      </c>
      <c r="D126" s="362">
        <v>57000</v>
      </c>
      <c r="E126" s="363"/>
      <c r="F126" s="363" t="s">
        <v>70</v>
      </c>
    </row>
    <row r="127" spans="1:6" ht="15" x14ac:dyDescent="0.25">
      <c r="A127" s="359">
        <v>108808</v>
      </c>
      <c r="B127" s="360" t="s">
        <v>93</v>
      </c>
      <c r="C127" s="361">
        <v>5750</v>
      </c>
      <c r="D127" s="362">
        <v>5750</v>
      </c>
      <c r="E127" s="363"/>
      <c r="F127" s="363" t="s">
        <v>71</v>
      </c>
    </row>
    <row r="128" spans="1:6" ht="15" x14ac:dyDescent="0.25">
      <c r="A128" s="359">
        <v>108809</v>
      </c>
      <c r="B128" s="360" t="s">
        <v>126</v>
      </c>
      <c r="C128" s="361">
        <v>600</v>
      </c>
      <c r="D128" s="362"/>
      <c r="E128" s="363"/>
      <c r="F128" s="363" t="s">
        <v>71</v>
      </c>
    </row>
    <row r="129" spans="1:6" ht="15" x14ac:dyDescent="0.25">
      <c r="A129" s="359">
        <v>123803</v>
      </c>
      <c r="B129" s="360" t="s">
        <v>401</v>
      </c>
      <c r="C129" s="361">
        <v>1500</v>
      </c>
      <c r="D129" s="362"/>
      <c r="E129" s="363"/>
      <c r="F129" s="363" t="s">
        <v>70</v>
      </c>
    </row>
    <row r="130" spans="1:6" ht="15" x14ac:dyDescent="0.25">
      <c r="A130" s="359">
        <v>123805</v>
      </c>
      <c r="B130" s="360" t="s">
        <v>4</v>
      </c>
      <c r="C130" s="361">
        <v>500</v>
      </c>
      <c r="D130" s="362"/>
      <c r="E130" s="363"/>
      <c r="F130" s="363" t="s">
        <v>70</v>
      </c>
    </row>
    <row r="131" spans="1:6" ht="15" x14ac:dyDescent="0.25">
      <c r="A131" s="359">
        <v>123807</v>
      </c>
      <c r="B131" s="360" t="s">
        <v>374</v>
      </c>
      <c r="C131" s="361">
        <v>2200</v>
      </c>
      <c r="D131" s="362">
        <v>2200</v>
      </c>
      <c r="E131" s="363"/>
      <c r="F131" s="363" t="s">
        <v>71</v>
      </c>
    </row>
    <row r="132" spans="1:6" ht="15" x14ac:dyDescent="0.25">
      <c r="A132" s="359">
        <v>126801</v>
      </c>
      <c r="B132" s="360" t="s">
        <v>410</v>
      </c>
      <c r="C132" s="361">
        <v>360</v>
      </c>
      <c r="D132" s="362"/>
      <c r="E132" s="363"/>
      <c r="F132" s="363" t="s">
        <v>71</v>
      </c>
    </row>
    <row r="133" spans="1:6" ht="15" x14ac:dyDescent="0.25">
      <c r="A133" s="359">
        <v>130801</v>
      </c>
      <c r="B133" s="360" t="s">
        <v>551</v>
      </c>
      <c r="C133" s="361">
        <v>300</v>
      </c>
      <c r="D133" s="362"/>
      <c r="E133" s="363"/>
      <c r="F133" s="363" t="s">
        <v>71</v>
      </c>
    </row>
    <row r="134" spans="1:6" ht="15" x14ac:dyDescent="0.25">
      <c r="A134" s="359">
        <v>152802</v>
      </c>
      <c r="B134" s="360" t="s">
        <v>94</v>
      </c>
      <c r="C134" s="361">
        <v>350</v>
      </c>
      <c r="D134" s="362"/>
      <c r="E134" s="363"/>
      <c r="F134" s="363" t="s">
        <v>70</v>
      </c>
    </row>
    <row r="135" spans="1:6" ht="15" x14ac:dyDescent="0.25">
      <c r="A135" s="359">
        <v>152803</v>
      </c>
      <c r="B135" s="360" t="s">
        <v>375</v>
      </c>
      <c r="C135" s="361">
        <v>400</v>
      </c>
      <c r="D135" s="362"/>
      <c r="E135" s="363"/>
      <c r="F135" s="363" t="s">
        <v>70</v>
      </c>
    </row>
    <row r="136" spans="1:6" ht="15" x14ac:dyDescent="0.25">
      <c r="A136" s="359">
        <v>161801</v>
      </c>
      <c r="B136" s="360" t="s">
        <v>5</v>
      </c>
      <c r="C136" s="361">
        <v>360</v>
      </c>
      <c r="D136" s="362"/>
      <c r="E136" s="363"/>
      <c r="F136" s="363" t="s">
        <v>71</v>
      </c>
    </row>
    <row r="137" spans="1:6" ht="15" x14ac:dyDescent="0.25">
      <c r="A137" s="359">
        <v>161802</v>
      </c>
      <c r="B137" s="360" t="s">
        <v>376</v>
      </c>
      <c r="C137" s="361">
        <v>950</v>
      </c>
      <c r="D137" s="362"/>
      <c r="E137" s="363"/>
      <c r="F137" s="363" t="s">
        <v>71</v>
      </c>
    </row>
    <row r="138" spans="1:6" ht="15" x14ac:dyDescent="0.25">
      <c r="A138" s="359">
        <v>161807</v>
      </c>
      <c r="B138" s="360" t="s">
        <v>377</v>
      </c>
      <c r="C138" s="361">
        <v>15000</v>
      </c>
      <c r="D138" s="362"/>
      <c r="E138" s="363"/>
      <c r="F138" s="363" t="s">
        <v>70</v>
      </c>
    </row>
    <row r="139" spans="1:6" ht="15" x14ac:dyDescent="0.25">
      <c r="A139" s="359">
        <v>165802</v>
      </c>
      <c r="B139" s="360" t="s">
        <v>95</v>
      </c>
      <c r="C139" s="361">
        <v>1170</v>
      </c>
      <c r="D139" s="362"/>
      <c r="E139" s="363"/>
      <c r="F139" s="363" t="s">
        <v>70</v>
      </c>
    </row>
    <row r="140" spans="1:6" ht="15" x14ac:dyDescent="0.25">
      <c r="A140" s="359">
        <v>170801</v>
      </c>
      <c r="B140" s="360" t="s">
        <v>75</v>
      </c>
      <c r="C140" s="361">
        <v>1000</v>
      </c>
      <c r="D140" s="362"/>
      <c r="E140" s="363"/>
      <c r="F140" s="363" t="s">
        <v>70</v>
      </c>
    </row>
    <row r="141" spans="1:6" ht="15" x14ac:dyDescent="0.25">
      <c r="A141" s="359">
        <v>174801</v>
      </c>
      <c r="B141" s="360" t="s">
        <v>378</v>
      </c>
      <c r="C141" s="361">
        <v>320</v>
      </c>
      <c r="D141" s="362"/>
      <c r="E141" s="363"/>
      <c r="F141" s="363" t="s">
        <v>71</v>
      </c>
    </row>
    <row r="142" spans="1:6" ht="15" x14ac:dyDescent="0.25">
      <c r="A142" s="359">
        <v>178801</v>
      </c>
      <c r="B142" s="360" t="s">
        <v>394</v>
      </c>
      <c r="C142" s="361">
        <v>500</v>
      </c>
      <c r="D142" s="362"/>
      <c r="E142" s="363"/>
      <c r="F142" s="363" t="s">
        <v>70</v>
      </c>
    </row>
    <row r="143" spans="1:6" ht="15" x14ac:dyDescent="0.25">
      <c r="A143" s="359">
        <v>178807</v>
      </c>
      <c r="B143" s="360" t="s">
        <v>73</v>
      </c>
      <c r="C143" s="361">
        <v>300</v>
      </c>
      <c r="D143" s="362"/>
      <c r="E143" s="363"/>
      <c r="F143" s="363" t="s">
        <v>71</v>
      </c>
    </row>
    <row r="144" spans="1:6" ht="15" x14ac:dyDescent="0.25">
      <c r="A144" s="359">
        <v>178808</v>
      </c>
      <c r="B144" s="360" t="s">
        <v>107</v>
      </c>
      <c r="C144" s="361">
        <v>600</v>
      </c>
      <c r="D144" s="362"/>
      <c r="E144" s="363"/>
      <c r="F144" s="363" t="s">
        <v>71</v>
      </c>
    </row>
    <row r="145" spans="1:6" ht="15" x14ac:dyDescent="0.25">
      <c r="A145" s="359">
        <v>183801</v>
      </c>
      <c r="B145" s="360" t="s">
        <v>76</v>
      </c>
      <c r="C145" s="361">
        <v>600</v>
      </c>
      <c r="D145" s="362"/>
      <c r="E145" s="363"/>
      <c r="F145" s="363" t="s">
        <v>70</v>
      </c>
    </row>
    <row r="146" spans="1:6" ht="15" x14ac:dyDescent="0.25">
      <c r="A146" s="359">
        <v>184801</v>
      </c>
      <c r="B146" s="360" t="s">
        <v>6</v>
      </c>
      <c r="C146" s="361">
        <v>350</v>
      </c>
      <c r="D146" s="362"/>
      <c r="E146" s="363"/>
      <c r="F146" s="363" t="s">
        <v>70</v>
      </c>
    </row>
    <row r="147" spans="1:6" ht="15" x14ac:dyDescent="0.25">
      <c r="A147" s="359">
        <v>193801</v>
      </c>
      <c r="B147" s="360" t="s">
        <v>77</v>
      </c>
      <c r="C147" s="361">
        <v>250</v>
      </c>
      <c r="D147" s="362"/>
      <c r="E147" s="363"/>
      <c r="F147" s="363" t="s">
        <v>70</v>
      </c>
    </row>
    <row r="148" spans="1:6" ht="15" x14ac:dyDescent="0.25">
      <c r="A148" s="359">
        <v>212801</v>
      </c>
      <c r="B148" s="360" t="s">
        <v>78</v>
      </c>
      <c r="C148" s="361">
        <v>2500</v>
      </c>
      <c r="D148" s="362"/>
      <c r="E148" s="363"/>
      <c r="F148" s="363" t="s">
        <v>70</v>
      </c>
    </row>
    <row r="149" spans="1:6" ht="15" x14ac:dyDescent="0.25">
      <c r="A149" s="359">
        <v>212804</v>
      </c>
      <c r="B149" s="360" t="s">
        <v>127</v>
      </c>
      <c r="C149" s="361">
        <v>2400</v>
      </c>
      <c r="D149" s="362"/>
      <c r="E149" s="363"/>
      <c r="F149" s="363" t="s">
        <v>71</v>
      </c>
    </row>
    <row r="150" spans="1:6" ht="15" x14ac:dyDescent="0.25">
      <c r="A150" s="359">
        <v>213801</v>
      </c>
      <c r="B150" s="360" t="s">
        <v>79</v>
      </c>
      <c r="C150" s="361">
        <v>350</v>
      </c>
      <c r="D150" s="362"/>
      <c r="E150" s="363"/>
      <c r="F150" s="363" t="s">
        <v>70</v>
      </c>
    </row>
    <row r="151" spans="1:6" ht="15" x14ac:dyDescent="0.25">
      <c r="A151" s="359">
        <v>220801</v>
      </c>
      <c r="B151" s="360" t="s">
        <v>80</v>
      </c>
      <c r="C151" s="361">
        <v>600</v>
      </c>
      <c r="D151" s="362"/>
      <c r="E151" s="363"/>
      <c r="F151" s="363" t="s">
        <v>70</v>
      </c>
    </row>
    <row r="152" spans="1:6" ht="15" x14ac:dyDescent="0.25">
      <c r="A152" s="359">
        <v>220802</v>
      </c>
      <c r="B152" s="360" t="s">
        <v>81</v>
      </c>
      <c r="C152" s="361">
        <v>2500</v>
      </c>
      <c r="D152" s="362"/>
      <c r="E152" s="363"/>
      <c r="F152" s="363" t="s">
        <v>70</v>
      </c>
    </row>
    <row r="153" spans="1:6" ht="15" x14ac:dyDescent="0.25">
      <c r="A153" s="359">
        <v>220809</v>
      </c>
      <c r="B153" s="360" t="s">
        <v>82</v>
      </c>
      <c r="C153" s="361">
        <v>1000</v>
      </c>
      <c r="D153" s="362"/>
      <c r="E153" s="363"/>
      <c r="F153" s="363" t="s">
        <v>70</v>
      </c>
    </row>
    <row r="154" spans="1:6" ht="15" x14ac:dyDescent="0.25">
      <c r="A154" s="359">
        <v>220810</v>
      </c>
      <c r="B154" s="360" t="s">
        <v>0</v>
      </c>
      <c r="C154" s="361">
        <v>1450</v>
      </c>
      <c r="D154" s="362"/>
      <c r="E154" s="363"/>
      <c r="F154" s="363" t="s">
        <v>71</v>
      </c>
    </row>
    <row r="155" spans="1:6" ht="15" x14ac:dyDescent="0.25">
      <c r="A155" s="359">
        <v>220811</v>
      </c>
      <c r="B155" s="360" t="s">
        <v>67</v>
      </c>
      <c r="C155" s="361">
        <v>800</v>
      </c>
      <c r="D155" s="362"/>
      <c r="E155" s="363"/>
      <c r="F155" s="363" t="s">
        <v>70</v>
      </c>
    </row>
    <row r="156" spans="1:6" ht="15" x14ac:dyDescent="0.25">
      <c r="A156" s="359">
        <v>220814</v>
      </c>
      <c r="B156" s="360" t="s">
        <v>379</v>
      </c>
      <c r="C156" s="361">
        <v>1250</v>
      </c>
      <c r="D156" s="362">
        <v>1250</v>
      </c>
      <c r="E156" s="363"/>
      <c r="F156" s="363" t="s">
        <v>70</v>
      </c>
    </row>
    <row r="157" spans="1:6" ht="15" x14ac:dyDescent="0.25">
      <c r="A157" s="359">
        <v>220815</v>
      </c>
      <c r="B157" s="360" t="s">
        <v>380</v>
      </c>
      <c r="C157" s="361">
        <v>1200</v>
      </c>
      <c r="D157" s="362"/>
      <c r="E157" s="363"/>
      <c r="F157" s="363" t="s">
        <v>71</v>
      </c>
    </row>
    <row r="158" spans="1:6" ht="15" x14ac:dyDescent="0.25">
      <c r="A158" s="359">
        <v>220817</v>
      </c>
      <c r="B158" s="360" t="s">
        <v>381</v>
      </c>
      <c r="C158" s="361">
        <v>3500</v>
      </c>
      <c r="D158" s="362"/>
      <c r="E158" s="363"/>
      <c r="F158" s="363" t="s">
        <v>71</v>
      </c>
    </row>
    <row r="159" spans="1:6" ht="15" x14ac:dyDescent="0.25">
      <c r="A159" s="359">
        <v>220819</v>
      </c>
      <c r="B159" s="360" t="s">
        <v>392</v>
      </c>
      <c r="C159" s="361">
        <v>2868</v>
      </c>
      <c r="D159" s="362"/>
      <c r="E159" s="363"/>
      <c r="F159" s="363" t="s">
        <v>71</v>
      </c>
    </row>
    <row r="160" spans="1:6" ht="15" x14ac:dyDescent="0.25">
      <c r="A160" s="359">
        <v>221801</v>
      </c>
      <c r="B160" s="360" t="s">
        <v>382</v>
      </c>
      <c r="C160" s="361">
        <v>25000</v>
      </c>
      <c r="D160" s="362"/>
      <c r="E160" s="363"/>
      <c r="F160" s="363" t="s">
        <v>70</v>
      </c>
    </row>
    <row r="161" spans="1:6" ht="15" x14ac:dyDescent="0.25">
      <c r="A161" s="359">
        <v>226801</v>
      </c>
      <c r="B161" s="360" t="s">
        <v>108</v>
      </c>
      <c r="C161" s="361">
        <v>4000</v>
      </c>
      <c r="D161" s="362"/>
      <c r="E161" s="363"/>
      <c r="F161" s="363" t="s">
        <v>71</v>
      </c>
    </row>
    <row r="162" spans="1:6" ht="15" x14ac:dyDescent="0.25">
      <c r="A162" s="359">
        <v>227803</v>
      </c>
      <c r="B162" s="360" t="s">
        <v>383</v>
      </c>
      <c r="C162" s="361">
        <v>3500</v>
      </c>
      <c r="D162" s="362"/>
      <c r="E162" s="363"/>
      <c r="F162" s="363" t="s">
        <v>70</v>
      </c>
    </row>
    <row r="163" spans="1:6" ht="15" x14ac:dyDescent="0.25">
      <c r="A163" s="359">
        <v>227804</v>
      </c>
      <c r="B163" s="360" t="s">
        <v>83</v>
      </c>
      <c r="C163" s="361">
        <v>2500</v>
      </c>
      <c r="D163" s="362"/>
      <c r="E163" s="363"/>
      <c r="F163" s="363" t="s">
        <v>71</v>
      </c>
    </row>
    <row r="164" spans="1:6" ht="15" x14ac:dyDescent="0.25">
      <c r="A164" s="359">
        <v>227805</v>
      </c>
      <c r="B164" s="360" t="s">
        <v>84</v>
      </c>
      <c r="C164" s="361">
        <v>400</v>
      </c>
      <c r="D164" s="362"/>
      <c r="E164" s="363"/>
      <c r="F164" s="363" t="s">
        <v>70</v>
      </c>
    </row>
    <row r="165" spans="1:6" ht="15" x14ac:dyDescent="0.25">
      <c r="A165" s="359">
        <v>227806</v>
      </c>
      <c r="B165" s="360" t="s">
        <v>90</v>
      </c>
      <c r="C165" s="361">
        <v>2000</v>
      </c>
      <c r="D165" s="362"/>
      <c r="E165" s="363"/>
      <c r="F165" s="363" t="s">
        <v>71</v>
      </c>
    </row>
    <row r="166" spans="1:6" ht="15" x14ac:dyDescent="0.25">
      <c r="A166" s="359">
        <v>227814</v>
      </c>
      <c r="B166" s="360" t="s">
        <v>99</v>
      </c>
      <c r="C166" s="361">
        <v>520</v>
      </c>
      <c r="D166" s="362"/>
      <c r="E166" s="363"/>
      <c r="F166" s="363" t="s">
        <v>70</v>
      </c>
    </row>
    <row r="167" spans="1:6" ht="15" x14ac:dyDescent="0.25">
      <c r="A167" s="359">
        <v>227816</v>
      </c>
      <c r="B167" s="360" t="s">
        <v>396</v>
      </c>
      <c r="C167" s="361">
        <v>5000</v>
      </c>
      <c r="D167" s="362"/>
      <c r="E167" s="363"/>
      <c r="F167" s="363" t="s">
        <v>70</v>
      </c>
    </row>
    <row r="168" spans="1:6" ht="15" x14ac:dyDescent="0.25">
      <c r="A168" s="359">
        <v>227817</v>
      </c>
      <c r="B168" s="360" t="s">
        <v>85</v>
      </c>
      <c r="C168" s="361">
        <v>1000</v>
      </c>
      <c r="D168" s="362"/>
      <c r="E168" s="363"/>
      <c r="F168" s="363" t="s">
        <v>70</v>
      </c>
    </row>
    <row r="169" spans="1:6" ht="15" x14ac:dyDescent="0.25">
      <c r="A169" s="359">
        <v>227819</v>
      </c>
      <c r="B169" s="360" t="s">
        <v>92</v>
      </c>
      <c r="C169" s="361">
        <v>340</v>
      </c>
      <c r="D169" s="362"/>
      <c r="E169" s="363"/>
      <c r="F169" s="363" t="s">
        <v>71</v>
      </c>
    </row>
    <row r="170" spans="1:6" ht="15" x14ac:dyDescent="0.25">
      <c r="A170" s="359">
        <v>227820</v>
      </c>
      <c r="B170" s="360" t="s">
        <v>397</v>
      </c>
      <c r="C170" s="361">
        <v>8500</v>
      </c>
      <c r="D170" s="362"/>
      <c r="E170" s="363">
        <v>42500</v>
      </c>
      <c r="F170" s="363" t="s">
        <v>71</v>
      </c>
    </row>
    <row r="171" spans="1:6" ht="15" x14ac:dyDescent="0.25">
      <c r="A171" s="359">
        <v>227821</v>
      </c>
      <c r="B171" s="360" t="s">
        <v>72</v>
      </c>
      <c r="C171" s="361">
        <v>650</v>
      </c>
      <c r="D171" s="362"/>
      <c r="E171" s="363"/>
      <c r="F171" s="363" t="s">
        <v>70</v>
      </c>
    </row>
    <row r="172" spans="1:6" ht="15" x14ac:dyDescent="0.25">
      <c r="A172" s="359">
        <v>227824</v>
      </c>
      <c r="B172" s="360" t="s">
        <v>553</v>
      </c>
      <c r="C172" s="361">
        <v>2800</v>
      </c>
      <c r="D172" s="362"/>
      <c r="E172" s="363"/>
      <c r="F172" s="363" t="s">
        <v>71</v>
      </c>
    </row>
    <row r="173" spans="1:6" ht="15" x14ac:dyDescent="0.25">
      <c r="A173" s="359">
        <v>227825</v>
      </c>
      <c r="B173" s="360" t="s">
        <v>128</v>
      </c>
      <c r="C173" s="361">
        <v>2100</v>
      </c>
      <c r="D173" s="362">
        <v>2100</v>
      </c>
      <c r="E173" s="363"/>
      <c r="F173" s="363" t="s">
        <v>71</v>
      </c>
    </row>
    <row r="174" spans="1:6" ht="15" x14ac:dyDescent="0.25">
      <c r="A174" s="359">
        <v>227826</v>
      </c>
      <c r="B174" s="360" t="s">
        <v>384</v>
      </c>
      <c r="C174" s="361">
        <v>1100</v>
      </c>
      <c r="D174" s="362"/>
      <c r="E174" s="363"/>
      <c r="F174" s="363" t="s">
        <v>71</v>
      </c>
    </row>
    <row r="175" spans="1:6" ht="15" x14ac:dyDescent="0.25">
      <c r="A175" s="359">
        <v>227827</v>
      </c>
      <c r="B175" s="360" t="s">
        <v>385</v>
      </c>
      <c r="C175" s="361">
        <v>999999</v>
      </c>
      <c r="D175" s="362"/>
      <c r="E175" s="363"/>
      <c r="F175" s="363" t="s">
        <v>71</v>
      </c>
    </row>
    <row r="176" spans="1:6" ht="15" x14ac:dyDescent="0.25">
      <c r="A176" s="359">
        <v>227828</v>
      </c>
      <c r="B176" s="360" t="s">
        <v>393</v>
      </c>
      <c r="C176" s="361">
        <v>600</v>
      </c>
      <c r="D176" s="362"/>
      <c r="E176" s="363"/>
      <c r="F176" s="363" t="s">
        <v>71</v>
      </c>
    </row>
    <row r="177" spans="1:6" ht="15" x14ac:dyDescent="0.25">
      <c r="A177" s="359">
        <v>227829</v>
      </c>
      <c r="B177" s="360" t="s">
        <v>555</v>
      </c>
      <c r="C177" s="361">
        <v>2600</v>
      </c>
      <c r="D177" s="362"/>
      <c r="E177" s="363"/>
      <c r="F177" s="363" t="s">
        <v>71</v>
      </c>
    </row>
    <row r="178" spans="1:6" ht="15" x14ac:dyDescent="0.25">
      <c r="A178" s="359">
        <v>234801</v>
      </c>
      <c r="B178" s="360" t="s">
        <v>86</v>
      </c>
      <c r="C178" s="361">
        <v>250</v>
      </c>
      <c r="D178" s="362"/>
      <c r="E178" s="363"/>
      <c r="F178" s="363" t="s">
        <v>70</v>
      </c>
    </row>
    <row r="179" spans="1:6" ht="15" x14ac:dyDescent="0.25">
      <c r="A179" s="359">
        <v>236801</v>
      </c>
      <c r="B179" s="360" t="s">
        <v>87</v>
      </c>
      <c r="C179" s="361">
        <v>400</v>
      </c>
      <c r="D179" s="362"/>
      <c r="E179" s="363"/>
      <c r="F179" s="363" t="s">
        <v>70</v>
      </c>
    </row>
    <row r="180" spans="1:6" ht="15" x14ac:dyDescent="0.25">
      <c r="A180" s="359">
        <v>236802</v>
      </c>
      <c r="B180" s="360" t="s">
        <v>413</v>
      </c>
      <c r="C180" s="361">
        <v>2820</v>
      </c>
      <c r="D180" s="362"/>
      <c r="E180" s="363"/>
      <c r="F180" s="363" t="s">
        <v>71</v>
      </c>
    </row>
    <row r="181" spans="1:6" ht="15" x14ac:dyDescent="0.25">
      <c r="A181" s="359">
        <v>240801</v>
      </c>
      <c r="B181" s="360" t="s">
        <v>386</v>
      </c>
      <c r="C181" s="361">
        <v>700</v>
      </c>
      <c r="D181" s="362"/>
      <c r="E181" s="363"/>
      <c r="F181" s="363" t="s">
        <v>70</v>
      </c>
    </row>
    <row r="182" spans="1:6" ht="15" x14ac:dyDescent="0.25">
      <c r="A182" s="359">
        <v>246801</v>
      </c>
      <c r="B182" s="360" t="s">
        <v>398</v>
      </c>
      <c r="C182" s="361">
        <v>1800</v>
      </c>
      <c r="D182" s="362"/>
      <c r="E182" s="363"/>
      <c r="F182" s="363" t="s">
        <v>71</v>
      </c>
    </row>
    <row r="183" spans="1:6" ht="15" x14ac:dyDescent="0.25">
      <c r="A183" s="364">
        <v>246802</v>
      </c>
      <c r="B183" s="365" t="s">
        <v>469</v>
      </c>
      <c r="C183" s="366">
        <v>540</v>
      </c>
      <c r="D183" s="367"/>
      <c r="E183" s="368"/>
      <c r="F183" s="368" t="s">
        <v>71</v>
      </c>
    </row>
  </sheetData>
  <sheetProtection algorithmName="SHA-512" hashValue="z3kVd88PP7H8VX7qXzQa7kgEdgl7e8DmAuPbG/lOI8s4R3UwAddj3unjOjHLe3d9kPeDGTuLncBHVOks1Ie/Lw==" saltValue="zA5u/TChcpF+fgO8LIYZIg==" spinCount="100000" sheet="1" objects="1" scenarios="1"/>
  <sortState xmlns:xlrd2="http://schemas.microsoft.com/office/spreadsheetml/2017/richdata2" ref="A2:F191">
    <sortCondition ref="A2:A191"/>
  </sortState>
  <phoneticPr fontId="6" type="noConversion"/>
  <printOptions horizontalCentered="1"/>
  <pageMargins left="0.75" right="0.75" top="1" bottom="1" header="0.5" footer="0.5"/>
  <pageSetup scale="70" orientation="portrait"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AP45"/>
  <sheetViews>
    <sheetView workbookViewId="0">
      <selection sqref="A1:XFD1048576"/>
    </sheetView>
  </sheetViews>
  <sheetFormatPr defaultColWidth="14.85546875" defaultRowHeight="14.25" x14ac:dyDescent="0.2"/>
  <cols>
    <col min="1" max="1" width="46.5703125" style="323" customWidth="1"/>
    <col min="2" max="3" width="15.7109375" style="323" customWidth="1"/>
    <col min="4" max="4" width="17.42578125" style="323" customWidth="1"/>
    <col min="5" max="8" width="15.7109375" style="323" customWidth="1"/>
    <col min="9" max="9" width="31.42578125" style="323" customWidth="1"/>
    <col min="10" max="10" width="1.85546875" style="371" customWidth="1"/>
    <col min="11" max="11" width="14.85546875" style="371" customWidth="1"/>
    <col min="12" max="14" width="14.85546875" style="371"/>
    <col min="15" max="15" width="14.85546875" style="371" customWidth="1"/>
    <col min="16" max="16" width="3.140625" style="371" customWidth="1"/>
    <col min="17" max="18" width="14.85546875" style="371"/>
    <col min="19" max="19" width="1.28515625" style="371" customWidth="1"/>
    <col min="20" max="21" width="14.85546875" style="371"/>
    <col min="22" max="22" width="14.85546875" style="371" customWidth="1"/>
    <col min="23" max="41" width="14.85546875" style="323"/>
    <col min="42" max="42" width="0" style="323" hidden="1" customWidth="1"/>
    <col min="43" max="16384" width="14.85546875" style="323"/>
  </cols>
  <sheetData>
    <row r="1" spans="1:42" ht="60" customHeight="1" thickBot="1" x14ac:dyDescent="0.25">
      <c r="A1" s="732" t="s">
        <v>833</v>
      </c>
      <c r="B1" s="733"/>
      <c r="C1" s="733"/>
      <c r="D1" s="733"/>
      <c r="E1" s="733"/>
      <c r="F1" s="733"/>
      <c r="G1" s="733"/>
      <c r="H1" s="733"/>
      <c r="I1" s="734"/>
      <c r="J1" s="370"/>
      <c r="K1" s="733" t="s">
        <v>793</v>
      </c>
      <c r="L1" s="733"/>
      <c r="M1" s="733"/>
      <c r="N1" s="733"/>
      <c r="O1" s="733"/>
      <c r="P1" s="733"/>
      <c r="Q1" s="733"/>
      <c r="R1" s="733"/>
      <c r="S1" s="734"/>
    </row>
    <row r="2" spans="1:42" ht="32.25" customHeight="1" thickBot="1" x14ac:dyDescent="0.25">
      <c r="A2" s="372"/>
      <c r="B2" s="373" t="s">
        <v>415</v>
      </c>
      <c r="C2" s="374" t="s">
        <v>416</v>
      </c>
      <c r="D2" s="373" t="s">
        <v>417</v>
      </c>
      <c r="E2" s="373" t="s">
        <v>418</v>
      </c>
      <c r="F2" s="373" t="s">
        <v>419</v>
      </c>
      <c r="G2" s="373" t="s">
        <v>420</v>
      </c>
      <c r="H2" s="373" t="s">
        <v>421</v>
      </c>
      <c r="I2" s="375" t="s">
        <v>130</v>
      </c>
      <c r="J2" s="376"/>
      <c r="K2" s="735" t="s">
        <v>794</v>
      </c>
      <c r="L2" s="736"/>
      <c r="M2" s="736"/>
      <c r="N2" s="736"/>
      <c r="O2" s="736"/>
      <c r="P2" s="736"/>
      <c r="Q2" s="736"/>
      <c r="R2" s="736"/>
      <c r="S2" s="737"/>
      <c r="AP2" s="377" t="s">
        <v>459</v>
      </c>
    </row>
    <row r="3" spans="1:42" ht="30" customHeight="1" thickBot="1" x14ac:dyDescent="0.25">
      <c r="A3" s="378" t="s">
        <v>422</v>
      </c>
      <c r="B3" s="379"/>
      <c r="C3" s="380"/>
      <c r="D3" s="381"/>
      <c r="E3" s="381"/>
      <c r="F3" s="381"/>
      <c r="G3" s="381"/>
      <c r="H3" s="379"/>
      <c r="I3" s="382" t="s">
        <v>533</v>
      </c>
      <c r="J3" s="383"/>
      <c r="K3" s="738"/>
      <c r="L3" s="738"/>
      <c r="M3" s="738"/>
      <c r="N3" s="738"/>
      <c r="O3" s="738"/>
      <c r="P3" s="738"/>
      <c r="Q3" s="738"/>
      <c r="R3" s="738"/>
      <c r="S3" s="739"/>
    </row>
    <row r="4" spans="1:42" ht="15" thickBot="1" x14ac:dyDescent="0.25">
      <c r="A4" s="383" t="s">
        <v>485</v>
      </c>
      <c r="B4" s="384"/>
      <c r="C4" s="385"/>
      <c r="D4" s="386"/>
      <c r="E4" s="386"/>
      <c r="F4" s="386"/>
      <c r="G4" s="386"/>
      <c r="H4" s="384"/>
      <c r="I4" s="387"/>
      <c r="J4" s="383"/>
      <c r="K4" s="738"/>
      <c r="L4" s="738"/>
      <c r="M4" s="738"/>
      <c r="N4" s="738"/>
      <c r="O4" s="738"/>
      <c r="P4" s="738"/>
      <c r="Q4" s="738"/>
      <c r="R4" s="738"/>
      <c r="S4" s="739"/>
    </row>
    <row r="5" spans="1:42" ht="15" thickBot="1" x14ac:dyDescent="0.25">
      <c r="A5" s="378" t="s">
        <v>486</v>
      </c>
      <c r="B5" s="379"/>
      <c r="C5" s="380"/>
      <c r="D5" s="381"/>
      <c r="E5" s="381"/>
      <c r="F5" s="381"/>
      <c r="G5" s="381"/>
      <c r="H5" s="379"/>
      <c r="I5" s="388"/>
      <c r="J5" s="383"/>
      <c r="K5" s="738"/>
      <c r="L5" s="738"/>
      <c r="M5" s="738"/>
      <c r="N5" s="738"/>
      <c r="O5" s="738"/>
      <c r="P5" s="738"/>
      <c r="Q5" s="738"/>
      <c r="R5" s="738"/>
      <c r="S5" s="739"/>
    </row>
    <row r="6" spans="1:42" ht="15" thickBot="1" x14ac:dyDescent="0.25">
      <c r="A6" s="383" t="s">
        <v>487</v>
      </c>
      <c r="B6" s="389"/>
      <c r="C6" s="386"/>
      <c r="D6" s="386"/>
      <c r="E6" s="386"/>
      <c r="F6" s="386"/>
      <c r="G6" s="386"/>
      <c r="H6" s="384"/>
      <c r="I6" s="387"/>
      <c r="J6" s="383"/>
      <c r="K6" s="738"/>
      <c r="L6" s="738"/>
      <c r="M6" s="738"/>
      <c r="N6" s="738"/>
      <c r="O6" s="738"/>
      <c r="P6" s="738"/>
      <c r="Q6" s="738"/>
      <c r="R6" s="738"/>
      <c r="S6" s="739"/>
    </row>
    <row r="7" spans="1:42" ht="20.100000000000001" customHeight="1" thickBot="1" x14ac:dyDescent="0.25">
      <c r="A7" s="390" t="s">
        <v>423</v>
      </c>
      <c r="B7" s="391"/>
      <c r="C7" s="392"/>
      <c r="D7" s="393"/>
      <c r="E7" s="393"/>
      <c r="F7" s="393"/>
      <c r="G7" s="393"/>
      <c r="H7" s="391"/>
      <c r="I7" s="394"/>
      <c r="J7" s="395"/>
      <c r="K7" s="738"/>
      <c r="L7" s="738"/>
      <c r="M7" s="738"/>
      <c r="N7" s="738"/>
      <c r="O7" s="738"/>
      <c r="P7" s="738"/>
      <c r="Q7" s="738"/>
      <c r="R7" s="738"/>
      <c r="S7" s="739"/>
    </row>
    <row r="8" spans="1:42" ht="14.45" customHeight="1" thickBot="1" x14ac:dyDescent="0.25">
      <c r="A8" s="378" t="s">
        <v>424</v>
      </c>
      <c r="B8" s="379">
        <v>0</v>
      </c>
      <c r="C8" s="380">
        <v>0</v>
      </c>
      <c r="D8" s="381">
        <f t="shared" ref="D8:H9" si="0">C8</f>
        <v>0</v>
      </c>
      <c r="E8" s="381">
        <f t="shared" si="0"/>
        <v>0</v>
      </c>
      <c r="F8" s="381">
        <f t="shared" si="0"/>
        <v>0</v>
      </c>
      <c r="G8" s="381">
        <f t="shared" si="0"/>
        <v>0</v>
      </c>
      <c r="H8" s="379">
        <f t="shared" si="0"/>
        <v>0</v>
      </c>
      <c r="I8" s="388">
        <f>AVERAGE(C8:H8)</f>
        <v>0</v>
      </c>
      <c r="J8" s="396"/>
      <c r="K8" s="738"/>
      <c r="L8" s="738"/>
      <c r="M8" s="738"/>
      <c r="N8" s="738"/>
      <c r="O8" s="738"/>
      <c r="P8" s="738"/>
      <c r="Q8" s="738"/>
      <c r="R8" s="738"/>
      <c r="S8" s="739"/>
    </row>
    <row r="9" spans="1:42" ht="14.45" customHeight="1" thickBot="1" x14ac:dyDescent="0.25">
      <c r="A9" s="378" t="s">
        <v>425</v>
      </c>
      <c r="B9" s="379">
        <v>0</v>
      </c>
      <c r="C9" s="380">
        <v>0</v>
      </c>
      <c r="D9" s="380">
        <f t="shared" si="0"/>
        <v>0</v>
      </c>
      <c r="E9" s="380">
        <f t="shared" si="0"/>
        <v>0</v>
      </c>
      <c r="F9" s="380">
        <f t="shared" si="0"/>
        <v>0</v>
      </c>
      <c r="G9" s="380">
        <f t="shared" si="0"/>
        <v>0</v>
      </c>
      <c r="H9" s="380">
        <f t="shared" si="0"/>
        <v>0</v>
      </c>
      <c r="I9" s="388">
        <f t="shared" ref="I9:I20" si="1">AVERAGE(C9:H9)</f>
        <v>0</v>
      </c>
      <c r="J9" s="396"/>
      <c r="K9" s="738"/>
      <c r="L9" s="738"/>
      <c r="M9" s="738"/>
      <c r="N9" s="738"/>
      <c r="O9" s="738"/>
      <c r="P9" s="738"/>
      <c r="Q9" s="738"/>
      <c r="R9" s="738"/>
      <c r="S9" s="739"/>
    </row>
    <row r="10" spans="1:42" ht="14.45" customHeight="1" thickBot="1" x14ac:dyDescent="0.25">
      <c r="A10" s="397" t="s">
        <v>426</v>
      </c>
      <c r="B10" s="398">
        <f>B8-B9</f>
        <v>0</v>
      </c>
      <c r="C10" s="399">
        <f>C8-C9</f>
        <v>0</v>
      </c>
      <c r="D10" s="399">
        <f t="shared" ref="D10:H10" si="2">D8-D9</f>
        <v>0</v>
      </c>
      <c r="E10" s="399">
        <f t="shared" si="2"/>
        <v>0</v>
      </c>
      <c r="F10" s="399">
        <f t="shared" si="2"/>
        <v>0</v>
      </c>
      <c r="G10" s="399">
        <f t="shared" si="2"/>
        <v>0</v>
      </c>
      <c r="H10" s="399">
        <f t="shared" si="2"/>
        <v>0</v>
      </c>
      <c r="I10" s="388">
        <f t="shared" si="1"/>
        <v>0</v>
      </c>
      <c r="J10" s="396"/>
      <c r="K10" s="738"/>
      <c r="L10" s="738"/>
      <c r="M10" s="738"/>
      <c r="N10" s="738"/>
      <c r="O10" s="738"/>
      <c r="P10" s="738"/>
      <c r="Q10" s="738"/>
      <c r="R10" s="738"/>
      <c r="S10" s="739"/>
    </row>
    <row r="11" spans="1:42" ht="14.45" customHeight="1" thickBot="1" x14ac:dyDescent="0.25">
      <c r="A11" s="378" t="s">
        <v>427</v>
      </c>
      <c r="B11" s="379">
        <v>0</v>
      </c>
      <c r="C11" s="380">
        <v>0</v>
      </c>
      <c r="D11" s="380">
        <f>C11</f>
        <v>0</v>
      </c>
      <c r="E11" s="380">
        <f>D11</f>
        <v>0</v>
      </c>
      <c r="F11" s="380">
        <f>E11</f>
        <v>0</v>
      </c>
      <c r="G11" s="380">
        <f>F11</f>
        <v>0</v>
      </c>
      <c r="H11" s="380">
        <f>G11</f>
        <v>0</v>
      </c>
      <c r="I11" s="388">
        <f t="shared" si="1"/>
        <v>0</v>
      </c>
      <c r="J11" s="396"/>
      <c r="K11" s="738"/>
      <c r="L11" s="738"/>
      <c r="M11" s="738"/>
      <c r="N11" s="738"/>
      <c r="O11" s="738"/>
      <c r="P11" s="738"/>
      <c r="Q11" s="738"/>
      <c r="R11" s="738"/>
      <c r="S11" s="739"/>
    </row>
    <row r="12" spans="1:42" ht="14.45" customHeight="1" thickBot="1" x14ac:dyDescent="0.25">
      <c r="A12" s="400" t="s">
        <v>428</v>
      </c>
      <c r="B12" s="398">
        <f>B10-B11</f>
        <v>0</v>
      </c>
      <c r="C12" s="399">
        <f>C10-C11</f>
        <v>0</v>
      </c>
      <c r="D12" s="399">
        <f t="shared" ref="D12:H12" si="3">D10-D11</f>
        <v>0</v>
      </c>
      <c r="E12" s="399">
        <f t="shared" si="3"/>
        <v>0</v>
      </c>
      <c r="F12" s="399">
        <f t="shared" si="3"/>
        <v>0</v>
      </c>
      <c r="G12" s="399">
        <f t="shared" si="3"/>
        <v>0</v>
      </c>
      <c r="H12" s="399">
        <f t="shared" si="3"/>
        <v>0</v>
      </c>
      <c r="I12" s="388">
        <f t="shared" si="1"/>
        <v>0</v>
      </c>
      <c r="J12" s="396"/>
      <c r="K12" s="738"/>
      <c r="L12" s="738"/>
      <c r="M12" s="738"/>
      <c r="N12" s="738"/>
      <c r="O12" s="738"/>
      <c r="P12" s="738"/>
      <c r="Q12" s="738"/>
      <c r="R12" s="738"/>
      <c r="S12" s="739"/>
    </row>
    <row r="13" spans="1:42" ht="14.45" customHeight="1" thickBot="1" x14ac:dyDescent="0.25">
      <c r="A13" s="390" t="s">
        <v>429</v>
      </c>
      <c r="B13" s="401">
        <v>0</v>
      </c>
      <c r="C13" s="402">
        <v>0</v>
      </c>
      <c r="D13" s="402">
        <f>C13</f>
        <v>0</v>
      </c>
      <c r="E13" s="402">
        <f>D13</f>
        <v>0</v>
      </c>
      <c r="F13" s="402">
        <f>E13</f>
        <v>0</v>
      </c>
      <c r="G13" s="402">
        <f>F13</f>
        <v>0</v>
      </c>
      <c r="H13" s="402">
        <f>G13</f>
        <v>0</v>
      </c>
      <c r="I13" s="403">
        <f>AVERAGE(C13:H13)</f>
        <v>0</v>
      </c>
      <c r="J13" s="404"/>
      <c r="K13" s="738"/>
      <c r="L13" s="738"/>
      <c r="M13" s="738"/>
      <c r="N13" s="738"/>
      <c r="O13" s="738"/>
      <c r="P13" s="738"/>
      <c r="Q13" s="738"/>
      <c r="R13" s="738"/>
      <c r="S13" s="739"/>
    </row>
    <row r="14" spans="1:42" ht="14.45" customHeight="1" thickBot="1" x14ac:dyDescent="0.25">
      <c r="A14" s="378" t="s">
        <v>430</v>
      </c>
      <c r="B14" s="405">
        <v>0</v>
      </c>
      <c r="C14" s="380">
        <v>0</v>
      </c>
      <c r="D14" s="381">
        <f t="shared" ref="D14:H21" si="4">C14</f>
        <v>0</v>
      </c>
      <c r="E14" s="381">
        <f t="shared" si="4"/>
        <v>0</v>
      </c>
      <c r="F14" s="381">
        <f t="shared" si="4"/>
        <v>0</v>
      </c>
      <c r="G14" s="381">
        <f t="shared" si="4"/>
        <v>0</v>
      </c>
      <c r="H14" s="379">
        <f t="shared" si="4"/>
        <v>0</v>
      </c>
      <c r="I14" s="388">
        <f t="shared" si="1"/>
        <v>0</v>
      </c>
      <c r="J14" s="396"/>
      <c r="K14" s="738"/>
      <c r="L14" s="738"/>
      <c r="M14" s="738"/>
      <c r="N14" s="738"/>
      <c r="O14" s="738"/>
      <c r="P14" s="738"/>
      <c r="Q14" s="738"/>
      <c r="R14" s="738"/>
      <c r="S14" s="739"/>
    </row>
    <row r="15" spans="1:42" ht="14.45" customHeight="1" thickBot="1" x14ac:dyDescent="0.25">
      <c r="A15" s="390" t="s">
        <v>431</v>
      </c>
      <c r="B15" s="401">
        <v>0</v>
      </c>
      <c r="C15" s="402">
        <v>0</v>
      </c>
      <c r="D15" s="402">
        <f t="shared" si="4"/>
        <v>0</v>
      </c>
      <c r="E15" s="402">
        <f t="shared" si="4"/>
        <v>0</v>
      </c>
      <c r="F15" s="402">
        <f t="shared" si="4"/>
        <v>0</v>
      </c>
      <c r="G15" s="402">
        <f t="shared" si="4"/>
        <v>0</v>
      </c>
      <c r="H15" s="402">
        <f t="shared" si="4"/>
        <v>0</v>
      </c>
      <c r="I15" s="403">
        <f>AVERAGE(C15:H15)</f>
        <v>0</v>
      </c>
      <c r="J15" s="404"/>
      <c r="K15" s="738"/>
      <c r="L15" s="738"/>
      <c r="M15" s="738"/>
      <c r="N15" s="738"/>
      <c r="O15" s="738"/>
      <c r="P15" s="738"/>
      <c r="Q15" s="738"/>
      <c r="R15" s="738"/>
      <c r="S15" s="739"/>
    </row>
    <row r="16" spans="1:42" ht="14.45" customHeight="1" thickBot="1" x14ac:dyDescent="0.25">
      <c r="A16" s="378" t="s">
        <v>432</v>
      </c>
      <c r="B16" s="379">
        <v>0</v>
      </c>
      <c r="C16" s="380">
        <v>0</v>
      </c>
      <c r="D16" s="381">
        <f t="shared" ref="D16:H19" si="5">C16</f>
        <v>0</v>
      </c>
      <c r="E16" s="381">
        <f t="shared" si="5"/>
        <v>0</v>
      </c>
      <c r="F16" s="381">
        <f t="shared" si="5"/>
        <v>0</v>
      </c>
      <c r="G16" s="381">
        <f t="shared" si="5"/>
        <v>0</v>
      </c>
      <c r="H16" s="379">
        <f t="shared" si="5"/>
        <v>0</v>
      </c>
      <c r="I16" s="388">
        <f t="shared" si="1"/>
        <v>0</v>
      </c>
      <c r="J16" s="396"/>
      <c r="K16" s="738"/>
      <c r="L16" s="738"/>
      <c r="M16" s="738"/>
      <c r="N16" s="738"/>
      <c r="O16" s="738"/>
      <c r="P16" s="738"/>
      <c r="Q16" s="738"/>
      <c r="R16" s="738"/>
      <c r="S16" s="739"/>
    </row>
    <row r="17" spans="1:19" ht="14.45" customHeight="1" thickBot="1" x14ac:dyDescent="0.25">
      <c r="A17" s="390" t="s">
        <v>433</v>
      </c>
      <c r="B17" s="401">
        <v>0</v>
      </c>
      <c r="C17" s="402">
        <v>0</v>
      </c>
      <c r="D17" s="402">
        <f t="shared" si="5"/>
        <v>0</v>
      </c>
      <c r="E17" s="402">
        <f t="shared" si="5"/>
        <v>0</v>
      </c>
      <c r="F17" s="402">
        <f t="shared" si="5"/>
        <v>0</v>
      </c>
      <c r="G17" s="402">
        <f t="shared" si="5"/>
        <v>0</v>
      </c>
      <c r="H17" s="402">
        <f t="shared" si="5"/>
        <v>0</v>
      </c>
      <c r="I17" s="406">
        <f>AVERAGE(C17:H17)</f>
        <v>0</v>
      </c>
      <c r="J17" s="407"/>
      <c r="K17" s="738"/>
      <c r="L17" s="738"/>
      <c r="M17" s="738"/>
      <c r="N17" s="738"/>
      <c r="O17" s="738"/>
      <c r="P17" s="738"/>
      <c r="Q17" s="738"/>
      <c r="R17" s="738"/>
      <c r="S17" s="739"/>
    </row>
    <row r="18" spans="1:19" ht="14.45" customHeight="1" thickBot="1" x14ac:dyDescent="0.25">
      <c r="A18" s="378" t="s">
        <v>434</v>
      </c>
      <c r="B18" s="379">
        <v>0</v>
      </c>
      <c r="C18" s="380">
        <v>0</v>
      </c>
      <c r="D18" s="381">
        <f t="shared" si="5"/>
        <v>0</v>
      </c>
      <c r="E18" s="381">
        <f t="shared" si="5"/>
        <v>0</v>
      </c>
      <c r="F18" s="381">
        <f t="shared" si="5"/>
        <v>0</v>
      </c>
      <c r="G18" s="381">
        <f t="shared" si="5"/>
        <v>0</v>
      </c>
      <c r="H18" s="379">
        <f t="shared" si="5"/>
        <v>0</v>
      </c>
      <c r="I18" s="388">
        <f t="shared" si="1"/>
        <v>0</v>
      </c>
      <c r="J18" s="396"/>
      <c r="K18" s="738"/>
      <c r="L18" s="738"/>
      <c r="M18" s="738"/>
      <c r="N18" s="738"/>
      <c r="O18" s="738"/>
      <c r="P18" s="738"/>
      <c r="Q18" s="738"/>
      <c r="R18" s="738"/>
      <c r="S18" s="739"/>
    </row>
    <row r="19" spans="1:19" ht="14.45" customHeight="1" thickBot="1" x14ac:dyDescent="0.25">
      <c r="A19" s="390" t="s">
        <v>435</v>
      </c>
      <c r="B19" s="401">
        <v>0</v>
      </c>
      <c r="C19" s="402">
        <v>0</v>
      </c>
      <c r="D19" s="402">
        <f t="shared" si="5"/>
        <v>0</v>
      </c>
      <c r="E19" s="402">
        <f t="shared" si="5"/>
        <v>0</v>
      </c>
      <c r="F19" s="402">
        <f t="shared" si="5"/>
        <v>0</v>
      </c>
      <c r="G19" s="402">
        <f t="shared" si="5"/>
        <v>0</v>
      </c>
      <c r="H19" s="402">
        <f t="shared" si="5"/>
        <v>0</v>
      </c>
      <c r="I19" s="406">
        <f>AVERAGE(C19:H19)</f>
        <v>0</v>
      </c>
      <c r="J19" s="407"/>
      <c r="K19" s="738"/>
      <c r="L19" s="738"/>
      <c r="M19" s="738"/>
      <c r="N19" s="738"/>
      <c r="O19" s="738"/>
      <c r="P19" s="738"/>
      <c r="Q19" s="738"/>
      <c r="R19" s="738"/>
      <c r="S19" s="739"/>
    </row>
    <row r="20" spans="1:19" ht="14.45" customHeight="1" thickBot="1" x14ac:dyDescent="0.25">
      <c r="A20" s="378" t="s">
        <v>436</v>
      </c>
      <c r="B20" s="379">
        <v>0</v>
      </c>
      <c r="C20" s="380">
        <v>0</v>
      </c>
      <c r="D20" s="381">
        <f t="shared" si="4"/>
        <v>0</v>
      </c>
      <c r="E20" s="381">
        <f t="shared" si="4"/>
        <v>0</v>
      </c>
      <c r="F20" s="381">
        <f t="shared" si="4"/>
        <v>0</v>
      </c>
      <c r="G20" s="381">
        <f t="shared" si="4"/>
        <v>0</v>
      </c>
      <c r="H20" s="379">
        <f t="shared" si="4"/>
        <v>0</v>
      </c>
      <c r="I20" s="408">
        <f t="shared" si="1"/>
        <v>0</v>
      </c>
      <c r="J20" s="409"/>
      <c r="K20" s="738"/>
      <c r="L20" s="738"/>
      <c r="M20" s="738"/>
      <c r="N20" s="738"/>
      <c r="O20" s="738"/>
      <c r="P20" s="738"/>
      <c r="Q20" s="738"/>
      <c r="R20" s="738"/>
      <c r="S20" s="739"/>
    </row>
    <row r="21" spans="1:19" ht="14.45" customHeight="1" thickBot="1" x14ac:dyDescent="0.25">
      <c r="A21" s="390" t="s">
        <v>437</v>
      </c>
      <c r="B21" s="401">
        <v>0</v>
      </c>
      <c r="C21" s="402">
        <v>0</v>
      </c>
      <c r="D21" s="402">
        <f t="shared" si="4"/>
        <v>0</v>
      </c>
      <c r="E21" s="402">
        <f t="shared" si="4"/>
        <v>0</v>
      </c>
      <c r="F21" s="402">
        <f t="shared" si="4"/>
        <v>0</v>
      </c>
      <c r="G21" s="402">
        <f t="shared" si="4"/>
        <v>0</v>
      </c>
      <c r="H21" s="402">
        <f t="shared" si="4"/>
        <v>0</v>
      </c>
      <c r="I21" s="406">
        <f>AVERAGE(C21:H21)</f>
        <v>0</v>
      </c>
      <c r="J21" s="407"/>
      <c r="K21" s="738"/>
      <c r="L21" s="738"/>
      <c r="M21" s="738"/>
      <c r="N21" s="738"/>
      <c r="O21" s="738"/>
      <c r="P21" s="738"/>
      <c r="Q21" s="738"/>
      <c r="R21" s="738"/>
      <c r="S21" s="739"/>
    </row>
    <row r="22" spans="1:19" ht="29.25" thickBot="1" x14ac:dyDescent="0.25">
      <c r="A22" s="400" t="s">
        <v>438</v>
      </c>
      <c r="B22" s="410"/>
      <c r="C22" s="411"/>
      <c r="D22" s="411"/>
      <c r="E22" s="411"/>
      <c r="F22" s="411"/>
      <c r="G22" s="411"/>
      <c r="H22" s="412"/>
      <c r="I22" s="413"/>
      <c r="J22" s="414"/>
      <c r="K22" s="738"/>
      <c r="L22" s="738"/>
      <c r="M22" s="738"/>
      <c r="N22" s="738"/>
      <c r="O22" s="738"/>
      <c r="P22" s="738"/>
      <c r="Q22" s="738"/>
      <c r="R22" s="738"/>
      <c r="S22" s="739"/>
    </row>
    <row r="23" spans="1:19" ht="14.45" customHeight="1" thickBot="1" x14ac:dyDescent="0.25">
      <c r="A23" s="378" t="s">
        <v>439</v>
      </c>
      <c r="B23" s="415">
        <v>0</v>
      </c>
      <c r="C23" s="416">
        <v>0</v>
      </c>
      <c r="D23" s="416">
        <f>C23</f>
        <v>0</v>
      </c>
      <c r="E23" s="416">
        <f>D23</f>
        <v>0</v>
      </c>
      <c r="F23" s="416">
        <f>E23</f>
        <v>0</v>
      </c>
      <c r="G23" s="416">
        <f>F23</f>
        <v>0</v>
      </c>
      <c r="H23" s="417">
        <f>G23</f>
        <v>0</v>
      </c>
      <c r="I23" s="418">
        <f>AVERAGE(C23:H23)</f>
        <v>0</v>
      </c>
      <c r="J23" s="419"/>
      <c r="K23" s="738"/>
      <c r="L23" s="738"/>
      <c r="M23" s="738"/>
      <c r="N23" s="738"/>
      <c r="O23" s="738"/>
      <c r="P23" s="738"/>
      <c r="Q23" s="738"/>
      <c r="R23" s="738"/>
      <c r="S23" s="739"/>
    </row>
    <row r="24" spans="1:19" ht="14.45" customHeight="1" thickBot="1" x14ac:dyDescent="0.25">
      <c r="A24" s="378" t="s">
        <v>440</v>
      </c>
      <c r="B24" s="415">
        <v>0</v>
      </c>
      <c r="C24" s="416">
        <v>0</v>
      </c>
      <c r="D24" s="416">
        <f t="shared" ref="D24:H28" si="6">C24</f>
        <v>0</v>
      </c>
      <c r="E24" s="416">
        <f t="shared" si="6"/>
        <v>0</v>
      </c>
      <c r="F24" s="416">
        <f t="shared" si="6"/>
        <v>0</v>
      </c>
      <c r="G24" s="416">
        <f t="shared" si="6"/>
        <v>0</v>
      </c>
      <c r="H24" s="416">
        <f t="shared" si="6"/>
        <v>0</v>
      </c>
      <c r="I24" s="418">
        <f t="shared" ref="I24:I28" si="7">AVERAGE(C24:H24)</f>
        <v>0</v>
      </c>
      <c r="J24" s="419"/>
      <c r="K24" s="738"/>
      <c r="L24" s="738"/>
      <c r="M24" s="738"/>
      <c r="N24" s="738"/>
      <c r="O24" s="738"/>
      <c r="P24" s="738"/>
      <c r="Q24" s="738"/>
      <c r="R24" s="738"/>
      <c r="S24" s="739"/>
    </row>
    <row r="25" spans="1:19" ht="14.45" customHeight="1" thickBot="1" x14ac:dyDescent="0.25">
      <c r="A25" s="378" t="s">
        <v>441</v>
      </c>
      <c r="B25" s="415">
        <v>0</v>
      </c>
      <c r="C25" s="416">
        <v>0</v>
      </c>
      <c r="D25" s="416">
        <f t="shared" si="6"/>
        <v>0</v>
      </c>
      <c r="E25" s="416">
        <f t="shared" si="6"/>
        <v>0</v>
      </c>
      <c r="F25" s="416">
        <f t="shared" si="6"/>
        <v>0</v>
      </c>
      <c r="G25" s="416">
        <f t="shared" si="6"/>
        <v>0</v>
      </c>
      <c r="H25" s="417">
        <f t="shared" si="6"/>
        <v>0</v>
      </c>
      <c r="I25" s="418">
        <f t="shared" si="7"/>
        <v>0</v>
      </c>
      <c r="J25" s="419"/>
      <c r="K25" s="738"/>
      <c r="L25" s="738"/>
      <c r="M25" s="738"/>
      <c r="N25" s="738"/>
      <c r="O25" s="738"/>
      <c r="P25" s="738"/>
      <c r="Q25" s="738"/>
      <c r="R25" s="738"/>
      <c r="S25" s="739"/>
    </row>
    <row r="26" spans="1:19" ht="14.45" customHeight="1" thickBot="1" x14ac:dyDescent="0.25">
      <c r="A26" s="378" t="s">
        <v>442</v>
      </c>
      <c r="B26" s="415">
        <v>0</v>
      </c>
      <c r="C26" s="416">
        <v>0</v>
      </c>
      <c r="D26" s="416">
        <f t="shared" si="6"/>
        <v>0</v>
      </c>
      <c r="E26" s="416">
        <f t="shared" si="6"/>
        <v>0</v>
      </c>
      <c r="F26" s="416">
        <f t="shared" si="6"/>
        <v>0</v>
      </c>
      <c r="G26" s="416">
        <f t="shared" si="6"/>
        <v>0</v>
      </c>
      <c r="H26" s="416">
        <f t="shared" si="6"/>
        <v>0</v>
      </c>
      <c r="I26" s="418">
        <f t="shared" si="7"/>
        <v>0</v>
      </c>
      <c r="J26" s="419"/>
      <c r="K26" s="738"/>
      <c r="L26" s="738"/>
      <c r="M26" s="738"/>
      <c r="N26" s="738"/>
      <c r="O26" s="738"/>
      <c r="P26" s="738"/>
      <c r="Q26" s="738"/>
      <c r="R26" s="738"/>
      <c r="S26" s="739"/>
    </row>
    <row r="27" spans="1:19" ht="14.45" customHeight="1" thickBot="1" x14ac:dyDescent="0.25">
      <c r="A27" s="378" t="s">
        <v>443</v>
      </c>
      <c r="B27" s="415">
        <v>0</v>
      </c>
      <c r="C27" s="416">
        <v>0</v>
      </c>
      <c r="D27" s="416">
        <f t="shared" si="6"/>
        <v>0</v>
      </c>
      <c r="E27" s="416">
        <f t="shared" si="6"/>
        <v>0</v>
      </c>
      <c r="F27" s="416">
        <f t="shared" si="6"/>
        <v>0</v>
      </c>
      <c r="G27" s="416">
        <f t="shared" si="6"/>
        <v>0</v>
      </c>
      <c r="H27" s="417">
        <f t="shared" si="6"/>
        <v>0</v>
      </c>
      <c r="I27" s="418">
        <f t="shared" si="7"/>
        <v>0</v>
      </c>
      <c r="J27" s="419"/>
      <c r="K27" s="738"/>
      <c r="L27" s="738"/>
      <c r="M27" s="738"/>
      <c r="N27" s="738"/>
      <c r="O27" s="738"/>
      <c r="P27" s="738"/>
      <c r="Q27" s="738"/>
      <c r="R27" s="738"/>
      <c r="S27" s="739"/>
    </row>
    <row r="28" spans="1:19" ht="14.45" customHeight="1" thickBot="1" x14ac:dyDescent="0.25">
      <c r="A28" s="378" t="s">
        <v>444</v>
      </c>
      <c r="B28" s="415">
        <v>0</v>
      </c>
      <c r="C28" s="416">
        <v>0</v>
      </c>
      <c r="D28" s="416">
        <f t="shared" si="6"/>
        <v>0</v>
      </c>
      <c r="E28" s="416">
        <f t="shared" si="6"/>
        <v>0</v>
      </c>
      <c r="F28" s="416">
        <f t="shared" si="6"/>
        <v>0</v>
      </c>
      <c r="G28" s="416">
        <f t="shared" si="6"/>
        <v>0</v>
      </c>
      <c r="H28" s="416">
        <f t="shared" si="6"/>
        <v>0</v>
      </c>
      <c r="I28" s="418">
        <f t="shared" si="7"/>
        <v>0</v>
      </c>
      <c r="J28" s="419"/>
      <c r="K28" s="738"/>
      <c r="L28" s="738"/>
      <c r="M28" s="738"/>
      <c r="N28" s="738"/>
      <c r="O28" s="738"/>
      <c r="P28" s="738"/>
      <c r="Q28" s="738"/>
      <c r="R28" s="738"/>
      <c r="S28" s="739"/>
    </row>
    <row r="29" spans="1:19" ht="14.45" customHeight="1" thickBot="1" x14ac:dyDescent="0.25">
      <c r="A29" s="420" t="s">
        <v>445</v>
      </c>
      <c r="B29" s="421">
        <f>SUM(B23:B28)</f>
        <v>0</v>
      </c>
      <c r="C29" s="422">
        <f>SUM(C23:C28)</f>
        <v>0</v>
      </c>
      <c r="D29" s="422">
        <f t="shared" ref="D29:H29" si="8">SUM(D23:D28)</f>
        <v>0</v>
      </c>
      <c r="E29" s="422">
        <f t="shared" si="8"/>
        <v>0</v>
      </c>
      <c r="F29" s="422">
        <f t="shared" si="8"/>
        <v>0</v>
      </c>
      <c r="G29" s="422">
        <f t="shared" si="8"/>
        <v>0</v>
      </c>
      <c r="H29" s="422">
        <f t="shared" si="8"/>
        <v>0</v>
      </c>
      <c r="I29" s="406">
        <f>AVERAGE(C29:H29)</f>
        <v>0</v>
      </c>
      <c r="J29" s="407"/>
      <c r="K29" s="738"/>
      <c r="L29" s="738"/>
      <c r="M29" s="738"/>
      <c r="N29" s="738"/>
      <c r="O29" s="738"/>
      <c r="P29" s="738"/>
      <c r="Q29" s="738"/>
      <c r="R29" s="738"/>
      <c r="S29" s="739"/>
    </row>
    <row r="30" spans="1:19" ht="20.100000000000001" customHeight="1" thickBot="1" x14ac:dyDescent="0.25">
      <c r="A30" s="400" t="s">
        <v>446</v>
      </c>
      <c r="B30" s="410"/>
      <c r="C30" s="411"/>
      <c r="D30" s="411"/>
      <c r="E30" s="411"/>
      <c r="F30" s="411"/>
      <c r="G30" s="411"/>
      <c r="H30" s="412"/>
      <c r="I30" s="413"/>
      <c r="J30" s="414"/>
      <c r="K30" s="738"/>
      <c r="L30" s="738"/>
      <c r="M30" s="738"/>
      <c r="N30" s="738"/>
      <c r="O30" s="738"/>
      <c r="P30" s="738"/>
      <c r="Q30" s="738"/>
      <c r="R30" s="738"/>
      <c r="S30" s="739"/>
    </row>
    <row r="31" spans="1:19" ht="14.45" customHeight="1" thickBot="1" x14ac:dyDescent="0.25">
      <c r="A31" s="378" t="s">
        <v>447</v>
      </c>
      <c r="B31" s="415">
        <v>0</v>
      </c>
      <c r="C31" s="416">
        <v>0</v>
      </c>
      <c r="D31" s="416">
        <f>C31</f>
        <v>0</v>
      </c>
      <c r="E31" s="416">
        <f t="shared" ref="E31:H31" si="9">D31</f>
        <v>0</v>
      </c>
      <c r="F31" s="416">
        <f t="shared" si="9"/>
        <v>0</v>
      </c>
      <c r="G31" s="416">
        <f t="shared" si="9"/>
        <v>0</v>
      </c>
      <c r="H31" s="416">
        <f t="shared" si="9"/>
        <v>0</v>
      </c>
      <c r="I31" s="418">
        <f>AVERAGE(C31:H31)</f>
        <v>0</v>
      </c>
      <c r="J31" s="419"/>
      <c r="K31" s="738"/>
      <c r="L31" s="738"/>
      <c r="M31" s="738"/>
      <c r="N31" s="738"/>
      <c r="O31" s="738"/>
      <c r="P31" s="738"/>
      <c r="Q31" s="738"/>
      <c r="R31" s="738"/>
      <c r="S31" s="739"/>
    </row>
    <row r="32" spans="1:19" ht="14.45" customHeight="1" thickBot="1" x14ac:dyDescent="0.25">
      <c r="A32" s="378" t="s">
        <v>448</v>
      </c>
      <c r="B32" s="415">
        <v>0</v>
      </c>
      <c r="C32" s="416">
        <v>0</v>
      </c>
      <c r="D32" s="416">
        <f t="shared" ref="D32:H40" si="10">C32</f>
        <v>0</v>
      </c>
      <c r="E32" s="416">
        <f t="shared" si="10"/>
        <v>0</v>
      </c>
      <c r="F32" s="416">
        <f t="shared" si="10"/>
        <v>0</v>
      </c>
      <c r="G32" s="416">
        <f t="shared" si="10"/>
        <v>0</v>
      </c>
      <c r="H32" s="416">
        <f t="shared" si="10"/>
        <v>0</v>
      </c>
      <c r="I32" s="418">
        <f t="shared" ref="I32:I40" si="11">AVERAGE(C32:H32)</f>
        <v>0</v>
      </c>
      <c r="J32" s="419"/>
      <c r="K32" s="738"/>
      <c r="L32" s="738"/>
      <c r="M32" s="738"/>
      <c r="N32" s="738"/>
      <c r="O32" s="738"/>
      <c r="P32" s="738"/>
      <c r="Q32" s="738"/>
      <c r="R32" s="738"/>
      <c r="S32" s="739"/>
    </row>
    <row r="33" spans="1:22" ht="14.45" customHeight="1" thickBot="1" x14ac:dyDescent="0.25">
      <c r="A33" s="378" t="s">
        <v>449</v>
      </c>
      <c r="B33" s="415">
        <v>0</v>
      </c>
      <c r="C33" s="416">
        <v>0</v>
      </c>
      <c r="D33" s="416">
        <f t="shared" si="10"/>
        <v>0</v>
      </c>
      <c r="E33" s="416">
        <f t="shared" si="10"/>
        <v>0</v>
      </c>
      <c r="F33" s="416">
        <f t="shared" si="10"/>
        <v>0</v>
      </c>
      <c r="G33" s="416">
        <f t="shared" si="10"/>
        <v>0</v>
      </c>
      <c r="H33" s="416">
        <f t="shared" si="10"/>
        <v>0</v>
      </c>
      <c r="I33" s="418">
        <f t="shared" si="11"/>
        <v>0</v>
      </c>
      <c r="J33" s="419"/>
      <c r="K33" s="738"/>
      <c r="L33" s="738"/>
      <c r="M33" s="738"/>
      <c r="N33" s="738"/>
      <c r="O33" s="738"/>
      <c r="P33" s="738"/>
      <c r="Q33" s="738"/>
      <c r="R33" s="738"/>
      <c r="S33" s="739"/>
    </row>
    <row r="34" spans="1:22" ht="14.45" customHeight="1" thickBot="1" x14ac:dyDescent="0.25">
      <c r="A34" s="378" t="s">
        <v>450</v>
      </c>
      <c r="B34" s="415">
        <v>0</v>
      </c>
      <c r="C34" s="416">
        <v>0</v>
      </c>
      <c r="D34" s="416">
        <f t="shared" si="10"/>
        <v>0</v>
      </c>
      <c r="E34" s="416">
        <f t="shared" si="10"/>
        <v>0</v>
      </c>
      <c r="F34" s="416">
        <f t="shared" si="10"/>
        <v>0</v>
      </c>
      <c r="G34" s="416">
        <f t="shared" si="10"/>
        <v>0</v>
      </c>
      <c r="H34" s="416">
        <f t="shared" si="10"/>
        <v>0</v>
      </c>
      <c r="I34" s="418">
        <f t="shared" si="11"/>
        <v>0</v>
      </c>
      <c r="J34" s="419"/>
      <c r="K34" s="738"/>
      <c r="L34" s="738"/>
      <c r="M34" s="738"/>
      <c r="N34" s="738"/>
      <c r="O34" s="738"/>
      <c r="P34" s="738"/>
      <c r="Q34" s="738"/>
      <c r="R34" s="738"/>
      <c r="S34" s="739"/>
    </row>
    <row r="35" spans="1:22" ht="14.45" customHeight="1" thickBot="1" x14ac:dyDescent="0.25">
      <c r="A35" s="378" t="s">
        <v>451</v>
      </c>
      <c r="B35" s="415">
        <v>0</v>
      </c>
      <c r="C35" s="416">
        <v>0</v>
      </c>
      <c r="D35" s="416">
        <f t="shared" si="10"/>
        <v>0</v>
      </c>
      <c r="E35" s="416">
        <f t="shared" si="10"/>
        <v>0</v>
      </c>
      <c r="F35" s="416">
        <f t="shared" si="10"/>
        <v>0</v>
      </c>
      <c r="G35" s="416">
        <f t="shared" si="10"/>
        <v>0</v>
      </c>
      <c r="H35" s="416">
        <f t="shared" si="10"/>
        <v>0</v>
      </c>
      <c r="I35" s="418">
        <f t="shared" si="11"/>
        <v>0</v>
      </c>
      <c r="J35" s="419"/>
      <c r="K35" s="738"/>
      <c r="L35" s="738"/>
      <c r="M35" s="738"/>
      <c r="N35" s="738"/>
      <c r="O35" s="738"/>
      <c r="P35" s="738"/>
      <c r="Q35" s="738"/>
      <c r="R35" s="738"/>
      <c r="S35" s="739"/>
    </row>
    <row r="36" spans="1:22" ht="14.45" customHeight="1" thickBot="1" x14ac:dyDescent="0.25">
      <c r="A36" s="378" t="s">
        <v>452</v>
      </c>
      <c r="B36" s="415">
        <v>0</v>
      </c>
      <c r="C36" s="416">
        <v>0</v>
      </c>
      <c r="D36" s="416">
        <f t="shared" si="10"/>
        <v>0</v>
      </c>
      <c r="E36" s="416">
        <f t="shared" si="10"/>
        <v>0</v>
      </c>
      <c r="F36" s="416">
        <f t="shared" si="10"/>
        <v>0</v>
      </c>
      <c r="G36" s="416">
        <f t="shared" si="10"/>
        <v>0</v>
      </c>
      <c r="H36" s="416">
        <f t="shared" si="10"/>
        <v>0</v>
      </c>
      <c r="I36" s="418">
        <f t="shared" si="11"/>
        <v>0</v>
      </c>
      <c r="J36" s="419"/>
      <c r="K36" s="738"/>
      <c r="L36" s="738"/>
      <c r="M36" s="738"/>
      <c r="N36" s="738"/>
      <c r="O36" s="738"/>
      <c r="P36" s="738"/>
      <c r="Q36" s="738"/>
      <c r="R36" s="738"/>
      <c r="S36" s="739"/>
    </row>
    <row r="37" spans="1:22" ht="14.45" customHeight="1" thickBot="1" x14ac:dyDescent="0.25">
      <c r="A37" s="378" t="s">
        <v>453</v>
      </c>
      <c r="B37" s="415">
        <v>0</v>
      </c>
      <c r="C37" s="416">
        <v>0</v>
      </c>
      <c r="D37" s="416">
        <f t="shared" si="10"/>
        <v>0</v>
      </c>
      <c r="E37" s="416">
        <f t="shared" si="10"/>
        <v>0</v>
      </c>
      <c r="F37" s="416">
        <f t="shared" si="10"/>
        <v>0</v>
      </c>
      <c r="G37" s="416">
        <f t="shared" si="10"/>
        <v>0</v>
      </c>
      <c r="H37" s="416">
        <f t="shared" si="10"/>
        <v>0</v>
      </c>
      <c r="I37" s="418">
        <f t="shared" si="11"/>
        <v>0</v>
      </c>
      <c r="J37" s="419"/>
      <c r="K37" s="738"/>
      <c r="L37" s="738"/>
      <c r="M37" s="738"/>
      <c r="N37" s="738"/>
      <c r="O37" s="738"/>
      <c r="P37" s="738"/>
      <c r="Q37" s="738"/>
      <c r="R37" s="738"/>
      <c r="S37" s="739"/>
    </row>
    <row r="38" spans="1:22" ht="14.45" customHeight="1" thickBot="1" x14ac:dyDescent="0.25">
      <c r="A38" s="378" t="s">
        <v>454</v>
      </c>
      <c r="B38" s="415">
        <v>0</v>
      </c>
      <c r="C38" s="416">
        <v>0</v>
      </c>
      <c r="D38" s="416">
        <f t="shared" si="10"/>
        <v>0</v>
      </c>
      <c r="E38" s="416">
        <f t="shared" si="10"/>
        <v>0</v>
      </c>
      <c r="F38" s="416">
        <f t="shared" si="10"/>
        <v>0</v>
      </c>
      <c r="G38" s="416">
        <f t="shared" si="10"/>
        <v>0</v>
      </c>
      <c r="H38" s="416">
        <f t="shared" si="10"/>
        <v>0</v>
      </c>
      <c r="I38" s="418">
        <f t="shared" si="11"/>
        <v>0</v>
      </c>
      <c r="J38" s="419"/>
      <c r="K38" s="738"/>
      <c r="L38" s="738"/>
      <c r="M38" s="738"/>
      <c r="N38" s="738"/>
      <c r="O38" s="738"/>
      <c r="P38" s="738"/>
      <c r="Q38" s="738"/>
      <c r="R38" s="738"/>
      <c r="S38" s="739"/>
    </row>
    <row r="39" spans="1:22" ht="14.45" customHeight="1" thickBot="1" x14ac:dyDescent="0.25">
      <c r="A39" s="378" t="s">
        <v>455</v>
      </c>
      <c r="B39" s="415">
        <v>0</v>
      </c>
      <c r="C39" s="416">
        <v>0</v>
      </c>
      <c r="D39" s="416">
        <f t="shared" si="10"/>
        <v>0</v>
      </c>
      <c r="E39" s="416">
        <f t="shared" si="10"/>
        <v>0</v>
      </c>
      <c r="F39" s="416">
        <f t="shared" si="10"/>
        <v>0</v>
      </c>
      <c r="G39" s="416">
        <f t="shared" si="10"/>
        <v>0</v>
      </c>
      <c r="H39" s="416">
        <f t="shared" si="10"/>
        <v>0</v>
      </c>
      <c r="I39" s="418">
        <f t="shared" si="11"/>
        <v>0</v>
      </c>
      <c r="J39" s="419"/>
      <c r="K39" s="738"/>
      <c r="L39" s="738"/>
      <c r="M39" s="738"/>
      <c r="N39" s="738"/>
      <c r="O39" s="738"/>
      <c r="P39" s="738"/>
      <c r="Q39" s="738"/>
      <c r="R39" s="738"/>
      <c r="S39" s="739"/>
    </row>
    <row r="40" spans="1:22" ht="14.45" customHeight="1" thickBot="1" x14ac:dyDescent="0.25">
      <c r="A40" s="378" t="s">
        <v>456</v>
      </c>
      <c r="B40" s="415">
        <v>0</v>
      </c>
      <c r="C40" s="416">
        <v>0</v>
      </c>
      <c r="D40" s="416">
        <f t="shared" si="10"/>
        <v>0</v>
      </c>
      <c r="E40" s="416">
        <f t="shared" si="10"/>
        <v>0</v>
      </c>
      <c r="F40" s="416">
        <f t="shared" si="10"/>
        <v>0</v>
      </c>
      <c r="G40" s="416">
        <f t="shared" si="10"/>
        <v>0</v>
      </c>
      <c r="H40" s="416">
        <f t="shared" si="10"/>
        <v>0</v>
      </c>
      <c r="I40" s="418">
        <f t="shared" si="11"/>
        <v>0</v>
      </c>
      <c r="J40" s="419"/>
      <c r="K40" s="738"/>
      <c r="L40" s="738"/>
      <c r="M40" s="738"/>
      <c r="N40" s="738"/>
      <c r="O40" s="738"/>
      <c r="P40" s="738"/>
      <c r="Q40" s="738"/>
      <c r="R40" s="738"/>
      <c r="S40" s="739"/>
    </row>
    <row r="41" spans="1:22" s="424" customFormat="1" ht="14.45" customHeight="1" thickBot="1" x14ac:dyDescent="0.25">
      <c r="A41" s="400" t="s">
        <v>457</v>
      </c>
      <c r="B41" s="421">
        <f>SUM(B31:B40)</f>
        <v>0</v>
      </c>
      <c r="C41" s="422">
        <f>SUM(C31:C40)</f>
        <v>0</v>
      </c>
      <c r="D41" s="422">
        <f t="shared" ref="D41:H41" si="12">SUM(D31:D40)</f>
        <v>0</v>
      </c>
      <c r="E41" s="422">
        <f t="shared" si="12"/>
        <v>0</v>
      </c>
      <c r="F41" s="422">
        <f t="shared" si="12"/>
        <v>0</v>
      </c>
      <c r="G41" s="422">
        <f t="shared" si="12"/>
        <v>0</v>
      </c>
      <c r="H41" s="422">
        <f t="shared" si="12"/>
        <v>0</v>
      </c>
      <c r="I41" s="406">
        <f>AVERAGE(C41:H41)</f>
        <v>0</v>
      </c>
      <c r="J41" s="407"/>
      <c r="K41" s="738"/>
      <c r="L41" s="738"/>
      <c r="M41" s="738"/>
      <c r="N41" s="738"/>
      <c r="O41" s="738"/>
      <c r="P41" s="738"/>
      <c r="Q41" s="738"/>
      <c r="R41" s="738"/>
      <c r="S41" s="739"/>
      <c r="T41" s="423"/>
      <c r="U41" s="423"/>
      <c r="V41" s="423"/>
    </row>
    <row r="42" spans="1:22" s="424" customFormat="1" ht="14.45" customHeight="1" thickBot="1" x14ac:dyDescent="0.25">
      <c r="A42" s="400" t="s">
        <v>74</v>
      </c>
      <c r="B42" s="421">
        <f t="shared" ref="B42:H42" si="13">B13-B29-B41</f>
        <v>0</v>
      </c>
      <c r="C42" s="422">
        <f t="shared" si="13"/>
        <v>0</v>
      </c>
      <c r="D42" s="422">
        <f t="shared" si="13"/>
        <v>0</v>
      </c>
      <c r="E42" s="422">
        <f t="shared" si="13"/>
        <v>0</v>
      </c>
      <c r="F42" s="422">
        <f t="shared" si="13"/>
        <v>0</v>
      </c>
      <c r="G42" s="422">
        <f t="shared" si="13"/>
        <v>0</v>
      </c>
      <c r="H42" s="422">
        <f t="shared" si="13"/>
        <v>0</v>
      </c>
      <c r="I42" s="406">
        <f t="shared" ref="I42:I43" si="14">AVERAGE(C42:H42)</f>
        <v>0</v>
      </c>
      <c r="J42" s="407"/>
      <c r="K42" s="738"/>
      <c r="L42" s="738"/>
      <c r="M42" s="738"/>
      <c r="N42" s="738"/>
      <c r="O42" s="738"/>
      <c r="P42" s="738"/>
      <c r="Q42" s="738"/>
      <c r="R42" s="738"/>
      <c r="S42" s="739"/>
      <c r="T42" s="423"/>
      <c r="U42" s="423"/>
      <c r="V42" s="423"/>
    </row>
    <row r="43" spans="1:22" s="424" customFormat="1" ht="14.45" customHeight="1" thickBot="1" x14ac:dyDescent="0.25">
      <c r="A43" s="397" t="s">
        <v>458</v>
      </c>
      <c r="B43" s="415">
        <v>0</v>
      </c>
      <c r="C43" s="416">
        <v>0</v>
      </c>
      <c r="D43" s="416">
        <f>C43</f>
        <v>0</v>
      </c>
      <c r="E43" s="416">
        <f t="shared" ref="E43:H43" si="15">D43</f>
        <v>0</v>
      </c>
      <c r="F43" s="416">
        <f t="shared" si="15"/>
        <v>0</v>
      </c>
      <c r="G43" s="416">
        <f t="shared" si="15"/>
        <v>0</v>
      </c>
      <c r="H43" s="416">
        <f t="shared" si="15"/>
        <v>0</v>
      </c>
      <c r="I43" s="418">
        <f t="shared" si="14"/>
        <v>0</v>
      </c>
      <c r="J43" s="425"/>
      <c r="K43" s="740"/>
      <c r="L43" s="740"/>
      <c r="M43" s="740"/>
      <c r="N43" s="740"/>
      <c r="O43" s="740"/>
      <c r="P43" s="740"/>
      <c r="Q43" s="740"/>
      <c r="R43" s="740"/>
      <c r="S43" s="741"/>
      <c r="T43" s="423"/>
      <c r="U43" s="423"/>
      <c r="V43" s="423"/>
    </row>
    <row r="45" spans="1:22" x14ac:dyDescent="0.2">
      <c r="L45" s="426"/>
    </row>
  </sheetData>
  <sheetProtection algorithmName="SHA-512" hashValue="aj9TuZLbLI7f8pek+yYMxW6VIVqDXHvjHLPgSfsyi5SkLGiT3PAjLLuZo6ORjT/IcaPKIIJWdcVCzi19IGLq2Q==" saltValue="CFXutM4pI0SmbhxjHRZpTg==" spinCount="100000" sheet="1" objects="1" scenarios="1"/>
  <mergeCells count="3">
    <mergeCell ref="A1:I1"/>
    <mergeCell ref="K1:S1"/>
    <mergeCell ref="K2:S43"/>
  </mergeCells>
  <pageMargins left="0.7" right="0.7" top="0.75" bottom="0.75" header="0.3" footer="0.3"/>
  <pageSetup scale="65" fitToWidth="0" orientation="landscape" r:id="rId1"/>
  <colBreaks count="1" manualBreakCount="1">
    <brk id="9" max="42"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A283-3037-4FBC-9895-CAB9504F8FAF}">
  <dimension ref="A1:J184"/>
  <sheetViews>
    <sheetView workbookViewId="0">
      <selection sqref="A1:XFD1048576"/>
    </sheetView>
  </sheetViews>
  <sheetFormatPr defaultRowHeight="12.75" x14ac:dyDescent="0.2"/>
  <cols>
    <col min="1" max="1" width="11.5703125" style="433" bestFit="1" customWidth="1"/>
    <col min="2" max="2" width="39" style="433" bestFit="1" customWidth="1"/>
    <col min="3" max="3" width="13.7109375" style="434" bestFit="1" customWidth="1"/>
    <col min="4" max="4" width="18" style="435" bestFit="1" customWidth="1"/>
    <col min="5" max="5" width="13.7109375" style="434" customWidth="1"/>
    <col min="6" max="6" width="26.5703125" style="434" customWidth="1"/>
    <col min="7" max="7" width="32.140625" style="434" customWidth="1"/>
    <col min="8" max="8" width="21.140625" style="435" bestFit="1" customWidth="1"/>
    <col min="9" max="9" width="20.7109375" style="435" bestFit="1" customWidth="1"/>
    <col min="10" max="10" width="22.140625" style="435" bestFit="1" customWidth="1"/>
    <col min="11" max="16384" width="9.140625" style="351"/>
  </cols>
  <sheetData>
    <row r="1" spans="1:10" x14ac:dyDescent="0.2">
      <c r="A1" s="427" t="s">
        <v>138</v>
      </c>
      <c r="B1" s="427" t="s">
        <v>798</v>
      </c>
      <c r="C1" s="428" t="s">
        <v>799</v>
      </c>
      <c r="D1" s="429" t="s">
        <v>306</v>
      </c>
      <c r="E1" s="428" t="s">
        <v>800</v>
      </c>
      <c r="F1" s="429" t="s">
        <v>801</v>
      </c>
      <c r="G1" s="429" t="s">
        <v>812</v>
      </c>
      <c r="H1" s="429" t="s">
        <v>307</v>
      </c>
      <c r="I1" s="429" t="s">
        <v>310</v>
      </c>
      <c r="J1" s="429" t="s">
        <v>305</v>
      </c>
    </row>
    <row r="2" spans="1:10" x14ac:dyDescent="0.2">
      <c r="A2" s="427">
        <v>0</v>
      </c>
      <c r="B2" s="427"/>
      <c r="C2" s="428"/>
      <c r="D2" s="429">
        <v>0</v>
      </c>
      <c r="E2" s="429">
        <v>0</v>
      </c>
      <c r="F2" s="429">
        <v>0</v>
      </c>
      <c r="G2" s="429">
        <v>0</v>
      </c>
      <c r="H2" s="429">
        <v>0</v>
      </c>
      <c r="I2" s="429">
        <v>0</v>
      </c>
      <c r="J2" s="429">
        <v>0</v>
      </c>
    </row>
    <row r="3" spans="1:10" x14ac:dyDescent="0.2">
      <c r="A3" s="430">
        <v>3801</v>
      </c>
      <c r="B3" s="430" t="s">
        <v>56</v>
      </c>
      <c r="C3" s="431">
        <v>0</v>
      </c>
      <c r="D3" s="432">
        <v>0</v>
      </c>
      <c r="E3" s="432">
        <v>0</v>
      </c>
      <c r="F3" s="431">
        <f t="shared" ref="F3:F34" si="0">D3-E3</f>
        <v>0</v>
      </c>
      <c r="G3" s="431">
        <f t="shared" ref="G3:G34" si="1">C3*1+E3</f>
        <v>0</v>
      </c>
      <c r="H3" s="432">
        <v>0</v>
      </c>
      <c r="I3" s="432">
        <v>0</v>
      </c>
      <c r="J3" s="432">
        <v>0</v>
      </c>
    </row>
    <row r="4" spans="1:10" x14ac:dyDescent="0.2">
      <c r="A4" s="430">
        <v>13801</v>
      </c>
      <c r="B4" s="430" t="s">
        <v>400</v>
      </c>
      <c r="C4" s="431">
        <v>0</v>
      </c>
      <c r="D4" s="432">
        <v>0</v>
      </c>
      <c r="E4" s="432">
        <v>0</v>
      </c>
      <c r="F4" s="431">
        <f t="shared" si="0"/>
        <v>0</v>
      </c>
      <c r="G4" s="431">
        <f t="shared" si="1"/>
        <v>0</v>
      </c>
      <c r="H4" s="432">
        <v>0</v>
      </c>
      <c r="I4" s="432">
        <v>0</v>
      </c>
      <c r="J4" s="432">
        <v>0</v>
      </c>
    </row>
    <row r="5" spans="1:10" x14ac:dyDescent="0.2">
      <c r="A5" s="430">
        <v>14801</v>
      </c>
      <c r="B5" s="430" t="s">
        <v>37</v>
      </c>
      <c r="C5" s="431">
        <v>0</v>
      </c>
      <c r="D5" s="432">
        <v>0</v>
      </c>
      <c r="E5" s="432">
        <v>0</v>
      </c>
      <c r="F5" s="431">
        <f t="shared" si="0"/>
        <v>0</v>
      </c>
      <c r="G5" s="431">
        <f t="shared" si="1"/>
        <v>0</v>
      </c>
      <c r="H5" s="432">
        <v>0</v>
      </c>
      <c r="I5" s="432">
        <v>0</v>
      </c>
      <c r="J5" s="432">
        <v>0</v>
      </c>
    </row>
    <row r="6" spans="1:10" x14ac:dyDescent="0.2">
      <c r="A6" s="430">
        <v>14803</v>
      </c>
      <c r="B6" s="430" t="s">
        <v>333</v>
      </c>
      <c r="C6" s="431">
        <v>102429</v>
      </c>
      <c r="D6" s="432">
        <v>80919</v>
      </c>
      <c r="E6" s="431"/>
      <c r="F6" s="431">
        <f t="shared" si="0"/>
        <v>80919</v>
      </c>
      <c r="G6" s="431">
        <f t="shared" si="1"/>
        <v>102429</v>
      </c>
      <c r="H6" s="432">
        <v>0</v>
      </c>
      <c r="I6" s="432">
        <v>0</v>
      </c>
      <c r="J6" s="432">
        <v>0</v>
      </c>
    </row>
    <row r="7" spans="1:10" x14ac:dyDescent="0.2">
      <c r="A7" s="430">
        <v>14804</v>
      </c>
      <c r="B7" s="430" t="s">
        <v>1</v>
      </c>
      <c r="C7" s="431">
        <v>0</v>
      </c>
      <c r="D7" s="432">
        <v>0</v>
      </c>
      <c r="E7" s="432">
        <v>0</v>
      </c>
      <c r="F7" s="431">
        <f t="shared" si="0"/>
        <v>0</v>
      </c>
      <c r="G7" s="431">
        <f t="shared" si="1"/>
        <v>0</v>
      </c>
      <c r="H7" s="432">
        <v>0</v>
      </c>
      <c r="I7" s="432">
        <v>0</v>
      </c>
      <c r="J7" s="432">
        <v>0</v>
      </c>
    </row>
    <row r="8" spans="1:10" x14ac:dyDescent="0.2">
      <c r="A8" s="430">
        <v>15801</v>
      </c>
      <c r="B8" s="430" t="s">
        <v>38</v>
      </c>
      <c r="C8" s="431">
        <v>0</v>
      </c>
      <c r="D8" s="432">
        <v>0</v>
      </c>
      <c r="E8" s="432">
        <v>0</v>
      </c>
      <c r="F8" s="431">
        <f t="shared" si="0"/>
        <v>0</v>
      </c>
      <c r="G8" s="431">
        <f t="shared" si="1"/>
        <v>0</v>
      </c>
      <c r="H8" s="432">
        <v>0</v>
      </c>
      <c r="I8" s="432">
        <v>0</v>
      </c>
      <c r="J8" s="432">
        <v>0</v>
      </c>
    </row>
    <row r="9" spans="1:10" x14ac:dyDescent="0.2">
      <c r="A9" s="430">
        <v>15802</v>
      </c>
      <c r="B9" s="430" t="s">
        <v>58</v>
      </c>
      <c r="C9" s="431">
        <v>126606</v>
      </c>
      <c r="D9" s="432">
        <v>111413</v>
      </c>
      <c r="E9" s="431"/>
      <c r="F9" s="431">
        <f t="shared" si="0"/>
        <v>111413</v>
      </c>
      <c r="G9" s="431">
        <f t="shared" si="1"/>
        <v>126606</v>
      </c>
      <c r="H9" s="432">
        <v>0</v>
      </c>
      <c r="I9" s="432">
        <v>0</v>
      </c>
      <c r="J9" s="432">
        <v>0</v>
      </c>
    </row>
    <row r="10" spans="1:10" x14ac:dyDescent="0.2">
      <c r="A10" s="430">
        <v>15805</v>
      </c>
      <c r="B10" s="430" t="s">
        <v>638</v>
      </c>
      <c r="C10" s="431">
        <v>0</v>
      </c>
      <c r="D10" s="432">
        <v>5510</v>
      </c>
      <c r="E10" s="432">
        <v>5510</v>
      </c>
      <c r="F10" s="431">
        <f t="shared" si="0"/>
        <v>0</v>
      </c>
      <c r="G10" s="431">
        <f t="shared" si="1"/>
        <v>5510</v>
      </c>
      <c r="H10" s="432">
        <v>0</v>
      </c>
      <c r="I10" s="432">
        <v>0</v>
      </c>
      <c r="J10" s="432">
        <v>0</v>
      </c>
    </row>
    <row r="11" spans="1:10" x14ac:dyDescent="0.2">
      <c r="A11" s="430">
        <v>15806</v>
      </c>
      <c r="B11" s="430" t="s">
        <v>59</v>
      </c>
      <c r="C11" s="431">
        <v>78470</v>
      </c>
      <c r="D11" s="432">
        <v>76045</v>
      </c>
      <c r="E11" s="431"/>
      <c r="F11" s="431">
        <f t="shared" si="0"/>
        <v>76045</v>
      </c>
      <c r="G11" s="431">
        <f t="shared" si="1"/>
        <v>78470</v>
      </c>
      <c r="H11" s="432">
        <v>0</v>
      </c>
      <c r="I11" s="432">
        <v>0</v>
      </c>
      <c r="J11" s="432">
        <v>0</v>
      </c>
    </row>
    <row r="12" spans="1:10" x14ac:dyDescent="0.2">
      <c r="A12" s="430">
        <v>15807</v>
      </c>
      <c r="B12" s="430" t="s">
        <v>40</v>
      </c>
      <c r="C12" s="431">
        <v>13475</v>
      </c>
      <c r="D12" s="432">
        <v>36024</v>
      </c>
      <c r="E12" s="431">
        <v>24166</v>
      </c>
      <c r="F12" s="431">
        <f t="shared" si="0"/>
        <v>11858</v>
      </c>
      <c r="G12" s="431">
        <f t="shared" si="1"/>
        <v>37641</v>
      </c>
      <c r="H12" s="432">
        <v>0</v>
      </c>
      <c r="I12" s="432">
        <v>0</v>
      </c>
      <c r="J12" s="432">
        <v>0</v>
      </c>
    </row>
    <row r="13" spans="1:10" x14ac:dyDescent="0.2">
      <c r="A13" s="430">
        <v>15808</v>
      </c>
      <c r="B13" s="430" t="s">
        <v>816</v>
      </c>
      <c r="C13" s="431">
        <v>0</v>
      </c>
      <c r="D13" s="432">
        <v>0</v>
      </c>
      <c r="E13" s="432">
        <v>0</v>
      </c>
      <c r="F13" s="431">
        <f t="shared" si="0"/>
        <v>0</v>
      </c>
      <c r="G13" s="431">
        <f t="shared" si="1"/>
        <v>0</v>
      </c>
      <c r="H13" s="432">
        <v>0</v>
      </c>
      <c r="I13" s="432">
        <v>0</v>
      </c>
      <c r="J13" s="432">
        <v>0</v>
      </c>
    </row>
    <row r="14" spans="1:10" x14ac:dyDescent="0.2">
      <c r="A14" s="430">
        <v>15809</v>
      </c>
      <c r="B14" s="430" t="s">
        <v>39</v>
      </c>
      <c r="C14" s="431">
        <v>0</v>
      </c>
      <c r="D14" s="432">
        <v>0</v>
      </c>
      <c r="E14" s="432">
        <v>0</v>
      </c>
      <c r="F14" s="431">
        <f t="shared" si="0"/>
        <v>0</v>
      </c>
      <c r="G14" s="431">
        <f t="shared" si="1"/>
        <v>0</v>
      </c>
      <c r="H14" s="432">
        <v>0</v>
      </c>
      <c r="I14" s="432">
        <v>0</v>
      </c>
      <c r="J14" s="432">
        <v>0</v>
      </c>
    </row>
    <row r="15" spans="1:10" x14ac:dyDescent="0.2">
      <c r="A15" s="430">
        <v>15814</v>
      </c>
      <c r="B15" s="430" t="s">
        <v>41</v>
      </c>
      <c r="C15" s="431">
        <v>0</v>
      </c>
      <c r="D15" s="432">
        <v>5529</v>
      </c>
      <c r="E15" s="432">
        <v>5529</v>
      </c>
      <c r="F15" s="431">
        <f t="shared" si="0"/>
        <v>0</v>
      </c>
      <c r="G15" s="431">
        <f t="shared" si="1"/>
        <v>5529</v>
      </c>
      <c r="H15" s="432">
        <v>0</v>
      </c>
      <c r="I15" s="432">
        <v>0</v>
      </c>
      <c r="J15" s="432">
        <v>0</v>
      </c>
    </row>
    <row r="16" spans="1:10" x14ac:dyDescent="0.2">
      <c r="A16" s="430">
        <v>15815</v>
      </c>
      <c r="B16" s="430" t="s">
        <v>414</v>
      </c>
      <c r="C16" s="431">
        <v>0</v>
      </c>
      <c r="D16" s="432">
        <v>0</v>
      </c>
      <c r="E16" s="432">
        <v>0</v>
      </c>
      <c r="F16" s="431">
        <f t="shared" si="0"/>
        <v>0</v>
      </c>
      <c r="G16" s="431">
        <f t="shared" si="1"/>
        <v>0</v>
      </c>
      <c r="H16" s="432">
        <v>0</v>
      </c>
      <c r="I16" s="432">
        <v>0</v>
      </c>
      <c r="J16" s="432">
        <v>0</v>
      </c>
    </row>
    <row r="17" spans="1:10" x14ac:dyDescent="0.2">
      <c r="A17" s="430">
        <v>15822</v>
      </c>
      <c r="B17" s="430" t="s">
        <v>817</v>
      </c>
      <c r="C17" s="431">
        <v>0</v>
      </c>
      <c r="D17" s="432">
        <v>0</v>
      </c>
      <c r="E17" s="432">
        <v>0</v>
      </c>
      <c r="F17" s="431">
        <f t="shared" si="0"/>
        <v>0</v>
      </c>
      <c r="G17" s="431">
        <f t="shared" si="1"/>
        <v>0</v>
      </c>
      <c r="H17" s="432">
        <v>0</v>
      </c>
      <c r="I17" s="432">
        <v>0</v>
      </c>
      <c r="J17" s="432">
        <v>0</v>
      </c>
    </row>
    <row r="18" spans="1:10" x14ac:dyDescent="0.2">
      <c r="A18" s="430">
        <v>15825</v>
      </c>
      <c r="B18" s="430" t="s">
        <v>66</v>
      </c>
      <c r="C18" s="431">
        <v>0</v>
      </c>
      <c r="D18" s="432">
        <v>0</v>
      </c>
      <c r="E18" s="432">
        <v>0</v>
      </c>
      <c r="F18" s="431">
        <f t="shared" si="0"/>
        <v>0</v>
      </c>
      <c r="G18" s="431">
        <f t="shared" si="1"/>
        <v>0</v>
      </c>
      <c r="H18" s="432">
        <v>0</v>
      </c>
      <c r="I18" s="432">
        <v>0</v>
      </c>
      <c r="J18" s="432">
        <v>0</v>
      </c>
    </row>
    <row r="19" spans="1:10" x14ac:dyDescent="0.2">
      <c r="A19" s="430">
        <v>15827</v>
      </c>
      <c r="B19" s="430" t="s">
        <v>16</v>
      </c>
      <c r="C19" s="431">
        <v>0</v>
      </c>
      <c r="D19" s="432">
        <v>0</v>
      </c>
      <c r="E19" s="432">
        <v>0</v>
      </c>
      <c r="F19" s="431">
        <f t="shared" si="0"/>
        <v>0</v>
      </c>
      <c r="G19" s="431">
        <f t="shared" si="1"/>
        <v>0</v>
      </c>
      <c r="H19" s="432">
        <v>0</v>
      </c>
      <c r="I19" s="432">
        <v>0</v>
      </c>
      <c r="J19" s="432">
        <v>0</v>
      </c>
    </row>
    <row r="20" spans="1:10" x14ac:dyDescent="0.2">
      <c r="A20" s="430">
        <v>15828</v>
      </c>
      <c r="B20" s="430" t="s">
        <v>17</v>
      </c>
      <c r="C20" s="431">
        <v>0</v>
      </c>
      <c r="D20" s="432">
        <v>0</v>
      </c>
      <c r="E20" s="432">
        <v>0</v>
      </c>
      <c r="F20" s="431">
        <f t="shared" si="0"/>
        <v>0</v>
      </c>
      <c r="G20" s="431">
        <f t="shared" si="1"/>
        <v>0</v>
      </c>
      <c r="H20" s="432">
        <v>0</v>
      </c>
      <c r="I20" s="432">
        <v>0</v>
      </c>
      <c r="J20" s="432">
        <v>0</v>
      </c>
    </row>
    <row r="21" spans="1:10" x14ac:dyDescent="0.2">
      <c r="A21" s="430">
        <v>15830</v>
      </c>
      <c r="B21" s="430" t="s">
        <v>62</v>
      </c>
      <c r="C21" s="431">
        <v>0</v>
      </c>
      <c r="D21" s="432">
        <v>0</v>
      </c>
      <c r="E21" s="432">
        <v>0</v>
      </c>
      <c r="F21" s="431">
        <f t="shared" si="0"/>
        <v>0</v>
      </c>
      <c r="G21" s="431">
        <f t="shared" si="1"/>
        <v>0</v>
      </c>
      <c r="H21" s="432">
        <v>0</v>
      </c>
      <c r="I21" s="432">
        <v>0</v>
      </c>
      <c r="J21" s="432">
        <v>0</v>
      </c>
    </row>
    <row r="22" spans="1:10" x14ac:dyDescent="0.2">
      <c r="A22" s="430">
        <v>15831</v>
      </c>
      <c r="B22" s="430" t="s">
        <v>334</v>
      </c>
      <c r="C22" s="431">
        <v>0</v>
      </c>
      <c r="D22" s="432">
        <v>0</v>
      </c>
      <c r="E22" s="432">
        <v>0</v>
      </c>
      <c r="F22" s="431">
        <f t="shared" si="0"/>
        <v>0</v>
      </c>
      <c r="G22" s="431">
        <f t="shared" si="1"/>
        <v>0</v>
      </c>
      <c r="H22" s="432">
        <v>0</v>
      </c>
      <c r="I22" s="432">
        <v>0</v>
      </c>
      <c r="J22" s="432">
        <v>0</v>
      </c>
    </row>
    <row r="23" spans="1:10" x14ac:dyDescent="0.2">
      <c r="A23" s="430">
        <v>15833</v>
      </c>
      <c r="B23" s="430" t="s">
        <v>805</v>
      </c>
      <c r="C23" s="431">
        <v>0</v>
      </c>
      <c r="D23" s="432">
        <v>9785</v>
      </c>
      <c r="E23" s="432">
        <v>9785</v>
      </c>
      <c r="F23" s="431">
        <f t="shared" si="0"/>
        <v>0</v>
      </c>
      <c r="G23" s="431">
        <f t="shared" si="1"/>
        <v>9785</v>
      </c>
      <c r="H23" s="432">
        <v>0</v>
      </c>
      <c r="I23" s="432">
        <v>0</v>
      </c>
      <c r="J23" s="432">
        <v>0</v>
      </c>
    </row>
    <row r="24" spans="1:10" x14ac:dyDescent="0.2">
      <c r="A24" s="430">
        <v>15834</v>
      </c>
      <c r="B24" s="430" t="s">
        <v>335</v>
      </c>
      <c r="C24" s="431">
        <v>0</v>
      </c>
      <c r="D24" s="432">
        <v>0</v>
      </c>
      <c r="E24" s="432">
        <v>0</v>
      </c>
      <c r="F24" s="431">
        <f t="shared" si="0"/>
        <v>0</v>
      </c>
      <c r="G24" s="431">
        <f t="shared" si="1"/>
        <v>0</v>
      </c>
      <c r="H24" s="432">
        <v>0</v>
      </c>
      <c r="I24" s="432">
        <v>0</v>
      </c>
      <c r="J24" s="432">
        <v>0</v>
      </c>
    </row>
    <row r="25" spans="1:10" x14ac:dyDescent="0.2">
      <c r="A25" s="430">
        <v>15835</v>
      </c>
      <c r="B25" s="430" t="s">
        <v>336</v>
      </c>
      <c r="C25" s="431">
        <v>0</v>
      </c>
      <c r="D25" s="432">
        <v>0</v>
      </c>
      <c r="E25" s="432">
        <v>0</v>
      </c>
      <c r="F25" s="431">
        <f t="shared" si="0"/>
        <v>0</v>
      </c>
      <c r="G25" s="431">
        <f t="shared" si="1"/>
        <v>0</v>
      </c>
      <c r="H25" s="432">
        <v>0</v>
      </c>
      <c r="I25" s="432">
        <v>0</v>
      </c>
      <c r="J25" s="432">
        <v>0</v>
      </c>
    </row>
    <row r="26" spans="1:10" x14ac:dyDescent="0.2">
      <c r="A26" s="430">
        <v>15836</v>
      </c>
      <c r="B26" s="430" t="s">
        <v>337</v>
      </c>
      <c r="C26" s="431">
        <v>0</v>
      </c>
      <c r="D26" s="432">
        <v>0</v>
      </c>
      <c r="E26" s="432">
        <v>0</v>
      </c>
      <c r="F26" s="431">
        <f t="shared" si="0"/>
        <v>0</v>
      </c>
      <c r="G26" s="431">
        <f t="shared" si="1"/>
        <v>0</v>
      </c>
      <c r="H26" s="432">
        <v>0</v>
      </c>
      <c r="I26" s="432">
        <v>0</v>
      </c>
      <c r="J26" s="432">
        <v>0</v>
      </c>
    </row>
    <row r="27" spans="1:10" x14ac:dyDescent="0.2">
      <c r="A27" s="430">
        <v>15838</v>
      </c>
      <c r="B27" s="430" t="s">
        <v>468</v>
      </c>
      <c r="C27" s="431">
        <v>0</v>
      </c>
      <c r="D27" s="432">
        <v>0</v>
      </c>
      <c r="E27" s="432">
        <v>0</v>
      </c>
      <c r="F27" s="431">
        <f t="shared" si="0"/>
        <v>0</v>
      </c>
      <c r="G27" s="431">
        <f t="shared" si="1"/>
        <v>0</v>
      </c>
      <c r="H27" s="432">
        <v>0</v>
      </c>
      <c r="I27" s="432">
        <v>0</v>
      </c>
      <c r="J27" s="432">
        <v>0</v>
      </c>
    </row>
    <row r="28" spans="1:10" x14ac:dyDescent="0.2">
      <c r="A28" s="430">
        <v>15839</v>
      </c>
      <c r="B28" s="430" t="s">
        <v>667</v>
      </c>
      <c r="C28" s="431">
        <v>0</v>
      </c>
      <c r="D28" s="432">
        <v>0</v>
      </c>
      <c r="E28" s="432">
        <v>0</v>
      </c>
      <c r="F28" s="431">
        <f t="shared" si="0"/>
        <v>0</v>
      </c>
      <c r="G28" s="431">
        <f t="shared" si="1"/>
        <v>0</v>
      </c>
      <c r="H28" s="432">
        <v>0</v>
      </c>
      <c r="I28" s="432">
        <v>0</v>
      </c>
      <c r="J28" s="432">
        <v>0</v>
      </c>
    </row>
    <row r="29" spans="1:10" x14ac:dyDescent="0.2">
      <c r="A29" s="430">
        <v>21803</v>
      </c>
      <c r="B29" s="430" t="s">
        <v>803</v>
      </c>
      <c r="C29" s="431">
        <v>36465</v>
      </c>
      <c r="D29" s="432">
        <v>28807</v>
      </c>
      <c r="E29" s="431"/>
      <c r="F29" s="431">
        <f t="shared" si="0"/>
        <v>28807</v>
      </c>
      <c r="G29" s="431">
        <f t="shared" si="1"/>
        <v>36465</v>
      </c>
      <c r="H29" s="432">
        <v>0</v>
      </c>
      <c r="I29" s="432">
        <v>0</v>
      </c>
      <c r="J29" s="432">
        <v>0</v>
      </c>
    </row>
    <row r="30" spans="1:10" x14ac:dyDescent="0.2">
      <c r="A30" s="430">
        <v>21805</v>
      </c>
      <c r="B30" s="430" t="s">
        <v>338</v>
      </c>
      <c r="C30" s="431">
        <v>14935.2</v>
      </c>
      <c r="D30" s="432">
        <v>14487</v>
      </c>
      <c r="E30" s="431"/>
      <c r="F30" s="431">
        <f t="shared" si="0"/>
        <v>14487</v>
      </c>
      <c r="G30" s="431">
        <f t="shared" si="1"/>
        <v>14935.2</v>
      </c>
      <c r="H30" s="432">
        <v>0</v>
      </c>
      <c r="I30" s="432">
        <v>0</v>
      </c>
      <c r="J30" s="432">
        <v>0</v>
      </c>
    </row>
    <row r="31" spans="1:10" x14ac:dyDescent="0.2">
      <c r="A31" s="430">
        <v>43801</v>
      </c>
      <c r="B31" s="430" t="s">
        <v>339</v>
      </c>
      <c r="C31" s="431">
        <v>0</v>
      </c>
      <c r="D31" s="432">
        <v>0</v>
      </c>
      <c r="E31" s="432">
        <v>0</v>
      </c>
      <c r="F31" s="431">
        <f t="shared" si="0"/>
        <v>0</v>
      </c>
      <c r="G31" s="431">
        <f t="shared" si="1"/>
        <v>0</v>
      </c>
      <c r="H31" s="432">
        <v>0</v>
      </c>
      <c r="I31" s="432">
        <v>0</v>
      </c>
      <c r="J31" s="432">
        <v>0</v>
      </c>
    </row>
    <row r="32" spans="1:10" x14ac:dyDescent="0.2">
      <c r="A32" s="430">
        <v>43802</v>
      </c>
      <c r="B32" s="430" t="s">
        <v>818</v>
      </c>
      <c r="C32" s="431">
        <v>0</v>
      </c>
      <c r="D32" s="432">
        <v>0</v>
      </c>
      <c r="E32" s="432">
        <v>0</v>
      </c>
      <c r="F32" s="431">
        <f t="shared" si="0"/>
        <v>0</v>
      </c>
      <c r="G32" s="431">
        <f t="shared" si="1"/>
        <v>0</v>
      </c>
      <c r="H32" s="432">
        <v>0</v>
      </c>
      <c r="I32" s="432">
        <v>0</v>
      </c>
      <c r="J32" s="432">
        <v>0</v>
      </c>
    </row>
    <row r="33" spans="1:10" x14ac:dyDescent="0.2">
      <c r="A33" s="430">
        <v>46802</v>
      </c>
      <c r="B33" s="430" t="s">
        <v>43</v>
      </c>
      <c r="C33" s="431">
        <v>0</v>
      </c>
      <c r="D33" s="432">
        <v>0</v>
      </c>
      <c r="E33" s="432">
        <v>0</v>
      </c>
      <c r="F33" s="431">
        <f t="shared" si="0"/>
        <v>0</v>
      </c>
      <c r="G33" s="431">
        <f t="shared" si="1"/>
        <v>0</v>
      </c>
      <c r="H33" s="432">
        <v>0</v>
      </c>
      <c r="I33" s="432">
        <v>0</v>
      </c>
      <c r="J33" s="432">
        <v>0</v>
      </c>
    </row>
    <row r="34" spans="1:10" x14ac:dyDescent="0.2">
      <c r="A34" s="430">
        <v>57802</v>
      </c>
      <c r="B34" s="430" t="s">
        <v>806</v>
      </c>
      <c r="C34" s="431">
        <v>0</v>
      </c>
      <c r="D34" s="432">
        <v>138000</v>
      </c>
      <c r="E34" s="432">
        <v>138000</v>
      </c>
      <c r="F34" s="431">
        <f t="shared" si="0"/>
        <v>0</v>
      </c>
      <c r="G34" s="431">
        <f t="shared" si="1"/>
        <v>138000</v>
      </c>
      <c r="H34" s="432">
        <v>0</v>
      </c>
      <c r="I34" s="432">
        <v>0</v>
      </c>
      <c r="J34" s="432">
        <v>0</v>
      </c>
    </row>
    <row r="35" spans="1:10" x14ac:dyDescent="0.2">
      <c r="A35" s="430">
        <v>57803</v>
      </c>
      <c r="B35" s="430" t="s">
        <v>407</v>
      </c>
      <c r="C35" s="431">
        <v>0</v>
      </c>
      <c r="D35" s="432">
        <v>0</v>
      </c>
      <c r="E35" s="432">
        <v>0</v>
      </c>
      <c r="F35" s="431">
        <f t="shared" ref="F35:F66" si="2">D35-E35</f>
        <v>0</v>
      </c>
      <c r="G35" s="431">
        <f t="shared" ref="G35:G66" si="3">C35*1+E35</f>
        <v>0</v>
      </c>
      <c r="H35" s="432">
        <v>0</v>
      </c>
      <c r="I35" s="432">
        <v>0</v>
      </c>
      <c r="J35" s="432">
        <v>0</v>
      </c>
    </row>
    <row r="36" spans="1:10" x14ac:dyDescent="0.2">
      <c r="A36" s="430">
        <v>57804</v>
      </c>
      <c r="B36" s="430" t="s">
        <v>340</v>
      </c>
      <c r="C36" s="431">
        <v>0</v>
      </c>
      <c r="D36" s="432">
        <v>974565</v>
      </c>
      <c r="E36" s="432">
        <v>974565</v>
      </c>
      <c r="F36" s="431">
        <f t="shared" si="2"/>
        <v>0</v>
      </c>
      <c r="G36" s="431">
        <f t="shared" si="3"/>
        <v>974565</v>
      </c>
      <c r="H36" s="432">
        <v>0</v>
      </c>
      <c r="I36" s="432">
        <v>0</v>
      </c>
      <c r="J36" s="432">
        <v>0</v>
      </c>
    </row>
    <row r="37" spans="1:10" x14ac:dyDescent="0.2">
      <c r="A37" s="430">
        <v>57805</v>
      </c>
      <c r="B37" s="430" t="s">
        <v>341</v>
      </c>
      <c r="C37" s="431">
        <v>0</v>
      </c>
      <c r="D37" s="432">
        <v>0</v>
      </c>
      <c r="E37" s="432">
        <v>0</v>
      </c>
      <c r="F37" s="431">
        <f t="shared" si="2"/>
        <v>0</v>
      </c>
      <c r="G37" s="431">
        <f t="shared" si="3"/>
        <v>0</v>
      </c>
      <c r="H37" s="432">
        <v>0</v>
      </c>
      <c r="I37" s="432">
        <v>0</v>
      </c>
      <c r="J37" s="432">
        <v>0</v>
      </c>
    </row>
    <row r="38" spans="1:10" x14ac:dyDescent="0.2">
      <c r="A38" s="430">
        <v>57806</v>
      </c>
      <c r="B38" s="430" t="s">
        <v>342</v>
      </c>
      <c r="C38" s="431">
        <v>0</v>
      </c>
      <c r="D38" s="432">
        <v>0</v>
      </c>
      <c r="E38" s="432">
        <v>0</v>
      </c>
      <c r="F38" s="431">
        <f t="shared" si="2"/>
        <v>0</v>
      </c>
      <c r="G38" s="431">
        <f t="shared" si="3"/>
        <v>0</v>
      </c>
      <c r="H38" s="432">
        <v>0</v>
      </c>
      <c r="I38" s="432">
        <v>0</v>
      </c>
      <c r="J38" s="432">
        <v>0</v>
      </c>
    </row>
    <row r="39" spans="1:10" x14ac:dyDescent="0.2">
      <c r="A39" s="430">
        <v>57807</v>
      </c>
      <c r="B39" s="430" t="s">
        <v>19</v>
      </c>
      <c r="C39" s="431">
        <v>0</v>
      </c>
      <c r="D39" s="432">
        <v>0</v>
      </c>
      <c r="E39" s="432">
        <v>0</v>
      </c>
      <c r="F39" s="431">
        <f t="shared" si="2"/>
        <v>0</v>
      </c>
      <c r="G39" s="431">
        <f t="shared" si="3"/>
        <v>0</v>
      </c>
      <c r="H39" s="432">
        <v>0</v>
      </c>
      <c r="I39" s="432">
        <v>0</v>
      </c>
      <c r="J39" s="432">
        <v>0</v>
      </c>
    </row>
    <row r="40" spans="1:10" x14ac:dyDescent="0.2">
      <c r="A40" s="430">
        <v>57808</v>
      </c>
      <c r="B40" s="430" t="s">
        <v>44</v>
      </c>
      <c r="C40" s="431">
        <v>306270</v>
      </c>
      <c r="D40" s="432">
        <v>241953</v>
      </c>
      <c r="E40" s="431"/>
      <c r="F40" s="431">
        <f t="shared" si="2"/>
        <v>241953</v>
      </c>
      <c r="G40" s="431">
        <f t="shared" si="3"/>
        <v>306270</v>
      </c>
      <c r="H40" s="432">
        <v>0</v>
      </c>
      <c r="I40" s="432">
        <v>0</v>
      </c>
      <c r="J40" s="432">
        <v>0</v>
      </c>
    </row>
    <row r="41" spans="1:10" x14ac:dyDescent="0.2">
      <c r="A41" s="430">
        <v>57809</v>
      </c>
      <c r="B41" s="430" t="s">
        <v>343</v>
      </c>
      <c r="C41" s="431">
        <v>0</v>
      </c>
      <c r="D41" s="432">
        <v>0</v>
      </c>
      <c r="E41" s="432">
        <v>0</v>
      </c>
      <c r="F41" s="431">
        <f t="shared" si="2"/>
        <v>0</v>
      </c>
      <c r="G41" s="431">
        <f t="shared" si="3"/>
        <v>0</v>
      </c>
      <c r="H41" s="432">
        <v>0</v>
      </c>
      <c r="I41" s="432">
        <v>0</v>
      </c>
      <c r="J41" s="432">
        <v>0</v>
      </c>
    </row>
    <row r="42" spans="1:10" x14ac:dyDescent="0.2">
      <c r="A42" s="430">
        <v>57810</v>
      </c>
      <c r="B42" s="430" t="s">
        <v>21</v>
      </c>
      <c r="C42" s="431">
        <v>0</v>
      </c>
      <c r="D42" s="432">
        <v>0</v>
      </c>
      <c r="E42" s="432">
        <v>0</v>
      </c>
      <c r="F42" s="431">
        <f t="shared" si="2"/>
        <v>0</v>
      </c>
      <c r="G42" s="431">
        <f t="shared" si="3"/>
        <v>0</v>
      </c>
      <c r="H42" s="432">
        <v>0</v>
      </c>
      <c r="I42" s="432">
        <v>0</v>
      </c>
      <c r="J42" s="432">
        <v>0</v>
      </c>
    </row>
    <row r="43" spans="1:10" x14ac:dyDescent="0.2">
      <c r="A43" s="430">
        <v>57813</v>
      </c>
      <c r="B43" s="430" t="s">
        <v>22</v>
      </c>
      <c r="C43" s="431">
        <v>0</v>
      </c>
      <c r="D43" s="432">
        <v>0</v>
      </c>
      <c r="E43" s="432">
        <v>0</v>
      </c>
      <c r="F43" s="431">
        <f t="shared" si="2"/>
        <v>0</v>
      </c>
      <c r="G43" s="431">
        <f t="shared" si="3"/>
        <v>0</v>
      </c>
      <c r="H43" s="432">
        <v>0</v>
      </c>
      <c r="I43" s="432">
        <v>0</v>
      </c>
      <c r="J43" s="432">
        <v>0</v>
      </c>
    </row>
    <row r="44" spans="1:10" x14ac:dyDescent="0.2">
      <c r="A44" s="430">
        <v>57814</v>
      </c>
      <c r="B44" s="430" t="s">
        <v>344</v>
      </c>
      <c r="C44" s="431">
        <v>68760</v>
      </c>
      <c r="D44" s="432">
        <v>46757</v>
      </c>
      <c r="E44" s="431"/>
      <c r="F44" s="431">
        <f t="shared" si="2"/>
        <v>46757</v>
      </c>
      <c r="G44" s="431">
        <f t="shared" si="3"/>
        <v>68760</v>
      </c>
      <c r="H44" s="432">
        <v>0</v>
      </c>
      <c r="I44" s="432">
        <v>0</v>
      </c>
      <c r="J44" s="432">
        <v>0</v>
      </c>
    </row>
    <row r="45" spans="1:10" x14ac:dyDescent="0.2">
      <c r="A45" s="430">
        <v>57816</v>
      </c>
      <c r="B45" s="430" t="s">
        <v>482</v>
      </c>
      <c r="C45" s="431">
        <v>2560</v>
      </c>
      <c r="D45" s="432">
        <v>1741</v>
      </c>
      <c r="E45" s="431"/>
      <c r="F45" s="431">
        <f t="shared" si="2"/>
        <v>1741</v>
      </c>
      <c r="G45" s="431">
        <f t="shared" si="3"/>
        <v>2560</v>
      </c>
      <c r="H45" s="432">
        <v>0</v>
      </c>
      <c r="I45" s="432">
        <v>0</v>
      </c>
      <c r="J45" s="432">
        <v>0</v>
      </c>
    </row>
    <row r="46" spans="1:10" x14ac:dyDescent="0.2">
      <c r="A46" s="430">
        <v>57819</v>
      </c>
      <c r="B46" s="430" t="s">
        <v>45</v>
      </c>
      <c r="C46" s="431">
        <v>61020</v>
      </c>
      <c r="D46" s="432">
        <v>41494</v>
      </c>
      <c r="E46" s="431"/>
      <c r="F46" s="431">
        <f t="shared" si="2"/>
        <v>41494</v>
      </c>
      <c r="G46" s="431">
        <f t="shared" si="3"/>
        <v>61020</v>
      </c>
      <c r="H46" s="432">
        <v>0</v>
      </c>
      <c r="I46" s="432">
        <v>0</v>
      </c>
      <c r="J46" s="432">
        <v>0</v>
      </c>
    </row>
    <row r="47" spans="1:10" x14ac:dyDescent="0.2">
      <c r="A47" s="430">
        <v>57827</v>
      </c>
      <c r="B47" s="430" t="s">
        <v>23</v>
      </c>
      <c r="C47" s="431">
        <v>0</v>
      </c>
      <c r="D47" s="432">
        <v>0</v>
      </c>
      <c r="E47" s="432">
        <v>0</v>
      </c>
      <c r="F47" s="431">
        <f t="shared" si="2"/>
        <v>0</v>
      </c>
      <c r="G47" s="431">
        <f t="shared" si="3"/>
        <v>0</v>
      </c>
      <c r="H47" s="432">
        <v>0</v>
      </c>
      <c r="I47" s="432">
        <v>0</v>
      </c>
      <c r="J47" s="432">
        <v>0</v>
      </c>
    </row>
    <row r="48" spans="1:10" x14ac:dyDescent="0.2">
      <c r="A48" s="430">
        <v>57828</v>
      </c>
      <c r="B48" s="430" t="s">
        <v>88</v>
      </c>
      <c r="C48" s="431">
        <v>0</v>
      </c>
      <c r="D48" s="432">
        <v>45029</v>
      </c>
      <c r="E48" s="432">
        <v>45029</v>
      </c>
      <c r="F48" s="431">
        <f t="shared" si="2"/>
        <v>0</v>
      </c>
      <c r="G48" s="431">
        <f t="shared" si="3"/>
        <v>45029</v>
      </c>
      <c r="H48" s="432">
        <v>0</v>
      </c>
      <c r="I48" s="432">
        <v>0</v>
      </c>
      <c r="J48" s="432">
        <v>0</v>
      </c>
    </row>
    <row r="49" spans="1:10" x14ac:dyDescent="0.2">
      <c r="A49" s="430">
        <v>57829</v>
      </c>
      <c r="B49" s="430" t="s">
        <v>46</v>
      </c>
      <c r="C49" s="431">
        <v>0</v>
      </c>
      <c r="D49" s="432">
        <v>0</v>
      </c>
      <c r="E49" s="432">
        <v>0</v>
      </c>
      <c r="F49" s="431">
        <f t="shared" si="2"/>
        <v>0</v>
      </c>
      <c r="G49" s="431">
        <f t="shared" si="3"/>
        <v>0</v>
      </c>
      <c r="H49" s="432">
        <v>0</v>
      </c>
      <c r="I49" s="432">
        <v>0</v>
      </c>
      <c r="J49" s="432">
        <v>0</v>
      </c>
    </row>
    <row r="50" spans="1:10" x14ac:dyDescent="0.2">
      <c r="A50" s="430">
        <v>57830</v>
      </c>
      <c r="B50" s="430" t="s">
        <v>47</v>
      </c>
      <c r="C50" s="431">
        <v>0</v>
      </c>
      <c r="D50" s="432">
        <v>0</v>
      </c>
      <c r="E50" s="432">
        <v>0</v>
      </c>
      <c r="F50" s="431">
        <f t="shared" si="2"/>
        <v>0</v>
      </c>
      <c r="G50" s="431">
        <f t="shared" si="3"/>
        <v>0</v>
      </c>
      <c r="H50" s="432">
        <v>0</v>
      </c>
      <c r="I50" s="432">
        <v>0</v>
      </c>
      <c r="J50" s="432">
        <v>0</v>
      </c>
    </row>
    <row r="51" spans="1:10" x14ac:dyDescent="0.2">
      <c r="A51" s="430">
        <v>57831</v>
      </c>
      <c r="B51" s="430" t="s">
        <v>48</v>
      </c>
      <c r="C51" s="431">
        <v>71478</v>
      </c>
      <c r="D51" s="432"/>
      <c r="E51" s="431"/>
      <c r="F51" s="431">
        <f t="shared" si="2"/>
        <v>0</v>
      </c>
      <c r="G51" s="431">
        <f t="shared" si="3"/>
        <v>71478</v>
      </c>
      <c r="H51" s="432"/>
      <c r="I51" s="432"/>
      <c r="J51" s="432"/>
    </row>
    <row r="52" spans="1:10" x14ac:dyDescent="0.2">
      <c r="A52" s="430">
        <v>57833</v>
      </c>
      <c r="B52" s="430" t="s">
        <v>49</v>
      </c>
      <c r="C52" s="431">
        <v>0</v>
      </c>
      <c r="D52" s="432">
        <v>0</v>
      </c>
      <c r="E52" s="432">
        <v>0</v>
      </c>
      <c r="F52" s="431">
        <f t="shared" si="2"/>
        <v>0</v>
      </c>
      <c r="G52" s="431">
        <f t="shared" si="3"/>
        <v>0</v>
      </c>
      <c r="H52" s="432">
        <v>0</v>
      </c>
      <c r="I52" s="432">
        <v>0</v>
      </c>
      <c r="J52" s="432">
        <v>0</v>
      </c>
    </row>
    <row r="53" spans="1:10" x14ac:dyDescent="0.2">
      <c r="A53" s="430">
        <v>57834</v>
      </c>
      <c r="B53" s="430" t="s">
        <v>345</v>
      </c>
      <c r="C53" s="431">
        <v>39600</v>
      </c>
      <c r="D53" s="432">
        <v>87849</v>
      </c>
      <c r="E53" s="431">
        <v>60921</v>
      </c>
      <c r="F53" s="431">
        <f t="shared" si="2"/>
        <v>26928</v>
      </c>
      <c r="G53" s="431">
        <f t="shared" si="3"/>
        <v>100521</v>
      </c>
      <c r="H53" s="432">
        <v>0</v>
      </c>
      <c r="I53" s="432">
        <v>0</v>
      </c>
      <c r="J53" s="432">
        <v>0</v>
      </c>
    </row>
    <row r="54" spans="1:10" x14ac:dyDescent="0.2">
      <c r="A54" s="430">
        <v>57835</v>
      </c>
      <c r="B54" s="430" t="s">
        <v>50</v>
      </c>
      <c r="C54" s="431">
        <v>0</v>
      </c>
      <c r="D54" s="432">
        <v>0</v>
      </c>
      <c r="E54" s="432">
        <v>0</v>
      </c>
      <c r="F54" s="431">
        <f t="shared" si="2"/>
        <v>0</v>
      </c>
      <c r="G54" s="431">
        <f t="shared" si="3"/>
        <v>0</v>
      </c>
      <c r="H54" s="432">
        <v>0</v>
      </c>
      <c r="I54" s="432">
        <v>0</v>
      </c>
      <c r="J54" s="432">
        <v>0</v>
      </c>
    </row>
    <row r="55" spans="1:10" x14ac:dyDescent="0.2">
      <c r="A55" s="430">
        <v>57836</v>
      </c>
      <c r="B55" s="430" t="s">
        <v>25</v>
      </c>
      <c r="C55" s="431">
        <v>0</v>
      </c>
      <c r="D55" s="432">
        <v>0</v>
      </c>
      <c r="E55" s="432">
        <v>0</v>
      </c>
      <c r="F55" s="431">
        <f t="shared" si="2"/>
        <v>0</v>
      </c>
      <c r="G55" s="431">
        <f t="shared" si="3"/>
        <v>0</v>
      </c>
      <c r="H55" s="432">
        <v>0</v>
      </c>
      <c r="I55" s="432">
        <v>0</v>
      </c>
      <c r="J55" s="432">
        <v>0</v>
      </c>
    </row>
    <row r="56" spans="1:10" x14ac:dyDescent="0.2">
      <c r="A56" s="430">
        <v>57839</v>
      </c>
      <c r="B56" s="430" t="s">
        <v>63</v>
      </c>
      <c r="C56" s="431">
        <v>0</v>
      </c>
      <c r="D56" s="432">
        <v>0</v>
      </c>
      <c r="E56" s="432">
        <v>0</v>
      </c>
      <c r="F56" s="431">
        <f t="shared" si="2"/>
        <v>0</v>
      </c>
      <c r="G56" s="431">
        <f t="shared" si="3"/>
        <v>0</v>
      </c>
      <c r="H56" s="432">
        <v>0</v>
      </c>
      <c r="I56" s="432">
        <v>0</v>
      </c>
      <c r="J56" s="432">
        <v>0</v>
      </c>
    </row>
    <row r="57" spans="1:10" x14ac:dyDescent="0.2">
      <c r="A57" s="430">
        <v>57840</v>
      </c>
      <c r="B57" s="430" t="s">
        <v>347</v>
      </c>
      <c r="C57" s="431">
        <v>0</v>
      </c>
      <c r="D57" s="432">
        <v>0</v>
      </c>
      <c r="E57" s="432">
        <v>0</v>
      </c>
      <c r="F57" s="431">
        <f t="shared" si="2"/>
        <v>0</v>
      </c>
      <c r="G57" s="431">
        <f t="shared" si="3"/>
        <v>0</v>
      </c>
      <c r="H57" s="432">
        <v>0</v>
      </c>
      <c r="I57" s="432">
        <v>0</v>
      </c>
      <c r="J57" s="432">
        <v>0</v>
      </c>
    </row>
    <row r="58" spans="1:10" x14ac:dyDescent="0.2">
      <c r="A58" s="430">
        <v>57841</v>
      </c>
      <c r="B58" s="430" t="s">
        <v>348</v>
      </c>
      <c r="C58" s="431">
        <v>0</v>
      </c>
      <c r="D58" s="432">
        <v>0</v>
      </c>
      <c r="E58" s="432">
        <v>0</v>
      </c>
      <c r="F58" s="431">
        <f t="shared" si="2"/>
        <v>0</v>
      </c>
      <c r="G58" s="431">
        <f t="shared" si="3"/>
        <v>0</v>
      </c>
      <c r="H58" s="432">
        <v>0</v>
      </c>
      <c r="I58" s="432">
        <v>0</v>
      </c>
      <c r="J58" s="432">
        <v>0</v>
      </c>
    </row>
    <row r="59" spans="1:10" x14ac:dyDescent="0.2">
      <c r="A59" s="430">
        <v>57844</v>
      </c>
      <c r="B59" s="430" t="s">
        <v>349</v>
      </c>
      <c r="C59" s="431">
        <v>103547.4</v>
      </c>
      <c r="D59" s="432">
        <v>91122</v>
      </c>
      <c r="E59" s="431"/>
      <c r="F59" s="431">
        <f t="shared" si="2"/>
        <v>91122</v>
      </c>
      <c r="G59" s="431">
        <f t="shared" si="3"/>
        <v>103547.4</v>
      </c>
      <c r="H59" s="432">
        <v>0</v>
      </c>
      <c r="I59" s="432">
        <v>0</v>
      </c>
      <c r="J59" s="432">
        <v>0</v>
      </c>
    </row>
    <row r="60" spans="1:10" x14ac:dyDescent="0.2">
      <c r="A60" s="430">
        <v>57845</v>
      </c>
      <c r="B60" s="430" t="s">
        <v>124</v>
      </c>
      <c r="C60" s="431">
        <v>0</v>
      </c>
      <c r="D60" s="432">
        <v>0</v>
      </c>
      <c r="E60" s="432">
        <v>0</v>
      </c>
      <c r="F60" s="431">
        <f t="shared" si="2"/>
        <v>0</v>
      </c>
      <c r="G60" s="431">
        <f t="shared" si="3"/>
        <v>0</v>
      </c>
      <c r="H60" s="432">
        <v>0</v>
      </c>
      <c r="I60" s="432">
        <v>0</v>
      </c>
      <c r="J60" s="432">
        <v>0</v>
      </c>
    </row>
    <row r="61" spans="1:10" x14ac:dyDescent="0.2">
      <c r="A61" s="430">
        <v>57846</v>
      </c>
      <c r="B61" s="430" t="s">
        <v>125</v>
      </c>
      <c r="C61" s="431">
        <v>0</v>
      </c>
      <c r="D61" s="432">
        <v>0</v>
      </c>
      <c r="E61" s="432">
        <v>0</v>
      </c>
      <c r="F61" s="431">
        <f t="shared" si="2"/>
        <v>0</v>
      </c>
      <c r="G61" s="431">
        <f t="shared" si="3"/>
        <v>0</v>
      </c>
      <c r="H61" s="432">
        <v>0</v>
      </c>
      <c r="I61" s="432">
        <v>0</v>
      </c>
      <c r="J61" s="432">
        <v>0</v>
      </c>
    </row>
    <row r="62" spans="1:10" x14ac:dyDescent="0.2">
      <c r="A62" s="430">
        <v>57847</v>
      </c>
      <c r="B62" s="430" t="s">
        <v>350</v>
      </c>
      <c r="C62" s="431">
        <v>0</v>
      </c>
      <c r="D62" s="432">
        <v>0</v>
      </c>
      <c r="E62" s="432">
        <v>0</v>
      </c>
      <c r="F62" s="431">
        <f t="shared" si="2"/>
        <v>0</v>
      </c>
      <c r="G62" s="431">
        <f t="shared" si="3"/>
        <v>0</v>
      </c>
      <c r="H62" s="432">
        <v>0</v>
      </c>
      <c r="I62" s="432">
        <v>0</v>
      </c>
      <c r="J62" s="432">
        <v>0</v>
      </c>
    </row>
    <row r="63" spans="1:10" x14ac:dyDescent="0.2">
      <c r="A63" s="430">
        <v>57848</v>
      </c>
      <c r="B63" s="430" t="s">
        <v>807</v>
      </c>
      <c r="C63" s="431">
        <v>0</v>
      </c>
      <c r="D63" s="432">
        <v>12790</v>
      </c>
      <c r="E63" s="432">
        <v>12790</v>
      </c>
      <c r="F63" s="431">
        <f t="shared" si="2"/>
        <v>0</v>
      </c>
      <c r="G63" s="431">
        <f t="shared" si="3"/>
        <v>12790</v>
      </c>
      <c r="H63" s="432">
        <v>0</v>
      </c>
      <c r="I63" s="432">
        <v>0</v>
      </c>
      <c r="J63" s="432">
        <v>0</v>
      </c>
    </row>
    <row r="64" spans="1:10" x14ac:dyDescent="0.2">
      <c r="A64" s="430">
        <v>57850</v>
      </c>
      <c r="B64" s="430" t="s">
        <v>411</v>
      </c>
      <c r="C64" s="431">
        <v>0</v>
      </c>
      <c r="D64" s="432">
        <v>0</v>
      </c>
      <c r="E64" s="432">
        <v>0</v>
      </c>
      <c r="F64" s="431">
        <f t="shared" si="2"/>
        <v>0</v>
      </c>
      <c r="G64" s="431">
        <f t="shared" si="3"/>
        <v>0</v>
      </c>
      <c r="H64" s="432">
        <v>0</v>
      </c>
      <c r="I64" s="432">
        <v>0</v>
      </c>
      <c r="J64" s="432">
        <v>0</v>
      </c>
    </row>
    <row r="65" spans="1:10" x14ac:dyDescent="0.2">
      <c r="A65" s="430">
        <v>57851</v>
      </c>
      <c r="B65" s="430" t="s">
        <v>819</v>
      </c>
      <c r="C65" s="431">
        <v>0</v>
      </c>
      <c r="D65" s="432">
        <v>0</v>
      </c>
      <c r="E65" s="432">
        <v>0</v>
      </c>
      <c r="F65" s="431">
        <f t="shared" si="2"/>
        <v>0</v>
      </c>
      <c r="G65" s="431">
        <f t="shared" si="3"/>
        <v>0</v>
      </c>
      <c r="H65" s="432">
        <v>0</v>
      </c>
      <c r="I65" s="432">
        <v>0</v>
      </c>
      <c r="J65" s="432">
        <v>0</v>
      </c>
    </row>
    <row r="66" spans="1:10" x14ac:dyDescent="0.2">
      <c r="A66" s="430">
        <v>61802</v>
      </c>
      <c r="B66" s="430" t="s">
        <v>352</v>
      </c>
      <c r="C66" s="431">
        <v>58235</v>
      </c>
      <c r="D66" s="432">
        <v>51247</v>
      </c>
      <c r="E66" s="431"/>
      <c r="F66" s="431">
        <f t="shared" si="2"/>
        <v>51247</v>
      </c>
      <c r="G66" s="431">
        <f t="shared" si="3"/>
        <v>58235</v>
      </c>
      <c r="H66" s="432">
        <v>0</v>
      </c>
      <c r="I66" s="432">
        <v>0</v>
      </c>
      <c r="J66" s="432">
        <v>0</v>
      </c>
    </row>
    <row r="67" spans="1:10" x14ac:dyDescent="0.2">
      <c r="A67" s="430">
        <v>61804</v>
      </c>
      <c r="B67" s="430" t="s">
        <v>353</v>
      </c>
      <c r="C67" s="431">
        <v>0</v>
      </c>
      <c r="D67" s="432">
        <v>0</v>
      </c>
      <c r="E67" s="432">
        <v>0</v>
      </c>
      <c r="F67" s="431">
        <f t="shared" ref="F67:F98" si="4">D67-E67</f>
        <v>0</v>
      </c>
      <c r="G67" s="431">
        <f t="shared" ref="G67:G98" si="5">C67*1+E67</f>
        <v>0</v>
      </c>
      <c r="H67" s="432">
        <v>0</v>
      </c>
      <c r="I67" s="432">
        <v>0</v>
      </c>
      <c r="J67" s="432">
        <v>0</v>
      </c>
    </row>
    <row r="68" spans="1:10" x14ac:dyDescent="0.2">
      <c r="A68" s="430">
        <v>61805</v>
      </c>
      <c r="B68" s="430" t="s">
        <v>412</v>
      </c>
      <c r="C68" s="431">
        <v>0</v>
      </c>
      <c r="D68" s="432">
        <v>0</v>
      </c>
      <c r="E68" s="432">
        <v>0</v>
      </c>
      <c r="F68" s="431">
        <f t="shared" si="4"/>
        <v>0</v>
      </c>
      <c r="G68" s="431">
        <f t="shared" si="5"/>
        <v>0</v>
      </c>
      <c r="H68" s="432">
        <v>0</v>
      </c>
      <c r="I68" s="432">
        <v>0</v>
      </c>
      <c r="J68" s="432">
        <v>0</v>
      </c>
    </row>
    <row r="69" spans="1:10" x14ac:dyDescent="0.2">
      <c r="A69" s="430">
        <v>68802</v>
      </c>
      <c r="B69" s="430" t="s">
        <v>354</v>
      </c>
      <c r="C69" s="431">
        <v>0</v>
      </c>
      <c r="D69" s="432">
        <v>0</v>
      </c>
      <c r="E69" s="432">
        <v>0</v>
      </c>
      <c r="F69" s="431">
        <f t="shared" si="4"/>
        <v>0</v>
      </c>
      <c r="G69" s="431">
        <f t="shared" si="5"/>
        <v>0</v>
      </c>
      <c r="H69" s="432">
        <v>0</v>
      </c>
      <c r="I69" s="432">
        <v>0</v>
      </c>
      <c r="J69" s="432">
        <v>0</v>
      </c>
    </row>
    <row r="70" spans="1:10" x14ac:dyDescent="0.2">
      <c r="A70" s="430">
        <v>68803</v>
      </c>
      <c r="B70" s="430" t="s">
        <v>355</v>
      </c>
      <c r="C70" s="431">
        <v>0</v>
      </c>
      <c r="D70" s="432">
        <v>0</v>
      </c>
      <c r="E70" s="432">
        <v>0</v>
      </c>
      <c r="F70" s="431">
        <f t="shared" si="4"/>
        <v>0</v>
      </c>
      <c r="G70" s="431">
        <f t="shared" si="5"/>
        <v>0</v>
      </c>
      <c r="H70" s="432">
        <v>0</v>
      </c>
      <c r="I70" s="432">
        <v>0</v>
      </c>
      <c r="J70" s="432">
        <v>0</v>
      </c>
    </row>
    <row r="71" spans="1:10" x14ac:dyDescent="0.2">
      <c r="A71" s="430">
        <v>70801</v>
      </c>
      <c r="B71" s="430" t="s">
        <v>51</v>
      </c>
      <c r="C71" s="431">
        <v>47232</v>
      </c>
      <c r="D71" s="432">
        <v>41564</v>
      </c>
      <c r="E71" s="431"/>
      <c r="F71" s="431">
        <f t="shared" si="4"/>
        <v>41564</v>
      </c>
      <c r="G71" s="431">
        <f t="shared" si="5"/>
        <v>47232</v>
      </c>
      <c r="H71" s="432">
        <v>3564</v>
      </c>
      <c r="I71" s="432">
        <v>0</v>
      </c>
      <c r="J71" s="432">
        <v>0</v>
      </c>
    </row>
    <row r="72" spans="1:10" x14ac:dyDescent="0.2">
      <c r="A72" s="430">
        <v>71801</v>
      </c>
      <c r="B72" s="430" t="s">
        <v>89</v>
      </c>
      <c r="C72" s="431">
        <v>0</v>
      </c>
      <c r="D72" s="432">
        <v>0</v>
      </c>
      <c r="E72" s="432">
        <v>0</v>
      </c>
      <c r="F72" s="431">
        <f t="shared" si="4"/>
        <v>0</v>
      </c>
      <c r="G72" s="431">
        <f t="shared" si="5"/>
        <v>0</v>
      </c>
      <c r="H72" s="432">
        <v>0</v>
      </c>
      <c r="I72" s="432">
        <v>0</v>
      </c>
      <c r="J72" s="432">
        <v>0</v>
      </c>
    </row>
    <row r="73" spans="1:10" x14ac:dyDescent="0.2">
      <c r="A73" s="430">
        <v>71803</v>
      </c>
      <c r="B73" s="430" t="s">
        <v>356</v>
      </c>
      <c r="C73" s="431">
        <v>0</v>
      </c>
      <c r="D73" s="432">
        <v>0</v>
      </c>
      <c r="E73" s="432">
        <v>0</v>
      </c>
      <c r="F73" s="431">
        <f t="shared" si="4"/>
        <v>0</v>
      </c>
      <c r="G73" s="431">
        <f t="shared" si="5"/>
        <v>0</v>
      </c>
      <c r="H73" s="432">
        <v>0</v>
      </c>
      <c r="I73" s="432">
        <v>0</v>
      </c>
      <c r="J73" s="432">
        <v>0</v>
      </c>
    </row>
    <row r="74" spans="1:10" x14ac:dyDescent="0.2">
      <c r="A74" s="430">
        <v>71804</v>
      </c>
      <c r="B74" s="430" t="s">
        <v>26</v>
      </c>
      <c r="C74" s="431">
        <v>0</v>
      </c>
      <c r="D74" s="432">
        <v>0</v>
      </c>
      <c r="E74" s="432">
        <v>0</v>
      </c>
      <c r="F74" s="431">
        <f t="shared" si="4"/>
        <v>0</v>
      </c>
      <c r="G74" s="431">
        <f t="shared" si="5"/>
        <v>0</v>
      </c>
      <c r="H74" s="432">
        <v>0</v>
      </c>
      <c r="I74" s="432">
        <v>0</v>
      </c>
      <c r="J74" s="432">
        <v>0</v>
      </c>
    </row>
    <row r="75" spans="1:10" x14ac:dyDescent="0.2">
      <c r="A75" s="430">
        <v>71806</v>
      </c>
      <c r="B75" s="430" t="s">
        <v>27</v>
      </c>
      <c r="C75" s="431">
        <v>0</v>
      </c>
      <c r="D75" s="432">
        <v>0</v>
      </c>
      <c r="E75" s="432">
        <v>0</v>
      </c>
      <c r="F75" s="431">
        <f t="shared" si="4"/>
        <v>0</v>
      </c>
      <c r="G75" s="431">
        <f t="shared" si="5"/>
        <v>0</v>
      </c>
      <c r="H75" s="432">
        <v>0</v>
      </c>
      <c r="I75" s="432">
        <v>0</v>
      </c>
      <c r="J75" s="432">
        <v>0</v>
      </c>
    </row>
    <row r="76" spans="1:10" x14ac:dyDescent="0.2">
      <c r="A76" s="430">
        <v>71807</v>
      </c>
      <c r="B76" s="430" t="s">
        <v>68</v>
      </c>
      <c r="C76" s="431">
        <v>0</v>
      </c>
      <c r="D76" s="432">
        <v>0</v>
      </c>
      <c r="E76" s="432">
        <v>0</v>
      </c>
      <c r="F76" s="431">
        <f t="shared" si="4"/>
        <v>0</v>
      </c>
      <c r="G76" s="431">
        <f t="shared" si="5"/>
        <v>0</v>
      </c>
      <c r="H76" s="432">
        <v>0</v>
      </c>
      <c r="I76" s="432">
        <v>0</v>
      </c>
      <c r="J76" s="432">
        <v>0</v>
      </c>
    </row>
    <row r="77" spans="1:10" x14ac:dyDescent="0.2">
      <c r="A77" s="430">
        <v>71809</v>
      </c>
      <c r="B77" s="430" t="s">
        <v>357</v>
      </c>
      <c r="C77" s="431">
        <v>0</v>
      </c>
      <c r="D77" s="432">
        <v>0</v>
      </c>
      <c r="E77" s="432">
        <v>0</v>
      </c>
      <c r="F77" s="431">
        <f t="shared" si="4"/>
        <v>0</v>
      </c>
      <c r="G77" s="431">
        <f t="shared" si="5"/>
        <v>0</v>
      </c>
      <c r="H77" s="432">
        <v>0</v>
      </c>
      <c r="I77" s="432">
        <v>0</v>
      </c>
      <c r="J77" s="432">
        <v>0</v>
      </c>
    </row>
    <row r="78" spans="1:10" x14ac:dyDescent="0.2">
      <c r="A78" s="430">
        <v>71810</v>
      </c>
      <c r="B78" s="430" t="s">
        <v>358</v>
      </c>
      <c r="C78" s="431">
        <v>0</v>
      </c>
      <c r="D78" s="432">
        <v>3596</v>
      </c>
      <c r="E78" s="432">
        <v>3596</v>
      </c>
      <c r="F78" s="431">
        <f t="shared" si="4"/>
        <v>0</v>
      </c>
      <c r="G78" s="431">
        <f t="shared" si="5"/>
        <v>3596</v>
      </c>
      <c r="H78" s="432">
        <v>0</v>
      </c>
      <c r="I78" s="432">
        <v>0</v>
      </c>
      <c r="J78" s="432">
        <v>0</v>
      </c>
    </row>
    <row r="79" spans="1:10" x14ac:dyDescent="0.2">
      <c r="A79" s="430">
        <v>72801</v>
      </c>
      <c r="B79" s="430" t="s">
        <v>105</v>
      </c>
      <c r="C79" s="431">
        <v>0</v>
      </c>
      <c r="D79" s="432">
        <v>43406</v>
      </c>
      <c r="E79" s="432">
        <v>43406</v>
      </c>
      <c r="F79" s="431">
        <f t="shared" si="4"/>
        <v>0</v>
      </c>
      <c r="G79" s="431">
        <f t="shared" si="5"/>
        <v>43406</v>
      </c>
      <c r="H79" s="432">
        <v>0</v>
      </c>
      <c r="I79" s="432">
        <v>0</v>
      </c>
      <c r="J79" s="432">
        <v>0</v>
      </c>
    </row>
    <row r="80" spans="1:10" x14ac:dyDescent="0.2">
      <c r="A80" s="430">
        <v>72802</v>
      </c>
      <c r="B80" s="430" t="s">
        <v>359</v>
      </c>
      <c r="C80" s="431">
        <v>0</v>
      </c>
      <c r="D80" s="432">
        <v>0</v>
      </c>
      <c r="E80" s="432">
        <v>0</v>
      </c>
      <c r="F80" s="431">
        <f t="shared" si="4"/>
        <v>0</v>
      </c>
      <c r="G80" s="431">
        <f t="shared" si="5"/>
        <v>0</v>
      </c>
      <c r="H80" s="432">
        <v>0</v>
      </c>
      <c r="I80" s="432">
        <v>0</v>
      </c>
      <c r="J80" s="432">
        <v>0</v>
      </c>
    </row>
    <row r="81" spans="1:10" x14ac:dyDescent="0.2">
      <c r="A81" s="430">
        <v>84802</v>
      </c>
      <c r="B81" s="430" t="s">
        <v>360</v>
      </c>
      <c r="C81" s="431">
        <v>0</v>
      </c>
      <c r="D81" s="432">
        <v>0</v>
      </c>
      <c r="E81" s="432">
        <v>0</v>
      </c>
      <c r="F81" s="431">
        <f t="shared" si="4"/>
        <v>0</v>
      </c>
      <c r="G81" s="431">
        <f t="shared" si="5"/>
        <v>0</v>
      </c>
      <c r="H81" s="432">
        <v>0</v>
      </c>
      <c r="I81" s="432">
        <v>0</v>
      </c>
      <c r="J81" s="432">
        <v>0</v>
      </c>
    </row>
    <row r="82" spans="1:10" x14ac:dyDescent="0.2">
      <c r="A82" s="430">
        <v>84804</v>
      </c>
      <c r="B82" s="430" t="s">
        <v>69</v>
      </c>
      <c r="C82" s="431">
        <v>0</v>
      </c>
      <c r="D82" s="432">
        <v>0</v>
      </c>
      <c r="E82" s="432">
        <v>0</v>
      </c>
      <c r="F82" s="431">
        <f t="shared" si="4"/>
        <v>0</v>
      </c>
      <c r="G82" s="431">
        <f t="shared" si="5"/>
        <v>0</v>
      </c>
      <c r="H82" s="432">
        <v>0</v>
      </c>
      <c r="I82" s="432">
        <v>0</v>
      </c>
      <c r="J82" s="432">
        <v>0</v>
      </c>
    </row>
    <row r="83" spans="1:10" x14ac:dyDescent="0.2">
      <c r="A83" s="430">
        <v>92801</v>
      </c>
      <c r="B83" s="430" t="s">
        <v>29</v>
      </c>
      <c r="C83" s="431">
        <v>0</v>
      </c>
      <c r="D83" s="432">
        <v>0</v>
      </c>
      <c r="E83" s="432">
        <v>0</v>
      </c>
      <c r="F83" s="431">
        <f t="shared" si="4"/>
        <v>0</v>
      </c>
      <c r="G83" s="431">
        <f t="shared" si="5"/>
        <v>0</v>
      </c>
      <c r="H83" s="432">
        <v>0</v>
      </c>
      <c r="I83" s="432">
        <v>0</v>
      </c>
      <c r="J83" s="432">
        <v>0</v>
      </c>
    </row>
    <row r="84" spans="1:10" x14ac:dyDescent="0.2">
      <c r="A84" s="430">
        <v>101802</v>
      </c>
      <c r="B84" s="430" t="s">
        <v>52</v>
      </c>
      <c r="C84" s="431">
        <v>0</v>
      </c>
      <c r="D84" s="432">
        <v>0</v>
      </c>
      <c r="E84" s="432">
        <v>0</v>
      </c>
      <c r="F84" s="431">
        <f t="shared" si="4"/>
        <v>0</v>
      </c>
      <c r="G84" s="431">
        <f t="shared" si="5"/>
        <v>0</v>
      </c>
      <c r="H84" s="432">
        <v>0</v>
      </c>
      <c r="I84" s="432">
        <v>0</v>
      </c>
      <c r="J84" s="432">
        <v>0</v>
      </c>
    </row>
    <row r="85" spans="1:10" x14ac:dyDescent="0.2">
      <c r="A85" s="430">
        <v>101803</v>
      </c>
      <c r="B85" s="430" t="s">
        <v>98</v>
      </c>
      <c r="C85" s="431">
        <v>0</v>
      </c>
      <c r="D85" s="432">
        <v>0</v>
      </c>
      <c r="E85" s="432">
        <v>0</v>
      </c>
      <c r="F85" s="431">
        <f t="shared" si="4"/>
        <v>0</v>
      </c>
      <c r="G85" s="431">
        <f t="shared" si="5"/>
        <v>0</v>
      </c>
      <c r="H85" s="432">
        <v>0</v>
      </c>
      <c r="I85" s="432">
        <v>0</v>
      </c>
      <c r="J85" s="432">
        <v>0</v>
      </c>
    </row>
    <row r="86" spans="1:10" x14ac:dyDescent="0.2">
      <c r="A86" s="430">
        <v>101804</v>
      </c>
      <c r="B86" s="430" t="s">
        <v>7</v>
      </c>
      <c r="C86" s="431">
        <v>42983</v>
      </c>
      <c r="D86" s="432">
        <v>33957</v>
      </c>
      <c r="E86" s="431"/>
      <c r="F86" s="431">
        <f t="shared" si="4"/>
        <v>33957</v>
      </c>
      <c r="G86" s="431">
        <f t="shared" si="5"/>
        <v>42983</v>
      </c>
      <c r="H86" s="432">
        <v>0</v>
      </c>
      <c r="I86" s="432">
        <v>0</v>
      </c>
      <c r="J86" s="432">
        <v>0</v>
      </c>
    </row>
    <row r="87" spans="1:10" x14ac:dyDescent="0.2">
      <c r="A87" s="430">
        <v>101806</v>
      </c>
      <c r="B87" s="430" t="s">
        <v>554</v>
      </c>
      <c r="C87" s="431">
        <v>33120</v>
      </c>
      <c r="D87" s="432">
        <v>32126</v>
      </c>
      <c r="E87" s="431"/>
      <c r="F87" s="431">
        <f t="shared" si="4"/>
        <v>32126</v>
      </c>
      <c r="G87" s="431">
        <f t="shared" si="5"/>
        <v>33120</v>
      </c>
      <c r="H87" s="432">
        <v>0</v>
      </c>
      <c r="I87" s="432">
        <v>2349</v>
      </c>
      <c r="J87" s="432">
        <v>0</v>
      </c>
    </row>
    <row r="88" spans="1:10" x14ac:dyDescent="0.2">
      <c r="A88" s="430">
        <v>101807</v>
      </c>
      <c r="B88" s="430" t="s">
        <v>8</v>
      </c>
      <c r="C88" s="431">
        <v>0</v>
      </c>
      <c r="D88" s="432">
        <v>0</v>
      </c>
      <c r="E88" s="432">
        <v>0</v>
      </c>
      <c r="F88" s="431">
        <f t="shared" si="4"/>
        <v>0</v>
      </c>
      <c r="G88" s="431">
        <f t="shared" si="5"/>
        <v>0</v>
      </c>
      <c r="H88" s="432">
        <v>0</v>
      </c>
      <c r="I88" s="432">
        <v>0</v>
      </c>
      <c r="J88" s="432">
        <v>0</v>
      </c>
    </row>
    <row r="89" spans="1:10" x14ac:dyDescent="0.2">
      <c r="A89" s="430">
        <v>101810</v>
      </c>
      <c r="B89" s="430" t="s">
        <v>361</v>
      </c>
      <c r="C89" s="431">
        <v>0</v>
      </c>
      <c r="D89" s="432">
        <v>0</v>
      </c>
      <c r="E89" s="432">
        <v>0</v>
      </c>
      <c r="F89" s="431">
        <f t="shared" si="4"/>
        <v>0</v>
      </c>
      <c r="G89" s="431">
        <f t="shared" si="5"/>
        <v>0</v>
      </c>
      <c r="H89" s="432">
        <v>0</v>
      </c>
      <c r="I89" s="432">
        <v>0</v>
      </c>
      <c r="J89" s="432">
        <v>0</v>
      </c>
    </row>
    <row r="90" spans="1:10" x14ac:dyDescent="0.2">
      <c r="A90" s="430">
        <v>101811</v>
      </c>
      <c r="B90" s="430" t="s">
        <v>362</v>
      </c>
      <c r="C90" s="431">
        <v>0</v>
      </c>
      <c r="D90" s="432">
        <v>0</v>
      </c>
      <c r="E90" s="432">
        <v>0</v>
      </c>
      <c r="F90" s="431">
        <f t="shared" si="4"/>
        <v>0</v>
      </c>
      <c r="G90" s="431">
        <f t="shared" si="5"/>
        <v>0</v>
      </c>
      <c r="H90" s="432">
        <v>0</v>
      </c>
      <c r="I90" s="432">
        <v>0</v>
      </c>
      <c r="J90" s="432">
        <v>0</v>
      </c>
    </row>
    <row r="91" spans="1:10" x14ac:dyDescent="0.2">
      <c r="A91" s="430">
        <v>101814</v>
      </c>
      <c r="B91" s="430" t="s">
        <v>363</v>
      </c>
      <c r="C91" s="431">
        <v>74084.800000000003</v>
      </c>
      <c r="D91" s="432">
        <v>92606</v>
      </c>
      <c r="E91" s="431"/>
      <c r="F91" s="431">
        <f t="shared" si="4"/>
        <v>92606</v>
      </c>
      <c r="G91" s="431">
        <f t="shared" si="5"/>
        <v>74084.800000000003</v>
      </c>
      <c r="H91" s="432">
        <v>0</v>
      </c>
      <c r="I91" s="432">
        <v>0</v>
      </c>
      <c r="J91" s="432">
        <v>0</v>
      </c>
    </row>
    <row r="92" spans="1:10" x14ac:dyDescent="0.2">
      <c r="A92" s="430">
        <v>101815</v>
      </c>
      <c r="B92" s="430" t="s">
        <v>55</v>
      </c>
      <c r="C92" s="431">
        <v>0</v>
      </c>
      <c r="D92" s="432">
        <v>0</v>
      </c>
      <c r="E92" s="432">
        <v>0</v>
      </c>
      <c r="F92" s="431">
        <f t="shared" si="4"/>
        <v>0</v>
      </c>
      <c r="G92" s="431">
        <f t="shared" si="5"/>
        <v>0</v>
      </c>
      <c r="H92" s="432">
        <v>0</v>
      </c>
      <c r="I92" s="432">
        <v>0</v>
      </c>
      <c r="J92" s="432">
        <v>0</v>
      </c>
    </row>
    <row r="93" spans="1:10" x14ac:dyDescent="0.2">
      <c r="A93" s="430">
        <v>101819</v>
      </c>
      <c r="B93" s="430" t="s">
        <v>364</v>
      </c>
      <c r="C93" s="431">
        <v>0</v>
      </c>
      <c r="D93" s="432">
        <v>0</v>
      </c>
      <c r="E93" s="432">
        <v>0</v>
      </c>
      <c r="F93" s="431">
        <f t="shared" si="4"/>
        <v>0</v>
      </c>
      <c r="G93" s="431">
        <f t="shared" si="5"/>
        <v>0</v>
      </c>
      <c r="H93" s="432">
        <v>0</v>
      </c>
      <c r="I93" s="432">
        <v>0</v>
      </c>
      <c r="J93" s="432">
        <v>0</v>
      </c>
    </row>
    <row r="94" spans="1:10" x14ac:dyDescent="0.2">
      <c r="A94" s="430">
        <v>101821</v>
      </c>
      <c r="B94" s="430" t="s">
        <v>10</v>
      </c>
      <c r="C94" s="431">
        <v>0</v>
      </c>
      <c r="D94" s="432">
        <v>0</v>
      </c>
      <c r="E94" s="432">
        <v>0</v>
      </c>
      <c r="F94" s="431">
        <f t="shared" si="4"/>
        <v>0</v>
      </c>
      <c r="G94" s="431">
        <f t="shared" si="5"/>
        <v>0</v>
      </c>
      <c r="H94" s="432">
        <v>0</v>
      </c>
      <c r="I94" s="432">
        <v>0</v>
      </c>
      <c r="J94" s="432">
        <v>0</v>
      </c>
    </row>
    <row r="95" spans="1:10" x14ac:dyDescent="0.2">
      <c r="A95" s="430">
        <v>101828</v>
      </c>
      <c r="B95" s="430" t="s">
        <v>365</v>
      </c>
      <c r="C95" s="431">
        <v>0</v>
      </c>
      <c r="D95" s="432">
        <v>0</v>
      </c>
      <c r="E95" s="432">
        <v>0</v>
      </c>
      <c r="F95" s="431">
        <f t="shared" si="4"/>
        <v>0</v>
      </c>
      <c r="G95" s="431">
        <f t="shared" si="5"/>
        <v>0</v>
      </c>
      <c r="H95" s="432">
        <v>0</v>
      </c>
      <c r="I95" s="432">
        <v>0</v>
      </c>
      <c r="J95" s="432">
        <v>0</v>
      </c>
    </row>
    <row r="96" spans="1:10" x14ac:dyDescent="0.2">
      <c r="A96" s="430">
        <v>101837</v>
      </c>
      <c r="B96" s="430" t="s">
        <v>13</v>
      </c>
      <c r="C96" s="431">
        <v>23757.1</v>
      </c>
      <c r="D96" s="432">
        <v>28098</v>
      </c>
      <c r="E96" s="431"/>
      <c r="F96" s="431">
        <f t="shared" si="4"/>
        <v>28098</v>
      </c>
      <c r="G96" s="431">
        <f t="shared" si="5"/>
        <v>23757.1</v>
      </c>
      <c r="H96" s="432">
        <v>0</v>
      </c>
      <c r="I96" s="432">
        <v>0</v>
      </c>
      <c r="J96" s="432">
        <v>0</v>
      </c>
    </row>
    <row r="97" spans="1:10" x14ac:dyDescent="0.2">
      <c r="A97" s="430">
        <v>101838</v>
      </c>
      <c r="B97" s="430" t="s">
        <v>14</v>
      </c>
      <c r="C97" s="431">
        <v>64239</v>
      </c>
      <c r="D97" s="432">
        <v>63339</v>
      </c>
      <c r="E97" s="431">
        <v>6809</v>
      </c>
      <c r="F97" s="431">
        <f t="shared" si="4"/>
        <v>56530</v>
      </c>
      <c r="G97" s="431">
        <f t="shared" si="5"/>
        <v>71048</v>
      </c>
      <c r="H97" s="432">
        <v>0</v>
      </c>
      <c r="I97" s="432">
        <v>0</v>
      </c>
      <c r="J97" s="432">
        <v>0</v>
      </c>
    </row>
    <row r="98" spans="1:10" x14ac:dyDescent="0.2">
      <c r="A98" s="430">
        <v>101840</v>
      </c>
      <c r="B98" s="430" t="s">
        <v>30</v>
      </c>
      <c r="C98" s="431">
        <v>0</v>
      </c>
      <c r="D98" s="432">
        <v>0</v>
      </c>
      <c r="E98" s="432">
        <v>0</v>
      </c>
      <c r="F98" s="431">
        <f t="shared" si="4"/>
        <v>0</v>
      </c>
      <c r="G98" s="431">
        <f t="shared" si="5"/>
        <v>0</v>
      </c>
      <c r="H98" s="432">
        <v>0</v>
      </c>
      <c r="I98" s="432">
        <v>0</v>
      </c>
      <c r="J98" s="432">
        <v>0</v>
      </c>
    </row>
    <row r="99" spans="1:10" x14ac:dyDescent="0.2">
      <c r="A99" s="430">
        <v>101842</v>
      </c>
      <c r="B99" s="430" t="s">
        <v>31</v>
      </c>
      <c r="C99" s="431">
        <v>0</v>
      </c>
      <c r="D99" s="432">
        <v>0</v>
      </c>
      <c r="E99" s="432">
        <v>0</v>
      </c>
      <c r="F99" s="431">
        <f t="shared" ref="F99:F130" si="6">D99-E99</f>
        <v>0</v>
      </c>
      <c r="G99" s="431">
        <f t="shared" ref="G99:G130" si="7">C99*1+E99</f>
        <v>0</v>
      </c>
      <c r="H99" s="432">
        <v>0</v>
      </c>
      <c r="I99" s="432">
        <v>0</v>
      </c>
      <c r="J99" s="432">
        <v>0</v>
      </c>
    </row>
    <row r="100" spans="1:10" x14ac:dyDescent="0.2">
      <c r="A100" s="430">
        <v>101845</v>
      </c>
      <c r="B100" s="430" t="s">
        <v>109</v>
      </c>
      <c r="C100" s="431">
        <v>1000530</v>
      </c>
      <c r="D100" s="432">
        <v>880466</v>
      </c>
      <c r="E100" s="431"/>
      <c r="F100" s="431">
        <f t="shared" si="6"/>
        <v>880466</v>
      </c>
      <c r="G100" s="431">
        <f t="shared" si="7"/>
        <v>1000530</v>
      </c>
      <c r="H100" s="432">
        <v>0</v>
      </c>
      <c r="I100" s="432">
        <v>0</v>
      </c>
      <c r="J100" s="432">
        <v>0</v>
      </c>
    </row>
    <row r="101" spans="1:10" x14ac:dyDescent="0.2">
      <c r="A101" s="430">
        <v>101846</v>
      </c>
      <c r="B101" s="430" t="s">
        <v>395</v>
      </c>
      <c r="C101" s="431">
        <v>0</v>
      </c>
      <c r="D101" s="432">
        <v>0</v>
      </c>
      <c r="E101" s="432">
        <v>0</v>
      </c>
      <c r="F101" s="431">
        <f t="shared" si="6"/>
        <v>0</v>
      </c>
      <c r="G101" s="431">
        <f t="shared" si="7"/>
        <v>0</v>
      </c>
      <c r="H101" s="432">
        <v>0</v>
      </c>
      <c r="I101" s="432">
        <v>0</v>
      </c>
      <c r="J101" s="432">
        <v>0</v>
      </c>
    </row>
    <row r="102" spans="1:10" x14ac:dyDescent="0.2">
      <c r="A102" s="430">
        <v>101847</v>
      </c>
      <c r="B102" s="430" t="s">
        <v>33</v>
      </c>
      <c r="C102" s="431">
        <v>0</v>
      </c>
      <c r="D102" s="432">
        <v>0</v>
      </c>
      <c r="E102" s="432">
        <v>0</v>
      </c>
      <c r="F102" s="431">
        <f t="shared" si="6"/>
        <v>0</v>
      </c>
      <c r="G102" s="431">
        <f t="shared" si="7"/>
        <v>0</v>
      </c>
      <c r="H102" s="432">
        <v>0</v>
      </c>
      <c r="I102" s="432">
        <v>0</v>
      </c>
      <c r="J102" s="432">
        <v>0</v>
      </c>
    </row>
    <row r="103" spans="1:10" x14ac:dyDescent="0.2">
      <c r="A103" s="430">
        <v>101849</v>
      </c>
      <c r="B103" s="430" t="s">
        <v>15</v>
      </c>
      <c r="C103" s="431">
        <v>0</v>
      </c>
      <c r="D103" s="432">
        <v>0</v>
      </c>
      <c r="E103" s="432">
        <v>0</v>
      </c>
      <c r="F103" s="431">
        <f t="shared" si="6"/>
        <v>0</v>
      </c>
      <c r="G103" s="431">
        <f t="shared" si="7"/>
        <v>0</v>
      </c>
      <c r="H103" s="432">
        <v>0</v>
      </c>
      <c r="I103" s="432">
        <v>0</v>
      </c>
      <c r="J103" s="432">
        <v>0</v>
      </c>
    </row>
    <row r="104" spans="1:10" x14ac:dyDescent="0.2">
      <c r="A104" s="430">
        <v>101853</v>
      </c>
      <c r="B104" s="430" t="s">
        <v>106</v>
      </c>
      <c r="C104" s="431">
        <v>0</v>
      </c>
      <c r="D104" s="432">
        <v>0</v>
      </c>
      <c r="E104" s="432">
        <v>0</v>
      </c>
      <c r="F104" s="431">
        <f t="shared" si="6"/>
        <v>0</v>
      </c>
      <c r="G104" s="431">
        <f t="shared" si="7"/>
        <v>0</v>
      </c>
      <c r="H104" s="432">
        <v>0</v>
      </c>
      <c r="I104" s="432">
        <v>0</v>
      </c>
      <c r="J104" s="432">
        <v>0</v>
      </c>
    </row>
    <row r="105" spans="1:10" x14ac:dyDescent="0.2">
      <c r="A105" s="430">
        <v>101855</v>
      </c>
      <c r="B105" s="430" t="s">
        <v>2</v>
      </c>
      <c r="C105" s="431">
        <v>0</v>
      </c>
      <c r="D105" s="432">
        <v>0</v>
      </c>
      <c r="E105" s="432">
        <v>0</v>
      </c>
      <c r="F105" s="431">
        <f t="shared" si="6"/>
        <v>0</v>
      </c>
      <c r="G105" s="431">
        <f t="shared" si="7"/>
        <v>0</v>
      </c>
      <c r="H105" s="432">
        <v>0</v>
      </c>
      <c r="I105" s="432">
        <v>0</v>
      </c>
      <c r="J105" s="432">
        <v>0</v>
      </c>
    </row>
    <row r="106" spans="1:10" x14ac:dyDescent="0.2">
      <c r="A106" s="430">
        <v>101856</v>
      </c>
      <c r="B106" s="430" t="s">
        <v>34</v>
      </c>
      <c r="C106" s="431">
        <v>0</v>
      </c>
      <c r="D106" s="432">
        <v>0</v>
      </c>
      <c r="E106" s="432">
        <v>0</v>
      </c>
      <c r="F106" s="431">
        <f t="shared" si="6"/>
        <v>0</v>
      </c>
      <c r="G106" s="431">
        <f t="shared" si="7"/>
        <v>0</v>
      </c>
      <c r="H106" s="432">
        <v>0</v>
      </c>
      <c r="I106" s="432">
        <v>0</v>
      </c>
      <c r="J106" s="432">
        <v>0</v>
      </c>
    </row>
    <row r="107" spans="1:10" x14ac:dyDescent="0.2">
      <c r="A107" s="430">
        <v>101858</v>
      </c>
      <c r="B107" s="430" t="s">
        <v>64</v>
      </c>
      <c r="C107" s="431">
        <v>0</v>
      </c>
      <c r="D107" s="432">
        <v>0</v>
      </c>
      <c r="E107" s="432">
        <v>0</v>
      </c>
      <c r="F107" s="431">
        <f t="shared" si="6"/>
        <v>0</v>
      </c>
      <c r="G107" s="431">
        <f t="shared" si="7"/>
        <v>0</v>
      </c>
      <c r="H107" s="432">
        <v>0</v>
      </c>
      <c r="I107" s="432">
        <v>0</v>
      </c>
      <c r="J107" s="432">
        <v>0</v>
      </c>
    </row>
    <row r="108" spans="1:10" x14ac:dyDescent="0.2">
      <c r="A108" s="430">
        <v>101859</v>
      </c>
      <c r="B108" s="430" t="s">
        <v>366</v>
      </c>
      <c r="C108" s="431">
        <v>0</v>
      </c>
      <c r="D108" s="432">
        <v>0</v>
      </c>
      <c r="E108" s="432">
        <v>0</v>
      </c>
      <c r="F108" s="431">
        <f t="shared" si="6"/>
        <v>0</v>
      </c>
      <c r="G108" s="431">
        <f t="shared" si="7"/>
        <v>0</v>
      </c>
      <c r="H108" s="432">
        <v>0</v>
      </c>
      <c r="I108" s="432">
        <v>0</v>
      </c>
      <c r="J108" s="432">
        <v>0</v>
      </c>
    </row>
    <row r="109" spans="1:10" x14ac:dyDescent="0.2">
      <c r="A109" s="430">
        <v>101861</v>
      </c>
      <c r="B109" s="430" t="s">
        <v>367</v>
      </c>
      <c r="C109" s="431">
        <v>138647.79999999999</v>
      </c>
      <c r="D109" s="432">
        <v>109532</v>
      </c>
      <c r="E109" s="431"/>
      <c r="F109" s="431">
        <f t="shared" si="6"/>
        <v>109532</v>
      </c>
      <c r="G109" s="431">
        <f t="shared" si="7"/>
        <v>138647.79999999999</v>
      </c>
      <c r="H109" s="432">
        <v>0</v>
      </c>
      <c r="I109" s="432">
        <v>0</v>
      </c>
      <c r="J109" s="432">
        <v>0</v>
      </c>
    </row>
    <row r="110" spans="1:10" x14ac:dyDescent="0.2">
      <c r="A110" s="430">
        <v>101862</v>
      </c>
      <c r="B110" s="430" t="s">
        <v>368</v>
      </c>
      <c r="C110" s="431">
        <v>0</v>
      </c>
      <c r="D110" s="432">
        <v>0</v>
      </c>
      <c r="E110" s="432">
        <v>0</v>
      </c>
      <c r="F110" s="431">
        <f t="shared" si="6"/>
        <v>0</v>
      </c>
      <c r="G110" s="431">
        <f t="shared" si="7"/>
        <v>0</v>
      </c>
      <c r="H110" s="432">
        <v>0</v>
      </c>
      <c r="I110" s="432">
        <v>0</v>
      </c>
      <c r="J110" s="432">
        <v>0</v>
      </c>
    </row>
    <row r="111" spans="1:10" x14ac:dyDescent="0.2">
      <c r="A111" s="430">
        <v>101864</v>
      </c>
      <c r="B111" s="430" t="s">
        <v>369</v>
      </c>
      <c r="C111" s="431">
        <v>26455</v>
      </c>
      <c r="D111" s="432">
        <v>20899</v>
      </c>
      <c r="E111" s="431"/>
      <c r="F111" s="431">
        <f t="shared" si="6"/>
        <v>20899</v>
      </c>
      <c r="G111" s="431">
        <f t="shared" si="7"/>
        <v>26455</v>
      </c>
      <c r="H111" s="432">
        <v>0</v>
      </c>
      <c r="I111" s="432">
        <v>0</v>
      </c>
      <c r="J111" s="432">
        <v>0</v>
      </c>
    </row>
    <row r="112" spans="1:10" x14ac:dyDescent="0.2">
      <c r="A112" s="430">
        <v>101868</v>
      </c>
      <c r="B112" s="430" t="s">
        <v>370</v>
      </c>
      <c r="C112" s="431">
        <v>59360</v>
      </c>
      <c r="D112" s="432">
        <v>52237</v>
      </c>
      <c r="E112" s="431"/>
      <c r="F112" s="431">
        <f t="shared" si="6"/>
        <v>52237</v>
      </c>
      <c r="G112" s="431">
        <f t="shared" si="7"/>
        <v>59360</v>
      </c>
      <c r="H112" s="432">
        <v>0</v>
      </c>
      <c r="I112" s="432">
        <v>0</v>
      </c>
      <c r="J112" s="432">
        <v>0</v>
      </c>
    </row>
    <row r="113" spans="1:10" x14ac:dyDescent="0.2">
      <c r="A113" s="430">
        <v>101870</v>
      </c>
      <c r="B113" s="430" t="s">
        <v>390</v>
      </c>
      <c r="C113" s="431">
        <v>0</v>
      </c>
      <c r="D113" s="432">
        <v>0</v>
      </c>
      <c r="E113" s="432">
        <v>0</v>
      </c>
      <c r="F113" s="431">
        <f t="shared" si="6"/>
        <v>0</v>
      </c>
      <c r="G113" s="431">
        <f t="shared" si="7"/>
        <v>0</v>
      </c>
      <c r="H113" s="432">
        <v>0</v>
      </c>
      <c r="I113" s="432">
        <v>0</v>
      </c>
      <c r="J113" s="432">
        <v>0</v>
      </c>
    </row>
    <row r="114" spans="1:10" x14ac:dyDescent="0.2">
      <c r="A114" s="430">
        <v>101871</v>
      </c>
      <c r="B114" s="430" t="s">
        <v>409</v>
      </c>
      <c r="C114" s="431">
        <v>0</v>
      </c>
      <c r="D114" s="432">
        <v>0</v>
      </c>
      <c r="E114" s="432">
        <v>0</v>
      </c>
      <c r="F114" s="431">
        <f t="shared" si="6"/>
        <v>0</v>
      </c>
      <c r="G114" s="431">
        <f t="shared" si="7"/>
        <v>0</v>
      </c>
      <c r="H114" s="432">
        <v>0</v>
      </c>
      <c r="I114" s="432">
        <v>0</v>
      </c>
      <c r="J114" s="432">
        <v>0</v>
      </c>
    </row>
    <row r="115" spans="1:10" x14ac:dyDescent="0.2">
      <c r="A115" s="430">
        <v>101872</v>
      </c>
      <c r="B115" s="430" t="s">
        <v>823</v>
      </c>
      <c r="C115" s="431">
        <v>0</v>
      </c>
      <c r="D115" s="432">
        <v>0</v>
      </c>
      <c r="E115" s="432">
        <v>0</v>
      </c>
      <c r="F115" s="431">
        <f t="shared" si="6"/>
        <v>0</v>
      </c>
      <c r="G115" s="431">
        <f t="shared" si="7"/>
        <v>0</v>
      </c>
      <c r="H115" s="432">
        <v>0</v>
      </c>
      <c r="I115" s="432">
        <v>0</v>
      </c>
      <c r="J115" s="432">
        <v>0</v>
      </c>
    </row>
    <row r="116" spans="1:10" x14ac:dyDescent="0.2">
      <c r="A116" s="430">
        <v>101873</v>
      </c>
      <c r="B116" s="430" t="s">
        <v>820</v>
      </c>
      <c r="C116" s="431">
        <v>0</v>
      </c>
      <c r="D116" s="432">
        <v>0</v>
      </c>
      <c r="E116" s="432">
        <v>0</v>
      </c>
      <c r="F116" s="431">
        <f t="shared" si="6"/>
        <v>0</v>
      </c>
      <c r="G116" s="431">
        <f t="shared" si="7"/>
        <v>0</v>
      </c>
      <c r="H116" s="432">
        <v>0</v>
      </c>
      <c r="I116" s="432">
        <v>0</v>
      </c>
      <c r="J116" s="432">
        <v>0</v>
      </c>
    </row>
    <row r="117" spans="1:10" x14ac:dyDescent="0.2">
      <c r="A117" s="430">
        <v>101874</v>
      </c>
      <c r="B117" s="430" t="s">
        <v>824</v>
      </c>
      <c r="C117" s="431">
        <v>0</v>
      </c>
      <c r="D117" s="432">
        <v>0</v>
      </c>
      <c r="E117" s="432">
        <v>0</v>
      </c>
      <c r="F117" s="431">
        <f t="shared" si="6"/>
        <v>0</v>
      </c>
      <c r="G117" s="431">
        <f t="shared" si="7"/>
        <v>0</v>
      </c>
      <c r="H117" s="432">
        <v>0</v>
      </c>
      <c r="I117" s="432">
        <v>0</v>
      </c>
      <c r="J117" s="432">
        <v>0</v>
      </c>
    </row>
    <row r="118" spans="1:10" x14ac:dyDescent="0.2">
      <c r="A118" s="430">
        <v>101875</v>
      </c>
      <c r="B118" s="430" t="s">
        <v>726</v>
      </c>
      <c r="C118" s="431">
        <v>0</v>
      </c>
      <c r="D118" s="432">
        <v>0</v>
      </c>
      <c r="E118" s="432">
        <v>0</v>
      </c>
      <c r="F118" s="431">
        <f t="shared" si="6"/>
        <v>0</v>
      </c>
      <c r="G118" s="431">
        <f t="shared" si="7"/>
        <v>0</v>
      </c>
      <c r="H118" s="432">
        <v>0</v>
      </c>
      <c r="I118" s="432">
        <v>0</v>
      </c>
      <c r="J118" s="432">
        <v>0</v>
      </c>
    </row>
    <row r="119" spans="1:10" x14ac:dyDescent="0.2">
      <c r="A119" s="430">
        <v>101876</v>
      </c>
      <c r="B119" s="430" t="s">
        <v>668</v>
      </c>
      <c r="C119" s="431">
        <v>0</v>
      </c>
      <c r="D119" s="432">
        <v>0</v>
      </c>
      <c r="E119" s="432">
        <v>0</v>
      </c>
      <c r="F119" s="431">
        <f t="shared" si="6"/>
        <v>0</v>
      </c>
      <c r="G119" s="431">
        <f t="shared" si="7"/>
        <v>0</v>
      </c>
      <c r="H119" s="432">
        <v>0</v>
      </c>
      <c r="I119" s="432">
        <v>0</v>
      </c>
      <c r="J119" s="432">
        <v>0</v>
      </c>
    </row>
    <row r="120" spans="1:10" x14ac:dyDescent="0.2">
      <c r="A120" s="430">
        <v>105801</v>
      </c>
      <c r="B120" s="430" t="s">
        <v>35</v>
      </c>
      <c r="C120" s="431">
        <v>124128</v>
      </c>
      <c r="D120" s="432">
        <v>84407</v>
      </c>
      <c r="E120" s="431"/>
      <c r="F120" s="431">
        <f t="shared" si="6"/>
        <v>84407</v>
      </c>
      <c r="G120" s="431">
        <f t="shared" si="7"/>
        <v>124128</v>
      </c>
      <c r="H120" s="432">
        <v>0</v>
      </c>
      <c r="I120" s="432">
        <v>0</v>
      </c>
      <c r="J120" s="432">
        <v>0</v>
      </c>
    </row>
    <row r="121" spans="1:10" x14ac:dyDescent="0.2">
      <c r="A121" s="430">
        <v>105802</v>
      </c>
      <c r="B121" s="430" t="s">
        <v>3</v>
      </c>
      <c r="C121" s="431">
        <v>27801</v>
      </c>
      <c r="D121" s="432">
        <v>18905</v>
      </c>
      <c r="E121" s="431"/>
      <c r="F121" s="431">
        <f t="shared" si="6"/>
        <v>18905</v>
      </c>
      <c r="G121" s="431">
        <f t="shared" si="7"/>
        <v>27801</v>
      </c>
      <c r="H121" s="432">
        <v>0</v>
      </c>
      <c r="I121" s="432">
        <v>0</v>
      </c>
      <c r="J121" s="432">
        <v>0</v>
      </c>
    </row>
    <row r="122" spans="1:10" x14ac:dyDescent="0.2">
      <c r="A122" s="430">
        <v>105803</v>
      </c>
      <c r="B122" s="430" t="s">
        <v>391</v>
      </c>
      <c r="C122" s="431">
        <v>0</v>
      </c>
      <c r="D122" s="432">
        <v>0</v>
      </c>
      <c r="E122" s="432">
        <v>0</v>
      </c>
      <c r="F122" s="431">
        <f t="shared" si="6"/>
        <v>0</v>
      </c>
      <c r="G122" s="431">
        <f t="shared" si="7"/>
        <v>0</v>
      </c>
      <c r="H122" s="432">
        <v>0</v>
      </c>
      <c r="I122" s="432">
        <v>0</v>
      </c>
      <c r="J122" s="432">
        <v>0</v>
      </c>
    </row>
    <row r="123" spans="1:10" x14ac:dyDescent="0.2">
      <c r="A123" s="430">
        <v>108802</v>
      </c>
      <c r="B123" s="430" t="s">
        <v>371</v>
      </c>
      <c r="C123" s="431">
        <v>0</v>
      </c>
      <c r="D123" s="432">
        <v>0</v>
      </c>
      <c r="E123" s="432">
        <v>0</v>
      </c>
      <c r="F123" s="431">
        <f t="shared" si="6"/>
        <v>0</v>
      </c>
      <c r="G123" s="431">
        <f t="shared" si="7"/>
        <v>0</v>
      </c>
      <c r="H123" s="432">
        <v>0</v>
      </c>
      <c r="I123" s="432">
        <v>0</v>
      </c>
      <c r="J123" s="432">
        <v>0</v>
      </c>
    </row>
    <row r="124" spans="1:10" x14ac:dyDescent="0.2">
      <c r="A124" s="430">
        <v>108804</v>
      </c>
      <c r="B124" s="430" t="s">
        <v>372</v>
      </c>
      <c r="C124" s="431">
        <v>0</v>
      </c>
      <c r="D124" s="432">
        <v>0</v>
      </c>
      <c r="E124" s="432">
        <v>0</v>
      </c>
      <c r="F124" s="431">
        <f t="shared" si="6"/>
        <v>0</v>
      </c>
      <c r="G124" s="431">
        <f t="shared" si="7"/>
        <v>0</v>
      </c>
      <c r="H124" s="432">
        <v>0</v>
      </c>
      <c r="I124" s="432">
        <v>0</v>
      </c>
      <c r="J124" s="432">
        <v>0</v>
      </c>
    </row>
    <row r="125" spans="1:10" x14ac:dyDescent="0.2">
      <c r="A125" s="430">
        <v>108807</v>
      </c>
      <c r="B125" s="430" t="s">
        <v>102</v>
      </c>
      <c r="C125" s="431">
        <v>1681857</v>
      </c>
      <c r="D125" s="432">
        <v>1870623</v>
      </c>
      <c r="E125" s="431">
        <v>3762</v>
      </c>
      <c r="F125" s="431">
        <f t="shared" si="6"/>
        <v>1866861</v>
      </c>
      <c r="G125" s="431">
        <f t="shared" si="7"/>
        <v>1685619</v>
      </c>
      <c r="H125" s="432">
        <v>300967</v>
      </c>
      <c r="I125" s="432">
        <v>0</v>
      </c>
      <c r="J125" s="432">
        <v>0</v>
      </c>
    </row>
    <row r="126" spans="1:10" x14ac:dyDescent="0.2">
      <c r="A126" s="430">
        <v>108808</v>
      </c>
      <c r="B126" s="430" t="s">
        <v>93</v>
      </c>
      <c r="C126" s="431">
        <v>0</v>
      </c>
      <c r="D126" s="432">
        <v>0</v>
      </c>
      <c r="E126" s="432">
        <v>0</v>
      </c>
      <c r="F126" s="431">
        <f t="shared" si="6"/>
        <v>0</v>
      </c>
      <c r="G126" s="431">
        <f t="shared" si="7"/>
        <v>0</v>
      </c>
      <c r="H126" s="432">
        <v>0</v>
      </c>
      <c r="I126" s="432">
        <v>0</v>
      </c>
      <c r="J126" s="432">
        <v>0</v>
      </c>
    </row>
    <row r="127" spans="1:10" x14ac:dyDescent="0.2">
      <c r="A127" s="430">
        <v>108809</v>
      </c>
      <c r="B127" s="430" t="s">
        <v>126</v>
      </c>
      <c r="C127" s="431">
        <v>0</v>
      </c>
      <c r="D127" s="432">
        <v>0</v>
      </c>
      <c r="E127" s="432">
        <v>0</v>
      </c>
      <c r="F127" s="431">
        <f t="shared" si="6"/>
        <v>0</v>
      </c>
      <c r="G127" s="431">
        <f t="shared" si="7"/>
        <v>0</v>
      </c>
      <c r="H127" s="432">
        <v>0</v>
      </c>
      <c r="I127" s="432">
        <v>0</v>
      </c>
      <c r="J127" s="432">
        <v>0</v>
      </c>
    </row>
    <row r="128" spans="1:10" x14ac:dyDescent="0.2">
      <c r="A128" s="430">
        <v>111801</v>
      </c>
      <c r="B128" s="430" t="s">
        <v>825</v>
      </c>
      <c r="C128" s="431">
        <v>0</v>
      </c>
      <c r="D128" s="432">
        <v>0</v>
      </c>
      <c r="E128" s="432">
        <v>0</v>
      </c>
      <c r="F128" s="431">
        <f t="shared" si="6"/>
        <v>0</v>
      </c>
      <c r="G128" s="431">
        <f t="shared" si="7"/>
        <v>0</v>
      </c>
      <c r="H128" s="432">
        <v>0</v>
      </c>
      <c r="I128" s="432">
        <v>0</v>
      </c>
      <c r="J128" s="432">
        <v>0</v>
      </c>
    </row>
    <row r="129" spans="1:10" x14ac:dyDescent="0.2">
      <c r="A129" s="430">
        <v>123803</v>
      </c>
      <c r="B129" s="430" t="s">
        <v>804</v>
      </c>
      <c r="C129" s="431">
        <v>39269</v>
      </c>
      <c r="D129" s="432">
        <v>38091</v>
      </c>
      <c r="E129" s="431"/>
      <c r="F129" s="431">
        <f t="shared" si="6"/>
        <v>38091</v>
      </c>
      <c r="G129" s="431">
        <f t="shared" si="7"/>
        <v>39269</v>
      </c>
      <c r="H129" s="432">
        <v>0</v>
      </c>
      <c r="I129" s="432">
        <v>0</v>
      </c>
      <c r="J129" s="432">
        <v>0</v>
      </c>
    </row>
    <row r="130" spans="1:10" x14ac:dyDescent="0.2">
      <c r="A130" s="430">
        <v>123805</v>
      </c>
      <c r="B130" s="430" t="s">
        <v>4</v>
      </c>
      <c r="C130" s="431">
        <v>0</v>
      </c>
      <c r="D130" s="432">
        <v>0</v>
      </c>
      <c r="E130" s="432">
        <v>0</v>
      </c>
      <c r="F130" s="431">
        <f t="shared" si="6"/>
        <v>0</v>
      </c>
      <c r="G130" s="431">
        <f t="shared" si="7"/>
        <v>0</v>
      </c>
      <c r="H130" s="432">
        <v>0</v>
      </c>
      <c r="I130" s="432">
        <v>0</v>
      </c>
      <c r="J130" s="432">
        <v>0</v>
      </c>
    </row>
    <row r="131" spans="1:10" x14ac:dyDescent="0.2">
      <c r="A131" s="430">
        <v>123807</v>
      </c>
      <c r="B131" s="430" t="s">
        <v>374</v>
      </c>
      <c r="C131" s="431">
        <v>2888.4</v>
      </c>
      <c r="D131" s="432">
        <v>3611</v>
      </c>
      <c r="E131" s="431"/>
      <c r="F131" s="431">
        <f t="shared" ref="F131:F162" si="8">D131-E131</f>
        <v>3611</v>
      </c>
      <c r="G131" s="431">
        <f t="shared" ref="G131:G162" si="9">C131*1+E131</f>
        <v>2888.4</v>
      </c>
      <c r="H131" s="432">
        <v>6490</v>
      </c>
      <c r="I131" s="432">
        <v>1951</v>
      </c>
      <c r="J131" s="432">
        <v>0</v>
      </c>
    </row>
    <row r="132" spans="1:10" x14ac:dyDescent="0.2">
      <c r="A132" s="430">
        <v>126801</v>
      </c>
      <c r="B132" s="430" t="s">
        <v>410</v>
      </c>
      <c r="C132" s="431">
        <v>0</v>
      </c>
      <c r="D132" s="432">
        <v>0</v>
      </c>
      <c r="E132" s="432">
        <v>0</v>
      </c>
      <c r="F132" s="431">
        <f t="shared" si="8"/>
        <v>0</v>
      </c>
      <c r="G132" s="431">
        <f t="shared" si="9"/>
        <v>0</v>
      </c>
      <c r="H132" s="432">
        <v>0</v>
      </c>
      <c r="I132" s="432">
        <v>0</v>
      </c>
      <c r="J132" s="432">
        <v>0</v>
      </c>
    </row>
    <row r="133" spans="1:10" x14ac:dyDescent="0.2">
      <c r="A133" s="430">
        <v>130801</v>
      </c>
      <c r="B133" s="430" t="s">
        <v>815</v>
      </c>
      <c r="C133" s="431">
        <v>0</v>
      </c>
      <c r="D133" s="432">
        <v>0</v>
      </c>
      <c r="E133" s="432">
        <v>0</v>
      </c>
      <c r="F133" s="431">
        <f t="shared" si="8"/>
        <v>0</v>
      </c>
      <c r="G133" s="431">
        <f t="shared" si="9"/>
        <v>0</v>
      </c>
      <c r="H133" s="432">
        <v>0</v>
      </c>
      <c r="I133" s="432">
        <v>0</v>
      </c>
      <c r="J133" s="432">
        <v>0</v>
      </c>
    </row>
    <row r="134" spans="1:10" x14ac:dyDescent="0.2">
      <c r="A134" s="430">
        <v>152802</v>
      </c>
      <c r="B134" s="430" t="s">
        <v>94</v>
      </c>
      <c r="C134" s="431">
        <v>0</v>
      </c>
      <c r="D134" s="432">
        <v>0</v>
      </c>
      <c r="E134" s="432">
        <v>0</v>
      </c>
      <c r="F134" s="431">
        <f t="shared" si="8"/>
        <v>0</v>
      </c>
      <c r="G134" s="431">
        <f t="shared" si="9"/>
        <v>0</v>
      </c>
      <c r="H134" s="432">
        <v>0</v>
      </c>
      <c r="I134" s="432">
        <v>0</v>
      </c>
      <c r="J134" s="432">
        <v>0</v>
      </c>
    </row>
    <row r="135" spans="1:10" x14ac:dyDescent="0.2">
      <c r="A135" s="430">
        <v>152803</v>
      </c>
      <c r="B135" s="430" t="s">
        <v>375</v>
      </c>
      <c r="C135" s="431">
        <v>0</v>
      </c>
      <c r="D135" s="432">
        <v>0</v>
      </c>
      <c r="E135" s="432">
        <v>0</v>
      </c>
      <c r="F135" s="431">
        <f t="shared" si="8"/>
        <v>0</v>
      </c>
      <c r="G135" s="431">
        <f t="shared" si="9"/>
        <v>0</v>
      </c>
      <c r="H135" s="432">
        <v>0</v>
      </c>
      <c r="I135" s="432">
        <v>0</v>
      </c>
      <c r="J135" s="432">
        <v>0</v>
      </c>
    </row>
    <row r="136" spans="1:10" x14ac:dyDescent="0.2">
      <c r="A136" s="430">
        <v>152806</v>
      </c>
      <c r="B136" s="430" t="s">
        <v>666</v>
      </c>
      <c r="C136" s="431">
        <v>0</v>
      </c>
      <c r="D136" s="432">
        <v>0</v>
      </c>
      <c r="E136" s="432">
        <v>0</v>
      </c>
      <c r="F136" s="431">
        <f t="shared" si="8"/>
        <v>0</v>
      </c>
      <c r="G136" s="431">
        <f t="shared" si="9"/>
        <v>0</v>
      </c>
      <c r="H136" s="432">
        <v>0</v>
      </c>
      <c r="I136" s="432">
        <v>0</v>
      </c>
      <c r="J136" s="432">
        <v>0</v>
      </c>
    </row>
    <row r="137" spans="1:10" x14ac:dyDescent="0.2">
      <c r="A137" s="430">
        <v>161801</v>
      </c>
      <c r="B137" s="430" t="s">
        <v>5</v>
      </c>
      <c r="C137" s="431">
        <v>0</v>
      </c>
      <c r="D137" s="432">
        <v>0</v>
      </c>
      <c r="E137" s="432">
        <v>0</v>
      </c>
      <c r="F137" s="431">
        <f t="shared" si="8"/>
        <v>0</v>
      </c>
      <c r="G137" s="431">
        <f t="shared" si="9"/>
        <v>0</v>
      </c>
      <c r="H137" s="432">
        <v>0</v>
      </c>
      <c r="I137" s="432">
        <v>0</v>
      </c>
      <c r="J137" s="432">
        <v>0</v>
      </c>
    </row>
    <row r="138" spans="1:10" x14ac:dyDescent="0.2">
      <c r="A138" s="430">
        <v>161802</v>
      </c>
      <c r="B138" s="430" t="s">
        <v>376</v>
      </c>
      <c r="C138" s="431">
        <v>0</v>
      </c>
      <c r="D138" s="432">
        <v>0</v>
      </c>
      <c r="E138" s="432">
        <v>0</v>
      </c>
      <c r="F138" s="431">
        <f t="shared" si="8"/>
        <v>0</v>
      </c>
      <c r="G138" s="431">
        <f t="shared" si="9"/>
        <v>0</v>
      </c>
      <c r="H138" s="432">
        <v>0</v>
      </c>
      <c r="I138" s="432">
        <v>0</v>
      </c>
      <c r="J138" s="432">
        <v>0</v>
      </c>
    </row>
    <row r="139" spans="1:10" x14ac:dyDescent="0.2">
      <c r="A139" s="430">
        <v>161807</v>
      </c>
      <c r="B139" s="430" t="s">
        <v>377</v>
      </c>
      <c r="C139" s="431">
        <v>0</v>
      </c>
      <c r="D139" s="432">
        <v>0</v>
      </c>
      <c r="E139" s="432">
        <v>0</v>
      </c>
      <c r="F139" s="431">
        <f t="shared" si="8"/>
        <v>0</v>
      </c>
      <c r="G139" s="431">
        <f t="shared" si="9"/>
        <v>0</v>
      </c>
      <c r="H139" s="432">
        <v>0</v>
      </c>
      <c r="I139" s="432">
        <v>0</v>
      </c>
      <c r="J139" s="432">
        <v>0</v>
      </c>
    </row>
    <row r="140" spans="1:10" x14ac:dyDescent="0.2">
      <c r="A140" s="430">
        <v>165802</v>
      </c>
      <c r="B140" s="430" t="s">
        <v>95</v>
      </c>
      <c r="C140" s="431">
        <v>0</v>
      </c>
      <c r="D140" s="432">
        <v>0</v>
      </c>
      <c r="E140" s="432">
        <v>0</v>
      </c>
      <c r="F140" s="431">
        <f t="shared" si="8"/>
        <v>0</v>
      </c>
      <c r="G140" s="431">
        <f t="shared" si="9"/>
        <v>0</v>
      </c>
      <c r="H140" s="432">
        <v>0</v>
      </c>
      <c r="I140" s="432">
        <v>0</v>
      </c>
      <c r="J140" s="432">
        <v>0</v>
      </c>
    </row>
    <row r="141" spans="1:10" x14ac:dyDescent="0.2">
      <c r="A141" s="430">
        <v>170801</v>
      </c>
      <c r="B141" s="430" t="s">
        <v>75</v>
      </c>
      <c r="C141" s="431">
        <v>209953.5</v>
      </c>
      <c r="D141" s="432">
        <v>184759</v>
      </c>
      <c r="E141" s="431"/>
      <c r="F141" s="431">
        <f t="shared" si="8"/>
        <v>184759</v>
      </c>
      <c r="G141" s="431">
        <f t="shared" si="9"/>
        <v>209953.5</v>
      </c>
      <c r="H141" s="432">
        <v>0</v>
      </c>
      <c r="I141" s="432">
        <v>0</v>
      </c>
      <c r="J141" s="432">
        <v>0</v>
      </c>
    </row>
    <row r="142" spans="1:10" x14ac:dyDescent="0.2">
      <c r="A142" s="430">
        <v>174801</v>
      </c>
      <c r="B142" s="430" t="s">
        <v>378</v>
      </c>
      <c r="C142" s="431">
        <v>0</v>
      </c>
      <c r="D142" s="432">
        <v>0</v>
      </c>
      <c r="E142" s="432">
        <v>0</v>
      </c>
      <c r="F142" s="431">
        <f t="shared" si="8"/>
        <v>0</v>
      </c>
      <c r="G142" s="431">
        <f t="shared" si="9"/>
        <v>0</v>
      </c>
      <c r="H142" s="432">
        <v>0</v>
      </c>
      <c r="I142" s="432">
        <v>0</v>
      </c>
      <c r="J142" s="432">
        <v>0</v>
      </c>
    </row>
    <row r="143" spans="1:10" x14ac:dyDescent="0.2">
      <c r="A143" s="430">
        <v>178801</v>
      </c>
      <c r="B143" s="430" t="s">
        <v>394</v>
      </c>
      <c r="C143" s="431">
        <v>0</v>
      </c>
      <c r="D143" s="432">
        <v>0</v>
      </c>
      <c r="E143" s="432">
        <v>0</v>
      </c>
      <c r="F143" s="431">
        <f t="shared" si="8"/>
        <v>0</v>
      </c>
      <c r="G143" s="431">
        <f t="shared" si="9"/>
        <v>0</v>
      </c>
      <c r="H143" s="432">
        <v>0</v>
      </c>
      <c r="I143" s="432">
        <v>0</v>
      </c>
      <c r="J143" s="432">
        <v>0</v>
      </c>
    </row>
    <row r="144" spans="1:10" x14ac:dyDescent="0.2">
      <c r="A144" s="430">
        <v>178807</v>
      </c>
      <c r="B144" s="430" t="s">
        <v>73</v>
      </c>
      <c r="C144" s="431">
        <v>0</v>
      </c>
      <c r="D144" s="432">
        <v>0</v>
      </c>
      <c r="E144" s="432">
        <v>0</v>
      </c>
      <c r="F144" s="431">
        <f t="shared" si="8"/>
        <v>0</v>
      </c>
      <c r="G144" s="431">
        <f t="shared" si="9"/>
        <v>0</v>
      </c>
      <c r="H144" s="432">
        <v>0</v>
      </c>
      <c r="I144" s="432">
        <v>0</v>
      </c>
      <c r="J144" s="432">
        <v>0</v>
      </c>
    </row>
    <row r="145" spans="1:10" x14ac:dyDescent="0.2">
      <c r="A145" s="430">
        <v>178808</v>
      </c>
      <c r="B145" s="430" t="s">
        <v>107</v>
      </c>
      <c r="C145" s="431">
        <v>0</v>
      </c>
      <c r="D145" s="432">
        <v>0</v>
      </c>
      <c r="E145" s="432">
        <v>0</v>
      </c>
      <c r="F145" s="431">
        <f t="shared" si="8"/>
        <v>0</v>
      </c>
      <c r="G145" s="431">
        <f t="shared" si="9"/>
        <v>0</v>
      </c>
      <c r="H145" s="432">
        <v>0</v>
      </c>
      <c r="I145" s="432">
        <v>0</v>
      </c>
      <c r="J145" s="432">
        <v>0</v>
      </c>
    </row>
    <row r="146" spans="1:10" x14ac:dyDescent="0.2">
      <c r="A146" s="430">
        <v>183801</v>
      </c>
      <c r="B146" s="430" t="s">
        <v>76</v>
      </c>
      <c r="C146" s="431">
        <v>0</v>
      </c>
      <c r="D146" s="432">
        <v>0</v>
      </c>
      <c r="E146" s="432">
        <v>0</v>
      </c>
      <c r="F146" s="431">
        <f t="shared" si="8"/>
        <v>0</v>
      </c>
      <c r="G146" s="431">
        <f t="shared" si="9"/>
        <v>0</v>
      </c>
      <c r="H146" s="432">
        <v>0</v>
      </c>
      <c r="I146" s="432">
        <v>0</v>
      </c>
      <c r="J146" s="432">
        <v>0</v>
      </c>
    </row>
    <row r="147" spans="1:10" x14ac:dyDescent="0.2">
      <c r="A147" s="430">
        <v>184801</v>
      </c>
      <c r="B147" s="430" t="s">
        <v>6</v>
      </c>
      <c r="C147" s="431">
        <v>0</v>
      </c>
      <c r="D147" s="432">
        <v>0</v>
      </c>
      <c r="E147" s="432">
        <v>0</v>
      </c>
      <c r="F147" s="431">
        <f t="shared" si="8"/>
        <v>0</v>
      </c>
      <c r="G147" s="431">
        <f t="shared" si="9"/>
        <v>0</v>
      </c>
      <c r="H147" s="432">
        <v>0</v>
      </c>
      <c r="I147" s="432">
        <v>0</v>
      </c>
      <c r="J147" s="432">
        <v>0</v>
      </c>
    </row>
    <row r="148" spans="1:10" x14ac:dyDescent="0.2">
      <c r="A148" s="430">
        <v>193801</v>
      </c>
      <c r="B148" s="430" t="s">
        <v>77</v>
      </c>
      <c r="C148" s="431">
        <v>124956</v>
      </c>
      <c r="D148" s="432">
        <v>84970</v>
      </c>
      <c r="E148" s="431"/>
      <c r="F148" s="431">
        <f t="shared" si="8"/>
        <v>84970</v>
      </c>
      <c r="G148" s="431">
        <f t="shared" si="9"/>
        <v>124956</v>
      </c>
      <c r="H148" s="432">
        <v>0</v>
      </c>
      <c r="I148" s="432">
        <v>0</v>
      </c>
      <c r="J148" s="432">
        <v>0</v>
      </c>
    </row>
    <row r="149" spans="1:10" x14ac:dyDescent="0.2">
      <c r="A149" s="430">
        <v>212801</v>
      </c>
      <c r="B149" s="430" t="s">
        <v>78</v>
      </c>
      <c r="C149" s="431">
        <v>0</v>
      </c>
      <c r="D149" s="432">
        <v>0</v>
      </c>
      <c r="E149" s="432">
        <v>0</v>
      </c>
      <c r="F149" s="431">
        <f t="shared" si="8"/>
        <v>0</v>
      </c>
      <c r="G149" s="431">
        <f t="shared" si="9"/>
        <v>0</v>
      </c>
      <c r="H149" s="432">
        <v>0</v>
      </c>
      <c r="I149" s="432">
        <v>0</v>
      </c>
      <c r="J149" s="432">
        <v>0</v>
      </c>
    </row>
    <row r="150" spans="1:10" x14ac:dyDescent="0.2">
      <c r="A150" s="430">
        <v>212804</v>
      </c>
      <c r="B150" s="430" t="s">
        <v>127</v>
      </c>
      <c r="C150" s="431">
        <v>0</v>
      </c>
      <c r="D150" s="432">
        <v>0</v>
      </c>
      <c r="E150" s="432">
        <v>0</v>
      </c>
      <c r="F150" s="431">
        <f t="shared" si="8"/>
        <v>0</v>
      </c>
      <c r="G150" s="431">
        <f t="shared" si="9"/>
        <v>0</v>
      </c>
      <c r="H150" s="432">
        <v>0</v>
      </c>
      <c r="I150" s="432">
        <v>0</v>
      </c>
      <c r="J150" s="432">
        <v>0</v>
      </c>
    </row>
    <row r="151" spans="1:10" x14ac:dyDescent="0.2">
      <c r="A151" s="430">
        <v>213801</v>
      </c>
      <c r="B151" s="430" t="s">
        <v>79</v>
      </c>
      <c r="C151" s="431">
        <v>0</v>
      </c>
      <c r="D151" s="432">
        <v>0</v>
      </c>
      <c r="E151" s="432">
        <v>0</v>
      </c>
      <c r="F151" s="431">
        <f t="shared" si="8"/>
        <v>0</v>
      </c>
      <c r="G151" s="431">
        <f t="shared" si="9"/>
        <v>0</v>
      </c>
      <c r="H151" s="432">
        <v>0</v>
      </c>
      <c r="I151" s="432">
        <v>0</v>
      </c>
      <c r="J151" s="432">
        <v>0</v>
      </c>
    </row>
    <row r="152" spans="1:10" x14ac:dyDescent="0.2">
      <c r="A152" s="430">
        <v>220801</v>
      </c>
      <c r="B152" s="430" t="s">
        <v>80</v>
      </c>
      <c r="C152" s="431">
        <v>0</v>
      </c>
      <c r="D152" s="432">
        <v>0</v>
      </c>
      <c r="E152" s="432">
        <v>0</v>
      </c>
      <c r="F152" s="431">
        <f t="shared" si="8"/>
        <v>0</v>
      </c>
      <c r="G152" s="431">
        <f t="shared" si="9"/>
        <v>0</v>
      </c>
      <c r="H152" s="432">
        <v>0</v>
      </c>
      <c r="I152" s="432">
        <v>0</v>
      </c>
      <c r="J152" s="432">
        <v>0</v>
      </c>
    </row>
    <row r="153" spans="1:10" x14ac:dyDescent="0.2">
      <c r="A153" s="430">
        <v>220802</v>
      </c>
      <c r="B153" s="430" t="s">
        <v>81</v>
      </c>
      <c r="C153" s="431">
        <v>0</v>
      </c>
      <c r="D153" s="432">
        <v>0</v>
      </c>
      <c r="E153" s="432">
        <v>0</v>
      </c>
      <c r="F153" s="431">
        <f t="shared" si="8"/>
        <v>0</v>
      </c>
      <c r="G153" s="431">
        <f t="shared" si="9"/>
        <v>0</v>
      </c>
      <c r="H153" s="432">
        <v>0</v>
      </c>
      <c r="I153" s="432">
        <v>0</v>
      </c>
      <c r="J153" s="432">
        <v>0</v>
      </c>
    </row>
    <row r="154" spans="1:10" x14ac:dyDescent="0.2">
      <c r="A154" s="430">
        <v>220809</v>
      </c>
      <c r="B154" s="430" t="s">
        <v>82</v>
      </c>
      <c r="C154" s="431">
        <v>0</v>
      </c>
      <c r="D154" s="432">
        <v>0</v>
      </c>
      <c r="E154" s="432">
        <v>0</v>
      </c>
      <c r="F154" s="431">
        <f t="shared" si="8"/>
        <v>0</v>
      </c>
      <c r="G154" s="431">
        <f t="shared" si="9"/>
        <v>0</v>
      </c>
      <c r="H154" s="432">
        <v>0</v>
      </c>
      <c r="I154" s="432">
        <v>0</v>
      </c>
      <c r="J154" s="432">
        <v>0</v>
      </c>
    </row>
    <row r="155" spans="1:10" x14ac:dyDescent="0.2">
      <c r="A155" s="430">
        <v>220810</v>
      </c>
      <c r="B155" s="430" t="s">
        <v>0</v>
      </c>
      <c r="C155" s="431">
        <v>0</v>
      </c>
      <c r="D155" s="432">
        <v>0</v>
      </c>
      <c r="E155" s="432">
        <v>0</v>
      </c>
      <c r="F155" s="431">
        <f t="shared" si="8"/>
        <v>0</v>
      </c>
      <c r="G155" s="431">
        <f t="shared" si="9"/>
        <v>0</v>
      </c>
      <c r="H155" s="432">
        <v>0</v>
      </c>
      <c r="I155" s="432">
        <v>0</v>
      </c>
      <c r="J155" s="432">
        <v>0</v>
      </c>
    </row>
    <row r="156" spans="1:10" x14ac:dyDescent="0.2">
      <c r="A156" s="430">
        <v>220811</v>
      </c>
      <c r="B156" s="430" t="s">
        <v>67</v>
      </c>
      <c r="C156" s="431">
        <v>0</v>
      </c>
      <c r="D156" s="432">
        <v>0</v>
      </c>
      <c r="E156" s="432">
        <v>0</v>
      </c>
      <c r="F156" s="431">
        <f t="shared" si="8"/>
        <v>0</v>
      </c>
      <c r="G156" s="431">
        <f t="shared" si="9"/>
        <v>0</v>
      </c>
      <c r="H156" s="432">
        <v>0</v>
      </c>
      <c r="I156" s="432">
        <v>0</v>
      </c>
      <c r="J156" s="432">
        <v>0</v>
      </c>
    </row>
    <row r="157" spans="1:10" x14ac:dyDescent="0.2">
      <c r="A157" s="430">
        <v>220814</v>
      </c>
      <c r="B157" s="430" t="s">
        <v>379</v>
      </c>
      <c r="C157" s="431">
        <v>0</v>
      </c>
      <c r="D157" s="432">
        <v>0</v>
      </c>
      <c r="E157" s="432">
        <v>0</v>
      </c>
      <c r="F157" s="431">
        <f t="shared" si="8"/>
        <v>0</v>
      </c>
      <c r="G157" s="431">
        <f t="shared" si="9"/>
        <v>0</v>
      </c>
      <c r="H157" s="432">
        <v>0</v>
      </c>
      <c r="I157" s="432">
        <v>0</v>
      </c>
      <c r="J157" s="432">
        <v>0</v>
      </c>
    </row>
    <row r="158" spans="1:10" x14ac:dyDescent="0.2">
      <c r="A158" s="430">
        <v>220815</v>
      </c>
      <c r="B158" s="430" t="s">
        <v>380</v>
      </c>
      <c r="C158" s="431">
        <v>0</v>
      </c>
      <c r="D158" s="432">
        <v>0</v>
      </c>
      <c r="E158" s="432">
        <v>0</v>
      </c>
      <c r="F158" s="431">
        <f t="shared" si="8"/>
        <v>0</v>
      </c>
      <c r="G158" s="431">
        <f t="shared" si="9"/>
        <v>0</v>
      </c>
      <c r="H158" s="432">
        <v>0</v>
      </c>
      <c r="I158" s="432">
        <v>0</v>
      </c>
      <c r="J158" s="432">
        <v>0</v>
      </c>
    </row>
    <row r="159" spans="1:10" x14ac:dyDescent="0.2">
      <c r="A159" s="430">
        <v>220817</v>
      </c>
      <c r="B159" s="430" t="s">
        <v>381</v>
      </c>
      <c r="C159" s="431">
        <v>0</v>
      </c>
      <c r="D159" s="432">
        <v>0</v>
      </c>
      <c r="E159" s="432">
        <v>0</v>
      </c>
      <c r="F159" s="431">
        <f t="shared" si="8"/>
        <v>0</v>
      </c>
      <c r="G159" s="431">
        <f t="shared" si="9"/>
        <v>0</v>
      </c>
      <c r="H159" s="432">
        <v>0</v>
      </c>
      <c r="I159" s="432">
        <v>0</v>
      </c>
      <c r="J159" s="432">
        <v>0</v>
      </c>
    </row>
    <row r="160" spans="1:10" x14ac:dyDescent="0.2">
      <c r="A160" s="430">
        <v>220819</v>
      </c>
      <c r="B160" s="430" t="s">
        <v>392</v>
      </c>
      <c r="C160" s="431">
        <v>0</v>
      </c>
      <c r="D160" s="432">
        <v>0</v>
      </c>
      <c r="E160" s="432">
        <v>0</v>
      </c>
      <c r="F160" s="431">
        <f t="shared" si="8"/>
        <v>0</v>
      </c>
      <c r="G160" s="431">
        <f t="shared" si="9"/>
        <v>0</v>
      </c>
      <c r="H160" s="432">
        <v>0</v>
      </c>
      <c r="I160" s="432">
        <v>0</v>
      </c>
      <c r="J160" s="432">
        <v>0</v>
      </c>
    </row>
    <row r="161" spans="1:10" x14ac:dyDescent="0.2">
      <c r="A161" s="430">
        <v>221801</v>
      </c>
      <c r="B161" s="430" t="s">
        <v>382</v>
      </c>
      <c r="C161" s="431">
        <v>0</v>
      </c>
      <c r="D161" s="432">
        <v>0</v>
      </c>
      <c r="E161" s="432">
        <v>0</v>
      </c>
      <c r="F161" s="431">
        <f t="shared" si="8"/>
        <v>0</v>
      </c>
      <c r="G161" s="431">
        <f t="shared" si="9"/>
        <v>0</v>
      </c>
      <c r="H161" s="432">
        <v>0</v>
      </c>
      <c r="I161" s="432">
        <v>0</v>
      </c>
      <c r="J161" s="432">
        <v>0</v>
      </c>
    </row>
    <row r="162" spans="1:10" x14ac:dyDescent="0.2">
      <c r="A162" s="430">
        <v>226801</v>
      </c>
      <c r="B162" s="430" t="s">
        <v>108</v>
      </c>
      <c r="C162" s="431">
        <v>0</v>
      </c>
      <c r="D162" s="432">
        <v>0</v>
      </c>
      <c r="E162" s="432">
        <v>0</v>
      </c>
      <c r="F162" s="431">
        <f t="shared" si="8"/>
        <v>0</v>
      </c>
      <c r="G162" s="431">
        <f t="shared" si="9"/>
        <v>0</v>
      </c>
      <c r="H162" s="432">
        <v>0</v>
      </c>
      <c r="I162" s="432">
        <v>0</v>
      </c>
      <c r="J162" s="432">
        <v>0</v>
      </c>
    </row>
    <row r="163" spans="1:10" x14ac:dyDescent="0.2">
      <c r="A163" s="430">
        <v>227803</v>
      </c>
      <c r="B163" s="430" t="s">
        <v>383</v>
      </c>
      <c r="C163" s="431">
        <v>0</v>
      </c>
      <c r="D163" s="432">
        <v>0</v>
      </c>
      <c r="E163" s="432">
        <v>0</v>
      </c>
      <c r="F163" s="431">
        <f t="shared" ref="F163:F184" si="10">D163-E163</f>
        <v>0</v>
      </c>
      <c r="G163" s="431">
        <f t="shared" ref="G163:G184" si="11">C163*1+E163</f>
        <v>0</v>
      </c>
      <c r="H163" s="432">
        <v>0</v>
      </c>
      <c r="I163" s="432">
        <v>0</v>
      </c>
      <c r="J163" s="432">
        <v>0</v>
      </c>
    </row>
    <row r="164" spans="1:10" x14ac:dyDescent="0.2">
      <c r="A164" s="430">
        <v>227804</v>
      </c>
      <c r="B164" s="430" t="s">
        <v>83</v>
      </c>
      <c r="C164" s="431">
        <v>0</v>
      </c>
      <c r="D164" s="432">
        <v>0</v>
      </c>
      <c r="E164" s="432">
        <v>0</v>
      </c>
      <c r="F164" s="431">
        <f t="shared" si="10"/>
        <v>0</v>
      </c>
      <c r="G164" s="431">
        <f t="shared" si="11"/>
        <v>0</v>
      </c>
      <c r="H164" s="432">
        <v>0</v>
      </c>
      <c r="I164" s="432">
        <v>0</v>
      </c>
      <c r="J164" s="432">
        <v>0</v>
      </c>
    </row>
    <row r="165" spans="1:10" x14ac:dyDescent="0.2">
      <c r="A165" s="430">
        <v>227805</v>
      </c>
      <c r="B165" s="430" t="s">
        <v>84</v>
      </c>
      <c r="C165" s="431">
        <v>0</v>
      </c>
      <c r="D165" s="432">
        <v>0</v>
      </c>
      <c r="E165" s="432">
        <v>0</v>
      </c>
      <c r="F165" s="431">
        <f t="shared" si="10"/>
        <v>0</v>
      </c>
      <c r="G165" s="431">
        <f t="shared" si="11"/>
        <v>0</v>
      </c>
      <c r="H165" s="432">
        <v>0</v>
      </c>
      <c r="I165" s="432">
        <v>0</v>
      </c>
      <c r="J165" s="432">
        <v>0</v>
      </c>
    </row>
    <row r="166" spans="1:10" x14ac:dyDescent="0.2">
      <c r="A166" s="430">
        <v>227806</v>
      </c>
      <c r="B166" s="430" t="s">
        <v>90</v>
      </c>
      <c r="C166" s="431">
        <v>0</v>
      </c>
      <c r="D166" s="432">
        <v>0</v>
      </c>
      <c r="E166" s="432">
        <v>0</v>
      </c>
      <c r="F166" s="431">
        <f t="shared" si="10"/>
        <v>0</v>
      </c>
      <c r="G166" s="431">
        <f t="shared" si="11"/>
        <v>0</v>
      </c>
      <c r="H166" s="432">
        <v>0</v>
      </c>
      <c r="I166" s="432">
        <v>0</v>
      </c>
      <c r="J166" s="432">
        <v>0</v>
      </c>
    </row>
    <row r="167" spans="1:10" x14ac:dyDescent="0.2">
      <c r="A167" s="430">
        <v>227814</v>
      </c>
      <c r="B167" s="430" t="s">
        <v>99</v>
      </c>
      <c r="C167" s="431">
        <v>0</v>
      </c>
      <c r="D167" s="432">
        <v>0</v>
      </c>
      <c r="E167" s="432">
        <v>0</v>
      </c>
      <c r="F167" s="431">
        <f t="shared" si="10"/>
        <v>0</v>
      </c>
      <c r="G167" s="431">
        <f t="shared" si="11"/>
        <v>0</v>
      </c>
      <c r="H167" s="432">
        <v>0</v>
      </c>
      <c r="I167" s="432">
        <v>0</v>
      </c>
      <c r="J167" s="432">
        <v>0</v>
      </c>
    </row>
    <row r="168" spans="1:10" x14ac:dyDescent="0.2">
      <c r="A168" s="430">
        <v>227816</v>
      </c>
      <c r="B168" s="430" t="s">
        <v>396</v>
      </c>
      <c r="C168" s="431">
        <v>0</v>
      </c>
      <c r="D168" s="432">
        <v>0</v>
      </c>
      <c r="E168" s="432">
        <v>0</v>
      </c>
      <c r="F168" s="431">
        <f t="shared" si="10"/>
        <v>0</v>
      </c>
      <c r="G168" s="431">
        <f t="shared" si="11"/>
        <v>0</v>
      </c>
      <c r="H168" s="432">
        <v>0</v>
      </c>
      <c r="I168" s="432">
        <v>0</v>
      </c>
      <c r="J168" s="432">
        <v>0</v>
      </c>
    </row>
    <row r="169" spans="1:10" x14ac:dyDescent="0.2">
      <c r="A169" s="430">
        <v>227817</v>
      </c>
      <c r="B169" s="430" t="s">
        <v>85</v>
      </c>
      <c r="C169" s="431">
        <v>0</v>
      </c>
      <c r="D169" s="432">
        <v>0</v>
      </c>
      <c r="E169" s="432">
        <v>0</v>
      </c>
      <c r="F169" s="431">
        <f t="shared" si="10"/>
        <v>0</v>
      </c>
      <c r="G169" s="431">
        <f t="shared" si="11"/>
        <v>0</v>
      </c>
      <c r="H169" s="432">
        <v>0</v>
      </c>
      <c r="I169" s="432">
        <v>0</v>
      </c>
      <c r="J169" s="432">
        <v>0</v>
      </c>
    </row>
    <row r="170" spans="1:10" x14ac:dyDescent="0.2">
      <c r="A170" s="430">
        <v>227819</v>
      </c>
      <c r="B170" s="430" t="s">
        <v>802</v>
      </c>
      <c r="C170" s="431">
        <v>10034</v>
      </c>
      <c r="D170" s="432">
        <v>8830</v>
      </c>
      <c r="E170" s="431"/>
      <c r="F170" s="431">
        <f t="shared" si="10"/>
        <v>8830</v>
      </c>
      <c r="G170" s="431">
        <f t="shared" si="11"/>
        <v>10034</v>
      </c>
      <c r="H170" s="432">
        <v>0</v>
      </c>
      <c r="I170" s="432">
        <v>0</v>
      </c>
      <c r="J170" s="432">
        <v>0</v>
      </c>
    </row>
    <row r="171" spans="1:10" x14ac:dyDescent="0.2">
      <c r="A171" s="430">
        <v>227820</v>
      </c>
      <c r="B171" s="430" t="s">
        <v>662</v>
      </c>
      <c r="C171" s="431">
        <v>522882.5</v>
      </c>
      <c r="D171" s="432">
        <v>460137</v>
      </c>
      <c r="E171" s="431"/>
      <c r="F171" s="431">
        <f t="shared" si="10"/>
        <v>460137</v>
      </c>
      <c r="G171" s="431">
        <f t="shared" si="11"/>
        <v>522882.5</v>
      </c>
      <c r="H171" s="432">
        <v>44350</v>
      </c>
      <c r="I171" s="432">
        <v>0</v>
      </c>
      <c r="J171" s="432">
        <v>0</v>
      </c>
    </row>
    <row r="172" spans="1:10" x14ac:dyDescent="0.2">
      <c r="A172" s="430">
        <v>227821</v>
      </c>
      <c r="B172" s="430" t="s">
        <v>72</v>
      </c>
      <c r="C172" s="431">
        <v>0</v>
      </c>
      <c r="D172" s="432">
        <v>0</v>
      </c>
      <c r="E172" s="432">
        <v>0</v>
      </c>
      <c r="F172" s="431">
        <f t="shared" si="10"/>
        <v>0</v>
      </c>
      <c r="G172" s="431">
        <f t="shared" si="11"/>
        <v>0</v>
      </c>
      <c r="H172" s="432">
        <v>0</v>
      </c>
      <c r="I172" s="432">
        <v>0</v>
      </c>
      <c r="J172" s="432">
        <v>0</v>
      </c>
    </row>
    <row r="173" spans="1:10" x14ac:dyDescent="0.2">
      <c r="A173" s="430">
        <v>227824</v>
      </c>
      <c r="B173" s="430" t="s">
        <v>553</v>
      </c>
      <c r="C173" s="431">
        <v>59499.9</v>
      </c>
      <c r="D173" s="432">
        <v>57715</v>
      </c>
      <c r="E173" s="431"/>
      <c r="F173" s="431">
        <f t="shared" si="10"/>
        <v>57715</v>
      </c>
      <c r="G173" s="431">
        <f t="shared" si="11"/>
        <v>59499.9</v>
      </c>
      <c r="H173" s="432">
        <v>0</v>
      </c>
      <c r="I173" s="432">
        <v>0</v>
      </c>
      <c r="J173" s="432">
        <v>0</v>
      </c>
    </row>
    <row r="174" spans="1:10" x14ac:dyDescent="0.2">
      <c r="A174" s="430">
        <v>227825</v>
      </c>
      <c r="B174" s="430" t="s">
        <v>128</v>
      </c>
      <c r="C174" s="431">
        <v>70717.5</v>
      </c>
      <c r="D174" s="432">
        <v>62231</v>
      </c>
      <c r="E174" s="431"/>
      <c r="F174" s="431">
        <f t="shared" si="10"/>
        <v>62231</v>
      </c>
      <c r="G174" s="431">
        <f t="shared" si="11"/>
        <v>70717.5</v>
      </c>
      <c r="H174" s="432">
        <v>0</v>
      </c>
      <c r="I174" s="432">
        <v>0</v>
      </c>
      <c r="J174" s="432">
        <v>0</v>
      </c>
    </row>
    <row r="175" spans="1:10" x14ac:dyDescent="0.2">
      <c r="A175" s="430">
        <v>227826</v>
      </c>
      <c r="B175" s="430" t="s">
        <v>384</v>
      </c>
      <c r="C175" s="431">
        <v>0</v>
      </c>
      <c r="D175" s="432">
        <v>0</v>
      </c>
      <c r="E175" s="432">
        <v>0</v>
      </c>
      <c r="F175" s="431">
        <f t="shared" si="10"/>
        <v>0</v>
      </c>
      <c r="G175" s="431">
        <f t="shared" si="11"/>
        <v>0</v>
      </c>
      <c r="H175" s="432">
        <v>0</v>
      </c>
      <c r="I175" s="432">
        <v>0</v>
      </c>
      <c r="J175" s="432">
        <v>0</v>
      </c>
    </row>
    <row r="176" spans="1:10" x14ac:dyDescent="0.2">
      <c r="A176" s="430">
        <v>227827</v>
      </c>
      <c r="B176" s="430" t="s">
        <v>385</v>
      </c>
      <c r="C176" s="431">
        <v>0</v>
      </c>
      <c r="D176" s="432">
        <v>1567</v>
      </c>
      <c r="E176" s="432">
        <v>1567</v>
      </c>
      <c r="F176" s="431">
        <f t="shared" si="10"/>
        <v>0</v>
      </c>
      <c r="G176" s="431">
        <f t="shared" si="11"/>
        <v>1567</v>
      </c>
      <c r="H176" s="432">
        <v>0</v>
      </c>
      <c r="I176" s="432">
        <v>0</v>
      </c>
      <c r="J176" s="432">
        <v>0</v>
      </c>
    </row>
    <row r="177" spans="1:10" x14ac:dyDescent="0.2">
      <c r="A177" s="430">
        <v>227828</v>
      </c>
      <c r="B177" s="430" t="s">
        <v>393</v>
      </c>
      <c r="C177" s="431">
        <v>0</v>
      </c>
      <c r="D177" s="432">
        <v>6031</v>
      </c>
      <c r="E177" s="432">
        <v>6031</v>
      </c>
      <c r="F177" s="431">
        <f t="shared" si="10"/>
        <v>0</v>
      </c>
      <c r="G177" s="431">
        <f t="shared" si="11"/>
        <v>6031</v>
      </c>
      <c r="H177" s="432">
        <v>0</v>
      </c>
      <c r="I177" s="432">
        <v>0</v>
      </c>
      <c r="J177" s="432">
        <v>0</v>
      </c>
    </row>
    <row r="178" spans="1:10" x14ac:dyDescent="0.2">
      <c r="A178" s="430">
        <v>227829</v>
      </c>
      <c r="B178" s="430" t="s">
        <v>821</v>
      </c>
      <c r="C178" s="431">
        <v>0</v>
      </c>
      <c r="D178" s="432">
        <v>0</v>
      </c>
      <c r="E178" s="432">
        <v>0</v>
      </c>
      <c r="F178" s="431">
        <f t="shared" si="10"/>
        <v>0</v>
      </c>
      <c r="G178" s="431">
        <f t="shared" si="11"/>
        <v>0</v>
      </c>
      <c r="H178" s="432">
        <v>0</v>
      </c>
      <c r="I178" s="432">
        <v>0</v>
      </c>
      <c r="J178" s="432">
        <v>0</v>
      </c>
    </row>
    <row r="179" spans="1:10" x14ac:dyDescent="0.2">
      <c r="A179" s="430">
        <v>234801</v>
      </c>
      <c r="B179" s="430" t="s">
        <v>86</v>
      </c>
      <c r="C179" s="431">
        <v>0</v>
      </c>
      <c r="D179" s="432">
        <v>0</v>
      </c>
      <c r="E179" s="432">
        <v>0</v>
      </c>
      <c r="F179" s="431">
        <f t="shared" si="10"/>
        <v>0</v>
      </c>
      <c r="G179" s="431">
        <f t="shared" si="11"/>
        <v>0</v>
      </c>
      <c r="H179" s="432">
        <v>0</v>
      </c>
      <c r="I179" s="432">
        <v>0</v>
      </c>
      <c r="J179" s="432">
        <v>0</v>
      </c>
    </row>
    <row r="180" spans="1:10" x14ac:dyDescent="0.2">
      <c r="A180" s="430">
        <v>236801</v>
      </c>
      <c r="B180" s="430" t="s">
        <v>87</v>
      </c>
      <c r="C180" s="431">
        <v>0</v>
      </c>
      <c r="D180" s="432">
        <v>0</v>
      </c>
      <c r="E180" s="432">
        <v>0</v>
      </c>
      <c r="F180" s="431">
        <f t="shared" si="10"/>
        <v>0</v>
      </c>
      <c r="G180" s="431">
        <f t="shared" si="11"/>
        <v>0</v>
      </c>
      <c r="H180" s="432">
        <v>0</v>
      </c>
      <c r="I180" s="432">
        <v>0</v>
      </c>
      <c r="J180" s="432">
        <v>0</v>
      </c>
    </row>
    <row r="181" spans="1:10" x14ac:dyDescent="0.2">
      <c r="A181" s="430">
        <v>236802</v>
      </c>
      <c r="B181" s="430" t="s">
        <v>413</v>
      </c>
      <c r="C181" s="431">
        <v>0</v>
      </c>
      <c r="D181" s="432">
        <v>0</v>
      </c>
      <c r="E181" s="432">
        <v>0</v>
      </c>
      <c r="F181" s="431">
        <f t="shared" si="10"/>
        <v>0</v>
      </c>
      <c r="G181" s="431">
        <f t="shared" si="11"/>
        <v>0</v>
      </c>
      <c r="H181" s="432">
        <v>0</v>
      </c>
      <c r="I181" s="432">
        <v>0</v>
      </c>
      <c r="J181" s="432">
        <v>0</v>
      </c>
    </row>
    <row r="182" spans="1:10" x14ac:dyDescent="0.2">
      <c r="A182" s="430">
        <v>240801</v>
      </c>
      <c r="B182" s="430" t="s">
        <v>386</v>
      </c>
      <c r="C182" s="431">
        <v>0</v>
      </c>
      <c r="D182" s="432">
        <v>0</v>
      </c>
      <c r="E182" s="432">
        <v>0</v>
      </c>
      <c r="F182" s="431">
        <f t="shared" si="10"/>
        <v>0</v>
      </c>
      <c r="G182" s="431">
        <f t="shared" si="11"/>
        <v>0</v>
      </c>
      <c r="H182" s="432">
        <v>0</v>
      </c>
      <c r="I182" s="432">
        <v>0</v>
      </c>
      <c r="J182" s="432">
        <v>0</v>
      </c>
    </row>
    <row r="183" spans="1:10" x14ac:dyDescent="0.2">
      <c r="A183" s="430">
        <v>246801</v>
      </c>
      <c r="B183" s="430" t="s">
        <v>104</v>
      </c>
      <c r="C183" s="431">
        <v>0</v>
      </c>
      <c r="D183" s="432">
        <v>0</v>
      </c>
      <c r="E183" s="432">
        <v>0</v>
      </c>
      <c r="F183" s="431">
        <f t="shared" si="10"/>
        <v>0</v>
      </c>
      <c r="G183" s="431">
        <f t="shared" si="11"/>
        <v>0</v>
      </c>
      <c r="H183" s="432">
        <v>0</v>
      </c>
      <c r="I183" s="432">
        <v>0</v>
      </c>
      <c r="J183" s="432">
        <v>0</v>
      </c>
    </row>
    <row r="184" spans="1:10" x14ac:dyDescent="0.2">
      <c r="A184" s="430">
        <v>246802</v>
      </c>
      <c r="B184" s="430" t="s">
        <v>822</v>
      </c>
      <c r="C184" s="431">
        <v>0</v>
      </c>
      <c r="D184" s="432">
        <v>0</v>
      </c>
      <c r="E184" s="432">
        <v>0</v>
      </c>
      <c r="F184" s="431">
        <f t="shared" si="10"/>
        <v>0</v>
      </c>
      <c r="G184" s="431">
        <f t="shared" si="11"/>
        <v>0</v>
      </c>
      <c r="H184" s="432">
        <v>0</v>
      </c>
      <c r="I184" s="432">
        <v>0</v>
      </c>
      <c r="J184" s="432">
        <v>0</v>
      </c>
    </row>
  </sheetData>
  <sheetProtection algorithmName="SHA-512" hashValue="sDoEN0u1X2yjXmLkWrQdPgYCD/Xwp0U6bYAH4H6sF1/7mGGE2/8ImcWR5Um6Z2fTl43n8gzQdz/wLlGvg/1Yzg==" saltValue="siVaN8qZbgLFg2V7pTWgBA==" spinCount="100000" sheet="1" objects="1" scenarios="1"/>
  <sortState xmlns:xlrd2="http://schemas.microsoft.com/office/spreadsheetml/2017/richdata2" ref="A2:J184">
    <sortCondition ref="A3:A1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ESTIMATE DATA ENTRY </vt:lpstr>
      <vt:lpstr>HB3 STATE AID</vt:lpstr>
      <vt:lpstr>PRIOR LAW STATE AID</vt:lpstr>
      <vt:lpstr>PAYMENT CALCULATOR</vt:lpstr>
      <vt:lpstr>ENROLLMENT MAX</vt:lpstr>
      <vt:lpstr>SCE ESTIMATE WORKSHEET</vt:lpstr>
      <vt:lpstr>Charter Data</vt:lpstr>
      <vt:lpstr>ADA PROJECTION</vt:lpstr>
      <vt:lpstr>HB3 Transp Est source 2018</vt:lpstr>
      <vt:lpstr>FORMULA TRANSITION GRANT</vt:lpstr>
      <vt:lpstr>INITIAL SOF</vt:lpstr>
      <vt:lpstr>'ADA PROJECTION'!Print_Area</vt:lpstr>
      <vt:lpstr>'Charter Data'!Print_Area</vt:lpstr>
      <vt:lpstr>'ESTIMATE DATA ENTRY '!Print_Area</vt:lpstr>
      <vt:lpstr>'HB3 STATE AID'!Print_Area</vt:lpstr>
      <vt:lpstr>'PAYMENT CALCULATOR'!Print_Area</vt:lpstr>
      <vt:lpstr>'PRIOR LAW STATE AID'!Print_Area</vt:lpstr>
      <vt:lpstr>'SCE ESTIMATE WORKSHEET'!Print_Area</vt:lpstr>
      <vt:lpstr>'ADA PROJECTION'!Print_Titles</vt:lpstr>
      <vt:lpstr>'Charter Data'!Print_Titles</vt:lpstr>
      <vt:lpstr>'HB3 STATE AID'!Print_Titles</vt:lpstr>
      <vt:lpstr>'PAYMENT CALCULATOR'!Print_Titles</vt:lpstr>
      <vt:lpstr>'PRIOR LAW STATE AID'!Print_Titles</vt:lpstr>
      <vt:lpstr>TABLE2</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Black, Dina</cp:lastModifiedBy>
  <cp:lastPrinted>2019-07-11T15:44:55Z</cp:lastPrinted>
  <dcterms:created xsi:type="dcterms:W3CDTF">1998-05-05T01:54:51Z</dcterms:created>
  <dcterms:modified xsi:type="dcterms:W3CDTF">2019-07-12T19:06:35Z</dcterms:modified>
</cp:coreProperties>
</file>