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Charter Schools\2014-2015\"/>
    </mc:Choice>
  </mc:AlternateContent>
  <bookViews>
    <workbookView xWindow="375" yWindow="2100" windowWidth="18855" windowHeight="6885" tabRatio="769"/>
  </bookViews>
  <sheets>
    <sheet name="Enrollment Data" sheetId="16" r:id="rId1"/>
    <sheet name="ADA Data - SOF" sheetId="26" r:id="rId2"/>
    <sheet name="SCE Worksheet" sheetId="45" r:id="rId3"/>
    <sheet name="Payment Formula" sheetId="38" r:id="rId4"/>
    <sheet name="Charter Data" sheetId="20" state="hidden" r:id="rId5"/>
    <sheet name="Membership Report" sheetId="31" r:id="rId6"/>
    <sheet name="Sheet1" sheetId="46" r:id="rId7"/>
  </sheets>
  <definedNames>
    <definedName name="_cdn1">#REF!</definedName>
    <definedName name="_cdn10">#REF!</definedName>
    <definedName name="_cdn11">#REF!</definedName>
    <definedName name="_cdn12">#REF!</definedName>
    <definedName name="_cdn13">#REF!</definedName>
    <definedName name="_cdn14">#REF!</definedName>
    <definedName name="_cdn15">#REF!</definedName>
    <definedName name="_cdn16">#REF!</definedName>
    <definedName name="_cdn17">#REF!</definedName>
    <definedName name="_cdn18">#REF!</definedName>
    <definedName name="_cdn19">#REF!</definedName>
    <definedName name="_cdn2">#REF!</definedName>
    <definedName name="_cdn20">#REF!</definedName>
    <definedName name="_cdn21">#REF!</definedName>
    <definedName name="_cdn22">#REF!</definedName>
    <definedName name="_cdn23">#REF!</definedName>
    <definedName name="_cdn24">#REF!</definedName>
    <definedName name="_cdn25">#REF!</definedName>
    <definedName name="_cdn26">#REF!</definedName>
    <definedName name="_cdn27">#REF!</definedName>
    <definedName name="_cdn28">#REF!</definedName>
    <definedName name="_cdn29">#REF!</definedName>
    <definedName name="_cdn3">#REF!</definedName>
    <definedName name="_cdn30">#REF!</definedName>
    <definedName name="_cdn31">#REF!</definedName>
    <definedName name="_cdn32">#REF!</definedName>
    <definedName name="_cdn33">#REF!</definedName>
    <definedName name="_cdn34">#REF!</definedName>
    <definedName name="_cdn35">#REF!</definedName>
    <definedName name="_cdn36">#REF!</definedName>
    <definedName name="_cdn37">#REF!</definedName>
    <definedName name="_cdn38">#REF!</definedName>
    <definedName name="_cdn39">#REF!</definedName>
    <definedName name="_cdn4">#REF!</definedName>
    <definedName name="_cdn40">#REF!</definedName>
    <definedName name="_cdn5">#REF!</definedName>
    <definedName name="_cdn6">#REF!</definedName>
    <definedName name="_cdn7">#REF!</definedName>
    <definedName name="_cdn8">#REF!</definedName>
    <definedName name="_cdn9">#REF!</definedName>
    <definedName name="admin">#REF!</definedName>
    <definedName name="data">#REF!</definedName>
    <definedName name="data2">#REF!</definedName>
    <definedName name="data3">#REF!</definedName>
    <definedName name="data4">#REF!</definedName>
    <definedName name="data5">#REF!</definedName>
    <definedName name="isdcdn">#REF!</definedName>
    <definedName name="_xlnm.Print_Area" localSheetId="1">'ADA Data - SOF'!$A$1:$D$90</definedName>
    <definedName name="_xlnm.Print_Area" localSheetId="4">'Charter Data'!$A$1:$C$176</definedName>
    <definedName name="_xlnm.Print_Area" localSheetId="0">'Enrollment Data'!$A$2:$C$41</definedName>
    <definedName name="_xlnm.Print_Area" localSheetId="5">'Membership Report'!$A$1:$J$51</definedName>
    <definedName name="_xlnm.Print_Titles" localSheetId="4">'Charter Data'!$1:$4</definedName>
    <definedName name="_xlnm.Print_Titles" localSheetId="0">'Enrollment Data'!$A:$A,'Enrollment Data'!$2:$4</definedName>
    <definedName name="whatif">#REF!</definedName>
  </definedNames>
  <calcPr calcId="152511"/>
</workbook>
</file>

<file path=xl/calcChain.xml><?xml version="1.0" encoding="utf-8"?>
<calcChain xmlns="http://schemas.openxmlformats.org/spreadsheetml/2006/main">
  <c r="B55" i="26" l="1"/>
  <c r="B81" i="26" s="1"/>
  <c r="B57" i="26"/>
  <c r="B56" i="26"/>
  <c r="B5" i="26"/>
  <c r="B6" i="26"/>
  <c r="B28" i="26" l="1"/>
  <c r="B27" i="26"/>
  <c r="B23" i="26"/>
  <c r="B22" i="26"/>
  <c r="B21" i="26"/>
  <c r="B18" i="26"/>
  <c r="B17" i="26"/>
  <c r="B16" i="26"/>
  <c r="B15" i="26"/>
  <c r="B14" i="26"/>
  <c r="B13" i="26"/>
  <c r="B12" i="26"/>
  <c r="B11" i="26"/>
  <c r="B10" i="26"/>
  <c r="B9" i="26"/>
  <c r="B67" i="26"/>
  <c r="B25" i="26" l="1"/>
  <c r="B33" i="26" l="1"/>
  <c r="B32" i="26"/>
  <c r="A2" i="16"/>
  <c r="B26" i="26"/>
  <c r="C5" i="16"/>
  <c r="B35" i="16"/>
  <c r="B31" i="26" s="1"/>
  <c r="B68" i="26" s="1"/>
  <c r="C8" i="45"/>
  <c r="C9" i="45" s="1"/>
  <c r="C10" i="45" s="1"/>
  <c r="C11" i="45" s="1"/>
  <c r="C12" i="45" s="1"/>
  <c r="C13" i="45" s="1"/>
  <c r="C14" i="45" s="1"/>
  <c r="C15" i="45" s="1"/>
  <c r="C16" i="45" s="1"/>
  <c r="C17" i="45" s="1"/>
  <c r="C18" i="45" s="1"/>
  <c r="B8" i="45"/>
  <c r="B9" i="45" s="1"/>
  <c r="B10" i="45" s="1"/>
  <c r="B11" i="45" s="1"/>
  <c r="B12" i="45" s="1"/>
  <c r="B13" i="45" s="1"/>
  <c r="B14" i="45" s="1"/>
  <c r="B15" i="45" s="1"/>
  <c r="B16" i="45" s="1"/>
  <c r="B17" i="45" s="1"/>
  <c r="B18" i="45" s="1"/>
  <c r="C2" i="45"/>
  <c r="B26" i="45"/>
  <c r="B76" i="26"/>
  <c r="C1" i="45" l="1"/>
  <c r="C1" i="31"/>
  <c r="B21" i="45"/>
  <c r="B25" i="45"/>
  <c r="B23" i="45"/>
  <c r="B22" i="45"/>
  <c r="B24" i="45"/>
  <c r="B27" i="45" l="1"/>
  <c r="A2" i="26"/>
  <c r="A1" i="26" s="1"/>
  <c r="B82" i="26" l="1"/>
  <c r="B75" i="26"/>
  <c r="B85" i="26"/>
  <c r="B7" i="26"/>
  <c r="B73" i="26" l="1"/>
  <c r="B41" i="16"/>
  <c r="B6" i="38"/>
  <c r="A3" i="26"/>
  <c r="F12" i="31"/>
  <c r="H12" i="31" s="1"/>
  <c r="J12" i="31" s="1"/>
  <c r="D46" i="31"/>
  <c r="G46" i="31"/>
  <c r="I46" i="31"/>
  <c r="D47" i="31"/>
  <c r="G47" i="31"/>
  <c r="I47" i="31"/>
  <c r="B30" i="16"/>
  <c r="B31" i="16"/>
  <c r="E46" i="31"/>
  <c r="E47" i="31"/>
  <c r="C13" i="31" l="1"/>
  <c r="F13" i="31" s="1"/>
  <c r="H13" i="31" s="1"/>
  <c r="J13" i="31" s="1"/>
  <c r="B83" i="26"/>
  <c r="B59" i="26"/>
  <c r="C17" i="26"/>
  <c r="C15" i="26"/>
  <c r="C13" i="26"/>
  <c r="C11" i="26"/>
  <c r="C9" i="26"/>
  <c r="C18" i="26"/>
  <c r="C16" i="26"/>
  <c r="C14" i="26"/>
  <c r="C12" i="26"/>
  <c r="C10" i="26"/>
  <c r="B45" i="26"/>
  <c r="C14" i="31" l="1"/>
  <c r="F14" i="31" s="1"/>
  <c r="C15" i="31" s="1"/>
  <c r="F15" i="31" s="1"/>
  <c r="B44" i="26"/>
  <c r="B49" i="26"/>
  <c r="B53" i="26"/>
  <c r="B58" i="26"/>
  <c r="B29" i="26"/>
  <c r="B50" i="26"/>
  <c r="B51" i="26"/>
  <c r="B46" i="26"/>
  <c r="B20" i="26"/>
  <c r="B43" i="26" s="1"/>
  <c r="B52" i="26"/>
  <c r="C20" i="26"/>
  <c r="B47" i="26" s="1"/>
  <c r="C19" i="26"/>
  <c r="B19" i="26"/>
  <c r="H15" i="31" l="1"/>
  <c r="J15" i="31" s="1"/>
  <c r="C16" i="31"/>
  <c r="H14" i="31"/>
  <c r="J14" i="31" s="1"/>
  <c r="B48" i="26"/>
  <c r="F16" i="31"/>
  <c r="C17" i="31" l="1"/>
  <c r="H16" i="31"/>
  <c r="F17" i="31" l="1"/>
  <c r="J16" i="31"/>
  <c r="C18" i="31" l="1"/>
  <c r="H17" i="31"/>
  <c r="F18" i="31" l="1"/>
  <c r="J17" i="31"/>
  <c r="H18" i="31" l="1"/>
  <c r="C19" i="31"/>
  <c r="J18" i="31" l="1"/>
  <c r="F19" i="31"/>
  <c r="H19" i="31" l="1"/>
  <c r="C20" i="31"/>
  <c r="F20" i="31" s="1"/>
  <c r="J19" i="31" l="1"/>
  <c r="H20" i="31"/>
  <c r="J20" i="31" s="1"/>
  <c r="C21" i="31"/>
  <c r="F21" i="31" s="1"/>
  <c r="H21" i="31" l="1"/>
  <c r="J21" i="31" s="1"/>
  <c r="C22" i="31"/>
  <c r="F22" i="31" s="1"/>
  <c r="H22" i="31" l="1"/>
  <c r="J22" i="31" s="1"/>
  <c r="C23" i="31"/>
  <c r="F23" i="31" s="1"/>
  <c r="H23" i="31" l="1"/>
  <c r="J23" i="31" s="1"/>
  <c r="C24" i="31"/>
  <c r="F24" i="31" s="1"/>
  <c r="H24" i="31" l="1"/>
  <c r="J24" i="31" s="1"/>
  <c r="C25" i="31"/>
  <c r="F25" i="31" s="1"/>
  <c r="H25" i="31" l="1"/>
  <c r="J25" i="31" s="1"/>
  <c r="C26" i="31"/>
  <c r="F26" i="31" s="1"/>
  <c r="H26" i="31" l="1"/>
  <c r="J26" i="31" s="1"/>
  <c r="C27" i="31"/>
  <c r="F27" i="31" s="1"/>
  <c r="H27" i="31" l="1"/>
  <c r="J27" i="31" s="1"/>
  <c r="C28" i="31"/>
  <c r="F28" i="31" s="1"/>
  <c r="H28" i="31" l="1"/>
  <c r="J28" i="31" s="1"/>
  <c r="C29" i="31"/>
  <c r="F29" i="31" s="1"/>
  <c r="H29" i="31" l="1"/>
  <c r="J29" i="31" s="1"/>
  <c r="C30" i="31"/>
  <c r="F30" i="31" s="1"/>
  <c r="H30" i="31" l="1"/>
  <c r="J30" i="31" s="1"/>
  <c r="C31" i="31"/>
  <c r="F31" i="31" s="1"/>
  <c r="H31" i="31" l="1"/>
  <c r="J31" i="31" s="1"/>
  <c r="C32" i="31"/>
  <c r="F32" i="31" s="1"/>
  <c r="H32" i="31" l="1"/>
  <c r="J32" i="31" s="1"/>
  <c r="C33" i="31"/>
  <c r="F33" i="31" s="1"/>
  <c r="H33" i="31" l="1"/>
  <c r="J33" i="31" s="1"/>
  <c r="C34" i="31"/>
  <c r="F34" i="31" s="1"/>
  <c r="H34" i="31" l="1"/>
  <c r="J34" i="31" s="1"/>
  <c r="C35" i="31"/>
  <c r="F35" i="31" s="1"/>
  <c r="H35" i="31" l="1"/>
  <c r="J35" i="31" s="1"/>
  <c r="C36" i="31"/>
  <c r="F36" i="31" s="1"/>
  <c r="H36" i="31" l="1"/>
  <c r="J36" i="31" s="1"/>
  <c r="C37" i="31"/>
  <c r="F37" i="31" s="1"/>
  <c r="H37" i="31" l="1"/>
  <c r="J37" i="31" s="1"/>
  <c r="C38" i="31"/>
  <c r="F38" i="31" s="1"/>
  <c r="H38" i="31" l="1"/>
  <c r="J38" i="31" s="1"/>
  <c r="C39" i="31"/>
  <c r="F39" i="31" s="1"/>
  <c r="H39" i="31" l="1"/>
  <c r="J39" i="31" s="1"/>
  <c r="C40" i="31"/>
  <c r="F40" i="31" s="1"/>
  <c r="H40" i="31" l="1"/>
  <c r="J40" i="31" s="1"/>
  <c r="C41" i="31"/>
  <c r="F41" i="31" l="1"/>
  <c r="C47" i="31"/>
  <c r="C46" i="31"/>
  <c r="H41" i="31" l="1"/>
  <c r="F46" i="31"/>
  <c r="F47" i="31"/>
  <c r="J41" i="31" l="1"/>
  <c r="H46" i="31"/>
  <c r="H47" i="31"/>
  <c r="J47" i="31" l="1"/>
  <c r="J46" i="31"/>
  <c r="B24" i="26" l="1"/>
  <c r="B42" i="26" l="1"/>
  <c r="B30" i="26" l="1"/>
  <c r="B77" i="26" s="1"/>
  <c r="B60" i="26"/>
  <c r="B87" i="26" s="1"/>
  <c r="B62" i="26" l="1"/>
  <c r="B79" i="26"/>
  <c r="B78" i="26"/>
  <c r="B61" i="26"/>
  <c r="B63" i="26" l="1"/>
  <c r="B64" i="26" s="1"/>
  <c r="B80" i="26"/>
  <c r="B86" i="26" s="1"/>
  <c r="B88" i="26" s="1"/>
  <c r="B69" i="26" s="1"/>
  <c r="B70" i="26" s="1"/>
  <c r="B72" i="26" l="1"/>
  <c r="B74" i="26" s="1"/>
  <c r="B1" i="38" s="1"/>
  <c r="B89" i="26"/>
  <c r="B90" i="26" s="1"/>
  <c r="B4" i="38" l="1"/>
  <c r="B7" i="38" s="1"/>
</calcChain>
</file>

<file path=xl/comments1.xml><?xml version="1.0" encoding="utf-8"?>
<comments xmlns="http://schemas.openxmlformats.org/spreadsheetml/2006/main">
  <authors>
    <author>Nora Rainey</author>
    <author>nora rainey</author>
  </authors>
  <commentList>
    <comment ref="A1" authorId="0" shapeId="0">
      <text>
        <r>
          <rPr>
            <sz val="9"/>
            <color indexed="81"/>
            <rFont val="Arial"/>
            <family val="2"/>
          </rPr>
          <t xml:space="preserve">Enter the charter school's county district number (CDN) without using dashes or spaces.
</t>
        </r>
      </text>
    </comment>
    <comment ref="B5" authorId="0" shapeId="0">
      <text>
        <r>
          <rPr>
            <b/>
            <sz val="9"/>
            <color indexed="81"/>
            <rFont val="Arial"/>
            <family val="2"/>
          </rPr>
          <t>Enter the estimated average  number of students expected to be enrolled during the first six weeks attendance reporting period for all tracks.   (Please note that for FSP purposes, pre-kindergarten students only count for half a student.</t>
        </r>
        <r>
          <rPr>
            <b/>
            <sz val="9"/>
            <color indexed="10"/>
            <rFont val="Arial"/>
            <family val="2"/>
          </rPr>
          <t xml:space="preserve"> (Student Attendance Accounting Handbook, Section III).</t>
        </r>
        <r>
          <rPr>
            <sz val="9"/>
            <color indexed="81"/>
            <rFont val="Arial"/>
            <family val="2"/>
          </rPr>
          <t xml:space="preserve">
</t>
        </r>
      </text>
    </comment>
    <comment ref="B7" authorId="0" shapeId="0">
      <text>
        <r>
          <rPr>
            <b/>
            <sz val="9"/>
            <color indexed="81"/>
            <rFont val="Arial"/>
            <family val="2"/>
          </rPr>
          <t>Enter the charter school's estimated percentage rate of attendance.  If the charter school was in operation in the 2013-2014 school year, a good guide for estimating the percentage rate of attendance for the 2014-2015 school year is the  2013-2014 Edit + PRF7D010 Report, or the 2013-2014 FSP Track Projection of Approved Six-Week Reports.</t>
        </r>
        <r>
          <rPr>
            <sz val="9"/>
            <color indexed="81"/>
            <rFont val="Arial"/>
            <family val="2"/>
          </rPr>
          <t xml:space="preserve">
</t>
        </r>
      </text>
    </comment>
    <comment ref="B9" authorId="0" shapeId="0">
      <text>
        <r>
          <rPr>
            <b/>
            <sz val="9"/>
            <color indexed="81"/>
            <rFont val="Arial"/>
            <family val="2"/>
          </rPr>
          <t>Enter the estimated number of students that will have a Special Education A.R.D and IEP requiring services in the 01-Homebound Special Education instructional arrangement.  (Student Attendance Accounting Handbook, Section IV).</t>
        </r>
        <r>
          <rPr>
            <sz val="9"/>
            <color indexed="81"/>
            <rFont val="Arial"/>
            <family val="2"/>
          </rPr>
          <t xml:space="preserve">
</t>
        </r>
      </text>
    </comment>
    <comment ref="C9" authorId="0" shapeId="0">
      <text>
        <r>
          <rPr>
            <b/>
            <sz val="9"/>
            <color indexed="81"/>
            <rFont val="Arial"/>
            <family val="2"/>
          </rPr>
          <t>Enter the estimated number of EYS students that will have a Special Education A.R.D and IEP requiring services in the 01-Homebound Special Education instructional arrangement.  (Student Attendance Accounting Handbook, Section IV).</t>
        </r>
        <r>
          <rPr>
            <sz val="9"/>
            <color indexed="81"/>
            <rFont val="Arial"/>
            <family val="2"/>
          </rPr>
          <t xml:space="preserve">
</t>
        </r>
      </text>
    </comment>
    <comment ref="B10" authorId="0" shapeId="0">
      <text>
        <r>
          <rPr>
            <b/>
            <sz val="9"/>
            <color indexed="81"/>
            <rFont val="Arial"/>
            <family val="2"/>
          </rPr>
          <t>Enter the estimated number of students that will have a Special Education A.R.D and IEP requiring services in the 02-Hospital Class Special Education instructional arrangement.  (Student Attendance Accounting Handbook, Section IV).</t>
        </r>
        <r>
          <rPr>
            <sz val="9"/>
            <color indexed="81"/>
            <rFont val="Arial"/>
            <family val="2"/>
          </rPr>
          <t xml:space="preserve">
</t>
        </r>
      </text>
    </comment>
    <comment ref="C10" authorId="0" shapeId="0">
      <text>
        <r>
          <rPr>
            <b/>
            <sz val="9"/>
            <color indexed="81"/>
            <rFont val="Arial"/>
            <family val="2"/>
          </rPr>
          <t>Enter the estimated number of EYS students that will have a Special Education A.R.D and IEP requiring services in the 02-Hospital Class Special Education instructional arrangement.  (Student Attendance Accounting Handbook, Section IV).</t>
        </r>
        <r>
          <rPr>
            <sz val="9"/>
            <color indexed="81"/>
            <rFont val="Arial"/>
            <family val="2"/>
          </rPr>
          <t xml:space="preserve">
</t>
        </r>
      </text>
    </comment>
    <comment ref="B11" authorId="0" shapeId="0">
      <text>
        <r>
          <rPr>
            <b/>
            <sz val="9"/>
            <color indexed="81"/>
            <rFont val="Arial"/>
            <family val="2"/>
          </rPr>
          <t>Enter the estimated number of students that will have a Special Education A.R.D and IEP requiring services in the 00-Speech Special Education instructional arrangement.  (Student Attendance Accounting Handbook, Section IV).</t>
        </r>
        <r>
          <rPr>
            <sz val="9"/>
            <color indexed="81"/>
            <rFont val="Arial"/>
            <family val="2"/>
          </rPr>
          <t xml:space="preserve">
</t>
        </r>
      </text>
    </comment>
    <comment ref="C11" authorId="0" shapeId="0">
      <text>
        <r>
          <rPr>
            <b/>
            <sz val="9"/>
            <color indexed="81"/>
            <rFont val="Arial"/>
            <family val="2"/>
          </rPr>
          <t>Enter the estimated number of EYS students that will have a Special Education A.R.D and IEP requiring services in the 00-Speech Special Education instructional arrangement.  (Student Attendance Accounting Handbook, Section IV).</t>
        </r>
        <r>
          <rPr>
            <sz val="9"/>
            <color indexed="81"/>
            <rFont val="Arial"/>
            <family val="2"/>
          </rPr>
          <t xml:space="preserve">
</t>
        </r>
      </text>
    </comment>
    <comment ref="B12" authorId="0" shapeId="0">
      <text>
        <r>
          <rPr>
            <b/>
            <sz val="9"/>
            <color indexed="81"/>
            <rFont val="Arial"/>
            <family val="2"/>
          </rPr>
          <t>Enter the estimated number of students that will have a Special Education A.R.D and IEP requiring services in the 41 &amp; 42 - Resource Special Education instructional arrangements.  (Student Attendance Accounting Handbook, Section IV).</t>
        </r>
        <r>
          <rPr>
            <sz val="9"/>
            <color indexed="81"/>
            <rFont val="Arial"/>
            <family val="2"/>
          </rPr>
          <t xml:space="preserve">
</t>
        </r>
      </text>
    </comment>
    <comment ref="C12" authorId="0" shapeId="0">
      <text>
        <r>
          <rPr>
            <b/>
            <sz val="9"/>
            <color indexed="81"/>
            <rFont val="Arial"/>
            <family val="2"/>
          </rPr>
          <t>Enter the estimated number of EYS 
students that will have a Special Education A.R.D and IEP requiring services in the 41 &amp; 42 - Resource Special Education instructional arrangements.  (Student Attendance Accounting Handbook, Section IV).</t>
        </r>
        <r>
          <rPr>
            <sz val="9"/>
            <color indexed="81"/>
            <rFont val="Arial"/>
            <family val="2"/>
          </rPr>
          <t xml:space="preserve">
</t>
        </r>
      </text>
    </comment>
    <comment ref="B13" authorId="0" shapeId="0">
      <text>
        <r>
          <rPr>
            <b/>
            <sz val="9"/>
            <color indexed="81"/>
            <rFont val="Arial"/>
            <family val="2"/>
          </rPr>
          <t>Enter the estimated number of students that will have a Special Education A.R.D and IEP requiring services in the 43 &amp; 44 - SC Mild/Moderate/Severe Special Education instructional arrangements.  (Student Attendance Accounting Handbook, Section IV).</t>
        </r>
        <r>
          <rPr>
            <sz val="9"/>
            <color indexed="81"/>
            <rFont val="Arial"/>
            <family val="2"/>
          </rPr>
          <t xml:space="preserve">
</t>
        </r>
      </text>
    </comment>
    <comment ref="C13" authorId="0" shapeId="0">
      <text>
        <r>
          <rPr>
            <b/>
            <sz val="9"/>
            <color indexed="81"/>
            <rFont val="Arial"/>
            <family val="2"/>
          </rPr>
          <t>Enter the estimated number of  EYS students that will have a Special Education A.R.D and IEP requiring services in the 43 &amp; 44 - SC Mild/Moderate/Severe Special Education instructional arrangements.  (Student Attendance Accounting Handbook, Section IV).</t>
        </r>
        <r>
          <rPr>
            <sz val="9"/>
            <color indexed="81"/>
            <rFont val="Arial"/>
            <family val="2"/>
          </rPr>
          <t xml:space="preserve">
</t>
        </r>
      </text>
    </comment>
    <comment ref="B14" authorId="0" shapeId="0">
      <text>
        <r>
          <rPr>
            <b/>
            <sz val="9"/>
            <color indexed="81"/>
            <rFont val="Arial"/>
            <family val="2"/>
          </rPr>
          <t>Enter the estimated number of students that will have a Special Education A.R.D and IEP requiring services in the 45 - Full-Time Early Childhood Special Education instructional arrangement.  (Student Attendance Accounting Handbook, Section IV).</t>
        </r>
        <r>
          <rPr>
            <sz val="9"/>
            <color indexed="81"/>
            <rFont val="Arial"/>
            <family val="2"/>
          </rPr>
          <t xml:space="preserve">
</t>
        </r>
      </text>
    </comment>
    <comment ref="C14" authorId="0" shapeId="0">
      <text>
        <r>
          <rPr>
            <b/>
            <sz val="9"/>
            <color indexed="81"/>
            <rFont val="Arial"/>
            <family val="2"/>
          </rPr>
          <t>Enter the estimated number of EYS students that will have a Special Education A.R.D and IEP requiring services in the 45 - Full-Time Early Childhood Special Education instructional arrangement.  (Student Attendance Accounting Handbook, Section IV).</t>
        </r>
        <r>
          <rPr>
            <sz val="9"/>
            <color indexed="81"/>
            <rFont val="Arial"/>
            <family val="2"/>
          </rPr>
          <t xml:space="preserve">
</t>
        </r>
      </text>
    </comment>
    <comment ref="B15" authorId="0" shapeId="0">
      <text>
        <r>
          <rPr>
            <b/>
            <sz val="9"/>
            <color indexed="81"/>
            <rFont val="Arial"/>
            <family val="2"/>
          </rPr>
          <t>Enter the estimated number of students that will have a Special Education A.R.D and IEP requiring services in the 91-98 Off-Home Campus  Special Education instructional arrangements.  (Student Attendance Accounting Handbook, Section IV).</t>
        </r>
        <r>
          <rPr>
            <sz val="9"/>
            <color indexed="81"/>
            <rFont val="Arial"/>
            <family val="2"/>
          </rPr>
          <t xml:space="preserve">
</t>
        </r>
      </text>
    </comment>
    <comment ref="C15" authorId="0" shapeId="0">
      <text>
        <r>
          <rPr>
            <b/>
            <sz val="9"/>
            <color indexed="81"/>
            <rFont val="Arial"/>
            <family val="2"/>
          </rPr>
          <t>Enter the estimated number of EYS 
students that will have a Special Education A.R.D and IEP requiring services in the 91-98 Off-Home Campus  Special Education instructional arrangements.  (Student Attendance Accounting Handbook, Section IV).</t>
        </r>
        <r>
          <rPr>
            <sz val="9"/>
            <color indexed="81"/>
            <rFont val="Arial"/>
            <family val="2"/>
          </rPr>
          <t xml:space="preserve">
</t>
        </r>
      </text>
    </comment>
    <comment ref="B16" authorId="0" shapeId="0">
      <text>
        <r>
          <rPr>
            <b/>
            <sz val="9"/>
            <color indexed="81"/>
            <rFont val="Arial"/>
            <family val="2"/>
          </rPr>
          <t>Enter the estimated number of students that will have a Special Education A.R.D and IEP requiring services in the 08-VAC Special Education instructional arrangement.  (Student Attendance Accounting Handbook, Section IV).</t>
        </r>
        <r>
          <rPr>
            <sz val="9"/>
            <color indexed="81"/>
            <rFont val="Arial"/>
            <family val="2"/>
          </rPr>
          <t xml:space="preserve">
</t>
        </r>
      </text>
    </comment>
    <comment ref="C16" authorId="0" shapeId="0">
      <text>
        <r>
          <rPr>
            <b/>
            <sz val="9"/>
            <color indexed="81"/>
            <rFont val="Arial"/>
            <family val="2"/>
          </rPr>
          <t>Enter the estimated number of EYS students that will have a Special Education A.R.D and IEP requiring services in the 08-VAC Special Education instructional arrangement.  (Student Attendance Accounting Handbook, Section IV).</t>
        </r>
        <r>
          <rPr>
            <sz val="9"/>
            <color indexed="81"/>
            <rFont val="Arial"/>
            <family val="2"/>
          </rPr>
          <t xml:space="preserve">
</t>
        </r>
      </text>
    </comment>
    <comment ref="B17" authorId="0" shapeId="0">
      <text>
        <r>
          <rPr>
            <b/>
            <sz val="9"/>
            <color indexed="81"/>
            <rFont val="Arial"/>
            <family val="2"/>
          </rPr>
          <t>Enter the estimated number of students that will have a Special Education A.R.D and IEP requiring services in the 30-State SchoolSpecial Education instructional arrangement.  (Student Attendance Accounting Handbook, Section IV).</t>
        </r>
        <r>
          <rPr>
            <sz val="9"/>
            <color indexed="81"/>
            <rFont val="Arial"/>
            <family val="2"/>
          </rPr>
          <t xml:space="preserve">
</t>
        </r>
      </text>
    </comment>
    <comment ref="C17" authorId="0" shapeId="0">
      <text>
        <r>
          <rPr>
            <b/>
            <sz val="9"/>
            <color indexed="81"/>
            <rFont val="Arial"/>
            <family val="2"/>
          </rPr>
          <t>Enter the estimated number of EYS students that will have a Special Education A.R.D and IEP requiring services in the 30-State SchoolSpecial Education instructional arrangement.  (Student Attendance Accounting Handbook, Section IV).</t>
        </r>
        <r>
          <rPr>
            <sz val="9"/>
            <color indexed="81"/>
            <rFont val="Arial"/>
            <family val="2"/>
          </rPr>
          <t xml:space="preserve">
</t>
        </r>
      </text>
    </comment>
    <comment ref="B18" authorId="0" shapeId="0">
      <text>
        <r>
          <rPr>
            <b/>
            <sz val="9"/>
            <color indexed="81"/>
            <rFont val="Arial"/>
            <family val="2"/>
          </rPr>
          <t>Enter the estimated number of students that will have a Special Education A.R.D and IEP requiring services in the 81-89-Residential Care &amp; Treatment Special Education instructional arrangements.  (Student Attendance Accounting Handbook, Section IV).</t>
        </r>
        <r>
          <rPr>
            <sz val="9"/>
            <color indexed="81"/>
            <rFont val="Arial"/>
            <family val="2"/>
          </rPr>
          <t xml:space="preserve">
</t>
        </r>
      </text>
    </comment>
    <comment ref="C18" authorId="0" shapeId="0">
      <text>
        <r>
          <rPr>
            <b/>
            <sz val="9"/>
            <color indexed="81"/>
            <rFont val="Arial"/>
            <family val="2"/>
          </rPr>
          <t>Enter the estimated number of EYS students that will have a Special Education A.R.D and IEP requiring services in the 81-89-Residential Care &amp; Treatment Special Education instructional arrangements.  (Student Attendance Accounting Handbook, Section IV).</t>
        </r>
        <r>
          <rPr>
            <sz val="9"/>
            <color indexed="81"/>
            <rFont val="Arial"/>
            <family val="2"/>
          </rPr>
          <t xml:space="preserve">
</t>
        </r>
      </text>
    </comment>
    <comment ref="B19" authorId="0" shapeId="0">
      <text>
        <r>
          <rPr>
            <b/>
            <sz val="9"/>
            <color indexed="81"/>
            <rFont val="Arial"/>
            <family val="2"/>
          </rPr>
          <t>Enter the estimated number of students that will have a Special Education A.R.D and IEP requiring services in the 40-Mainstream Special Education instructional arrangement.  (Student Attendance Accounting Handbook, Section IV).</t>
        </r>
        <r>
          <rPr>
            <sz val="9"/>
            <color indexed="81"/>
            <rFont val="Arial"/>
            <family val="2"/>
          </rPr>
          <t xml:space="preserve">
</t>
        </r>
      </text>
    </comment>
    <comment ref="C19" authorId="0" shapeId="0">
      <text>
        <r>
          <rPr>
            <b/>
            <sz val="9"/>
            <color indexed="81"/>
            <rFont val="Arial"/>
            <family val="2"/>
          </rPr>
          <t>Enter the estimated number of EYS students that will have a Special Education A.R.D and IEP requiring services in the 40-Mainstream Special Education instructional arrangement.  (Student Attendance Accounting Handbook, Section IV).</t>
        </r>
        <r>
          <rPr>
            <sz val="9"/>
            <color indexed="81"/>
            <rFont val="Arial"/>
            <family val="2"/>
          </rPr>
          <t xml:space="preserve">
</t>
        </r>
      </text>
    </comment>
    <comment ref="C20" authorId="1" shapeId="0">
      <text>
        <r>
          <rPr>
            <sz val="9"/>
            <color indexed="81"/>
            <rFont val="Tahoma"/>
            <family val="2"/>
          </rPr>
          <t>In addition to weighted funding, a school district is also eligible to receive a flat amount of $50 per FTE enrolled in 1) two or more advanced CTE courses or 2) an advanced course as part of a tech-prep program under the TEC, Chapter 61, Subchapter T . A list of CTE advanced courses can be found at http://www.tea.state.tx.us/index2.aspx?id=2147487143.</t>
        </r>
      </text>
    </comment>
    <comment ref="B21" authorId="0" shapeId="0">
      <text>
        <r>
          <rPr>
            <b/>
            <sz val="9"/>
            <color indexed="81"/>
            <rFont val="Arial"/>
            <family val="2"/>
          </rPr>
          <t xml:space="preserve">Enter the estimated number of students that will participate in a Texas state-approved Career and Technology (Vocational) course for an average of 45-89 minutes per day.  (Student Attendance Accounting Handbook, Section V). 
</t>
        </r>
        <r>
          <rPr>
            <sz val="9"/>
            <color indexed="81"/>
            <rFont val="Arial"/>
            <family val="2"/>
          </rPr>
          <t xml:space="preserve">
</t>
        </r>
      </text>
    </comment>
    <comment ref="C21" authorId="0" shapeId="0">
      <text>
        <r>
          <rPr>
            <sz val="9"/>
            <color indexed="81"/>
            <rFont val="Arial"/>
            <family val="2"/>
          </rPr>
          <t xml:space="preserve">
Enter the estimated number of students that will participate in a Texas state-approved Career and Technology (Vocational) course for an average of 90-149 minutes per day.  (Student Attendance Accounting Handbook, Section V) </t>
        </r>
        <r>
          <rPr>
            <b/>
            <u/>
            <sz val="9"/>
            <color indexed="81"/>
            <rFont val="Arial"/>
            <family val="2"/>
          </rPr>
          <t>where</t>
        </r>
        <r>
          <rPr>
            <u/>
            <sz val="9"/>
            <color indexed="81"/>
            <rFont val="Arial"/>
            <family val="2"/>
          </rPr>
          <t xml:space="preserve"> </t>
        </r>
        <r>
          <rPr>
            <sz val="9"/>
            <color indexed="81"/>
            <rFont val="Arial"/>
            <family val="2"/>
          </rPr>
          <t>the course is an advanced course as part of a tech-prep program under TEC , Chapter 61, Subchapter T, . A list of CTE advanced courses can be found at http://www.tea.state.tx.us/index2.aspx?id=2147487143.  Please make sure you are looking at the applicable year.</t>
        </r>
      </text>
    </comment>
    <comment ref="B22" authorId="0" shapeId="0">
      <text>
        <r>
          <rPr>
            <b/>
            <sz val="9"/>
            <color indexed="81"/>
            <rFont val="Arial"/>
            <family val="2"/>
          </rPr>
          <t>Enter the estimated number of students that will participate in a Texas state-approved Career and Technology (Vocational) course for an average of 90-149 minutes per day.  (Student Attendance Accounting Handbook, Section V).</t>
        </r>
        <r>
          <rPr>
            <sz val="9"/>
            <color indexed="81"/>
            <rFont val="Arial"/>
            <family val="2"/>
          </rPr>
          <t xml:space="preserve">
</t>
        </r>
      </text>
    </comment>
    <comment ref="C22" authorId="0" shapeId="0">
      <text>
        <r>
          <rPr>
            <sz val="9"/>
            <color indexed="81"/>
            <rFont val="Arial"/>
            <family val="2"/>
          </rPr>
          <t xml:space="preserve">
Enter the estimated number of students that will participate in a Texas state-approved Career and Technology (Vocational) course for an average of 90-149 minutes per day.  (Student Attendance Accounting Handbook, Section V). </t>
        </r>
        <r>
          <rPr>
            <b/>
            <u/>
            <sz val="9"/>
            <color indexed="81"/>
            <rFont val="Arial"/>
            <family val="2"/>
          </rPr>
          <t>where</t>
        </r>
        <r>
          <rPr>
            <sz val="9"/>
            <color indexed="81"/>
            <rFont val="Arial"/>
            <family val="2"/>
          </rPr>
          <t xml:space="preserve"> 2 or more of the courses are advanced C&amp;T courses for 3 or more credits </t>
        </r>
        <r>
          <rPr>
            <b/>
            <u/>
            <sz val="9"/>
            <color indexed="81"/>
            <rFont val="Arial"/>
            <family val="2"/>
          </rPr>
          <t>or</t>
        </r>
        <r>
          <rPr>
            <sz val="9"/>
            <color indexed="81"/>
            <rFont val="Arial"/>
            <family val="2"/>
          </rPr>
          <t xml:space="preserve"> where the course is an advanced course as part of a tech-prep program under TEC , Chapter 61, Subchapter T, . A list of CTE advanced courses can be found at http://www.tea.state.tx.us/index2.aspx?id=2147487143.  Please make sure you are looking at the applicable year.</t>
        </r>
      </text>
    </comment>
    <comment ref="B23" authorId="0" shapeId="0">
      <text>
        <r>
          <rPr>
            <b/>
            <sz val="9"/>
            <color indexed="81"/>
            <rFont val="Arial"/>
            <family val="2"/>
          </rPr>
          <t>Enter the estimated number of students that will participate in a Texas state-approved Career and Technology (Vocational) course for an average of 150-180 minutes per day.  (Student Attendance Accounting Handbook, Section V).</t>
        </r>
        <r>
          <rPr>
            <sz val="9"/>
            <color indexed="81"/>
            <rFont val="Arial"/>
            <family val="2"/>
          </rPr>
          <t xml:space="preserve">
</t>
        </r>
      </text>
    </comment>
    <comment ref="C23" authorId="0" shapeId="0">
      <text>
        <r>
          <rPr>
            <sz val="9"/>
            <color indexed="81"/>
            <rFont val="Arial"/>
            <family val="2"/>
          </rPr>
          <t xml:space="preserve">
Enter the estimated number of students that will participate in a Texas state-approved Career and Technology (Vocational) course for an average of 90-149 minutes per day.  (Student Attendance Accounting Handbook, Section V). </t>
        </r>
        <r>
          <rPr>
            <b/>
            <u/>
            <sz val="9"/>
            <color indexed="81"/>
            <rFont val="Arial"/>
            <family val="2"/>
          </rPr>
          <t>where</t>
        </r>
        <r>
          <rPr>
            <sz val="9"/>
            <color indexed="81"/>
            <rFont val="Arial"/>
            <family val="2"/>
          </rPr>
          <t xml:space="preserve"> 2 or more of the courses are advanced C&amp;T courses for 3 or more credits </t>
        </r>
        <r>
          <rPr>
            <b/>
            <u/>
            <sz val="9"/>
            <color indexed="81"/>
            <rFont val="Arial"/>
            <family val="2"/>
          </rPr>
          <t>or</t>
        </r>
        <r>
          <rPr>
            <sz val="9"/>
            <color indexed="81"/>
            <rFont val="Arial"/>
            <family val="2"/>
          </rPr>
          <t xml:space="preserve"> where the course is an advanced course as part of a tech-prep program under TEC , Chapter 61, Subchapter T, . A list of CTE advanced courses can be found at http://www.tea.state.tx.us/index2.aspx?id=2147487143.  Please make sure you are looking at the applicable year.</t>
        </r>
      </text>
    </comment>
    <comment ref="B24" authorId="0" shapeId="0">
      <text>
        <r>
          <rPr>
            <b/>
            <sz val="9"/>
            <color indexed="81"/>
            <rFont val="Arial"/>
            <family val="2"/>
          </rPr>
          <t>Enter the estimated number of students that will participate in more than one Texas state-approved Career and Technology (Vocational) course (Example, one V1 class and One V3 class) (Student Attendance Accounting Handbook, Section V).</t>
        </r>
        <r>
          <rPr>
            <sz val="9"/>
            <color indexed="81"/>
            <rFont val="Arial"/>
            <family val="2"/>
          </rPr>
          <t xml:space="preserve">
</t>
        </r>
      </text>
    </comment>
    <comment ref="C24" authorId="0" shapeId="0">
      <text>
        <r>
          <rPr>
            <sz val="9"/>
            <color indexed="81"/>
            <rFont val="Arial"/>
            <family val="2"/>
          </rPr>
          <t xml:space="preserve">
Enter the estimated number of students that will participate in a Texas state-approved Career and Technology (Vocational) course for an average of 90-149 minutes per day.  (Student Attendance Accounting Handbook, Section V). </t>
        </r>
        <r>
          <rPr>
            <b/>
            <u/>
            <sz val="9"/>
            <color indexed="81"/>
            <rFont val="Arial"/>
            <family val="2"/>
          </rPr>
          <t>where</t>
        </r>
        <r>
          <rPr>
            <sz val="9"/>
            <color indexed="81"/>
            <rFont val="Arial"/>
            <family val="2"/>
          </rPr>
          <t xml:space="preserve"> 2 or more of the courses are advanced C&amp;T courses for 3 or more credits </t>
        </r>
        <r>
          <rPr>
            <b/>
            <u/>
            <sz val="9"/>
            <color indexed="81"/>
            <rFont val="Arial"/>
            <family val="2"/>
          </rPr>
          <t>or</t>
        </r>
        <r>
          <rPr>
            <sz val="9"/>
            <color indexed="81"/>
            <rFont val="Arial"/>
            <family val="2"/>
          </rPr>
          <t xml:space="preserve"> where the course is an advanced course as part of a tech-prep program under TEC , Chapter 61, Subchapter T, . A list of CTE advanced courses can be found at http://www.tea.state.tx.us/index2.aspx?id=2147487143.  Please make sure you are looking at the applicable year.</t>
        </r>
      </text>
    </comment>
    <comment ref="B25" authorId="0" shapeId="0">
      <text>
        <r>
          <rPr>
            <b/>
            <sz val="9"/>
            <color indexed="81"/>
            <rFont val="Arial"/>
            <family val="2"/>
          </rPr>
          <t>Enter the estimated number of students that will participate in more than one Texas state-approved Career and Technology (Vocational) course (Example, one V2 class and One V3 class) (Student Attendance Accounting Handbook, Section V).</t>
        </r>
        <r>
          <rPr>
            <sz val="9"/>
            <color indexed="81"/>
            <rFont val="Arial"/>
            <family val="2"/>
          </rPr>
          <t xml:space="preserve">
</t>
        </r>
      </text>
    </comment>
    <comment ref="C25" authorId="0" shapeId="0">
      <text>
        <r>
          <rPr>
            <sz val="9"/>
            <color indexed="81"/>
            <rFont val="Arial"/>
            <family val="2"/>
          </rPr>
          <t xml:space="preserve">
Enter the estimated number of students that will participate in a Texas state-approved Career and Technology (Vocational) course for an average of 90-149 minutes per day.  (Student Attendance Accounting Handbook, Section V). </t>
        </r>
        <r>
          <rPr>
            <b/>
            <u/>
            <sz val="9"/>
            <color indexed="81"/>
            <rFont val="Arial"/>
            <family val="2"/>
          </rPr>
          <t>where</t>
        </r>
        <r>
          <rPr>
            <sz val="9"/>
            <color indexed="81"/>
            <rFont val="Arial"/>
            <family val="2"/>
          </rPr>
          <t xml:space="preserve"> 2 or more of the courses are advanced C&amp;T courses for 3 or more credits </t>
        </r>
        <r>
          <rPr>
            <b/>
            <u/>
            <sz val="9"/>
            <color indexed="81"/>
            <rFont val="Arial"/>
            <family val="2"/>
          </rPr>
          <t>or</t>
        </r>
        <r>
          <rPr>
            <sz val="9"/>
            <color indexed="81"/>
            <rFont val="Arial"/>
            <family val="2"/>
          </rPr>
          <t xml:space="preserve"> where the course is an advanced course as part of a tech-prep program under TEC , Chapter 61, Subchapter T, . A list of CTE advanced courses can be found at http://www.tea.state.tx.us/index2.aspx?id=2147487143.  Please make sure you are looking at the applicable year.</t>
        </r>
      </text>
    </comment>
    <comment ref="B26" authorId="0" shapeId="0">
      <text>
        <r>
          <rPr>
            <b/>
            <sz val="9"/>
            <color indexed="81"/>
            <rFont val="Arial"/>
            <family val="2"/>
          </rPr>
          <t>Enter the estimated number of students that will  participate in more than one Texas state-approved Career and Technology (Vocational) course (Example, two V3 classes) (Student Attendance Accounting Handbook, Section V).</t>
        </r>
        <r>
          <rPr>
            <sz val="9"/>
            <color indexed="81"/>
            <rFont val="Arial"/>
            <family val="2"/>
          </rPr>
          <t xml:space="preserve">
</t>
        </r>
      </text>
    </comment>
    <comment ref="C26" authorId="0" shapeId="0">
      <text>
        <r>
          <rPr>
            <sz val="9"/>
            <color indexed="81"/>
            <rFont val="Arial"/>
            <family val="2"/>
          </rPr>
          <t xml:space="preserve">
Enter the estimated number of students that will participate in a Texas state-approved Career and Technology (Vocational) course for an average of 90-149 minutes per day.  (Student Attendance Accounting Handbook, Section V). </t>
        </r>
        <r>
          <rPr>
            <b/>
            <u/>
            <sz val="9"/>
            <color indexed="81"/>
            <rFont val="Arial"/>
            <family val="2"/>
          </rPr>
          <t>where</t>
        </r>
        <r>
          <rPr>
            <sz val="9"/>
            <color indexed="81"/>
            <rFont val="Arial"/>
            <family val="2"/>
          </rPr>
          <t xml:space="preserve"> 2 or more of the courses are advanced C&amp;T courses for 3 or more credits </t>
        </r>
        <r>
          <rPr>
            <b/>
            <u/>
            <sz val="9"/>
            <color indexed="81"/>
            <rFont val="Arial"/>
            <family val="2"/>
          </rPr>
          <t>or</t>
        </r>
        <r>
          <rPr>
            <sz val="9"/>
            <color indexed="81"/>
            <rFont val="Arial"/>
            <family val="2"/>
          </rPr>
          <t xml:space="preserve"> where the course is an advanced course as part of a tech-prep program under TEC , Chapter 61, Subchapter T, . A list of CTE advanced courses can be found at http://www.tea.state.tx.us/index2.aspx?id=2147487143.  Please make sure you are looking at the applicable year.</t>
        </r>
      </text>
    </comment>
    <comment ref="B27" authorId="0" shapeId="0">
      <text>
        <r>
          <rPr>
            <b/>
            <sz val="9"/>
            <color indexed="81"/>
            <rFont val="Arial"/>
            <family val="2"/>
          </rPr>
          <t>Enter the estimated number of students that will be identified as Gifted and Talented and served in a Gifted and Talented program pursuant to Texas Education Code 29.121.  (Student Attendance Accounting Handbook, Section VIII).</t>
        </r>
        <r>
          <rPr>
            <sz val="9"/>
            <color indexed="81"/>
            <rFont val="Arial"/>
            <family val="2"/>
          </rPr>
          <t xml:space="preserve">
</t>
        </r>
      </text>
    </comment>
    <comment ref="B28" authorId="0" shapeId="0">
      <text>
        <r>
          <rPr>
            <b/>
            <sz val="9"/>
            <color indexed="81"/>
            <rFont val="Arial"/>
            <family val="2"/>
          </rPr>
          <t>Enter the estimated number of students that may be pregnant and receiving Pregnancy Related Services.  (Student Attendance Accounting Handbook, Section IX). (Example: If one student is estimated to be pregnant for 90 days this school year and another student is estimated to be pregnant 100 days; then enter 1.055 which is the result of 190/180).</t>
        </r>
        <r>
          <rPr>
            <sz val="9"/>
            <color indexed="81"/>
            <rFont val="Arial"/>
            <family val="2"/>
          </rPr>
          <t xml:space="preserve">
</t>
        </r>
      </text>
    </comment>
    <comment ref="B29" authorId="0" shapeId="0">
      <text>
        <r>
          <rPr>
            <b/>
            <sz val="9"/>
            <color indexed="81"/>
            <rFont val="Arial"/>
            <family val="2"/>
          </rPr>
          <t>Enter the estimated number of students that will be placed in the Bilingual/ESL Program by the Language Proficiency Assessment Committee (LPAC).  (Student Attendance Accounting Handbook, Section VI).</t>
        </r>
        <r>
          <rPr>
            <sz val="9"/>
            <color indexed="81"/>
            <rFont val="Arial"/>
            <family val="2"/>
          </rPr>
          <t xml:space="preserve">
</t>
        </r>
      </text>
    </comment>
    <comment ref="B30" authorId="0" shapeId="0">
      <text>
        <r>
          <rPr>
            <b/>
            <sz val="9"/>
            <color indexed="81"/>
            <rFont val="Arial"/>
            <family val="2"/>
          </rPr>
          <t>If the "Sped Total Error" is Displayed, then the sum of Students in Special Education Instructional Arrangements 01 though 98 is greater than the number of Students enrolled in row 7.  Please correct data before submitting. Estimates with Special Education enrollment errors will not be processed.</t>
        </r>
        <r>
          <rPr>
            <sz val="9"/>
            <color indexed="81"/>
            <rFont val="Arial"/>
            <family val="2"/>
          </rPr>
          <t xml:space="preserve">
</t>
        </r>
      </text>
    </comment>
    <comment ref="B31" authorId="0" shapeId="0">
      <text>
        <r>
          <rPr>
            <b/>
            <sz val="9"/>
            <color indexed="81"/>
            <rFont val="Arial"/>
            <family val="2"/>
          </rPr>
          <t>If the "CATE Total Error" is Displayed, then the sum of Students in Career and Technology Vocational Settings 1 though 6 is greater than the number of Students enrolled in row7.  Please correct data before submitting. Estimates with Career and Technology Education enrollment errors will not be processed.</t>
        </r>
        <r>
          <rPr>
            <sz val="9"/>
            <color indexed="81"/>
            <rFont val="Arial"/>
            <family val="2"/>
          </rPr>
          <t xml:space="preserve">
</t>
        </r>
      </text>
    </comment>
    <comment ref="B32" authorId="1" shapeId="0">
      <text>
        <r>
          <rPr>
            <b/>
            <sz val="9"/>
            <color indexed="81"/>
            <rFont val="Tahoma"/>
            <family val="2"/>
          </rPr>
          <t>nora rainey:</t>
        </r>
        <r>
          <rPr>
            <sz val="9"/>
            <color indexed="81"/>
            <rFont val="Tahoma"/>
            <family val="2"/>
          </rPr>
          <t xml:space="preserve">
</t>
        </r>
        <r>
          <rPr>
            <sz val="8"/>
            <color indexed="81"/>
            <rFont val="Tahoma"/>
            <family val="2"/>
          </rPr>
          <t>Preliminary data.  Actual data using the 2012 fall enrollment estimates will be updated in July 2013.</t>
        </r>
      </text>
    </comment>
  </commentList>
</comments>
</file>

<file path=xl/comments2.xml><?xml version="1.0" encoding="utf-8"?>
<comments xmlns="http://schemas.openxmlformats.org/spreadsheetml/2006/main">
  <authors>
    <author>nora rainey</author>
  </authors>
  <commentList>
    <comment ref="D6" authorId="0" shapeId="0">
      <text>
        <r>
          <rPr>
            <b/>
            <sz val="9"/>
            <color indexed="81"/>
            <rFont val="Tahoma"/>
            <family val="2"/>
          </rPr>
          <t>For assistance with determining the monthly counts, please use the 2013-2014 SCE Daily Membership worksheet.</t>
        </r>
      </text>
    </comment>
  </commentList>
</comments>
</file>

<file path=xl/comments3.xml><?xml version="1.0" encoding="utf-8"?>
<comments xmlns="http://schemas.openxmlformats.org/spreadsheetml/2006/main">
  <authors>
    <author>nora rainey</author>
  </authors>
  <commentList>
    <comment ref="C1" authorId="0" shapeId="0">
      <text>
        <r>
          <rPr>
            <b/>
            <sz val="9"/>
            <color indexed="81"/>
            <rFont val="Tahoma"/>
            <family val="2"/>
          </rPr>
          <t>nora rainey:</t>
        </r>
        <r>
          <rPr>
            <sz val="9"/>
            <color indexed="81"/>
            <rFont val="Tahoma"/>
            <family val="2"/>
          </rPr>
          <t xml:space="preserve">
Emailed from Melissa Geisberg in Charter Division.  </t>
        </r>
      </text>
    </comment>
    <comment ref="A4" authorId="0" shapeId="0">
      <text>
        <r>
          <rPr>
            <b/>
            <sz val="9"/>
            <color indexed="81"/>
            <rFont val="Tahoma"/>
            <family val="2"/>
          </rPr>
          <t>nora rainey:</t>
        </r>
        <r>
          <rPr>
            <sz val="9"/>
            <color indexed="81"/>
            <rFont val="Tahoma"/>
            <family val="2"/>
          </rPr>
          <t xml:space="preserve">
From: Alaniz, Arnoldo 
Sent: Wednesday, August 21, 2013 4:53 PM
To: Rainey, Nora
Cc: Gonzalez, Nina; Anderson, Valerie; Salvo, Rick
Subject: RE: Great Hearts Academy – San Antonio 015835 Status
</t>
        </r>
      </text>
    </comment>
  </commentList>
</comments>
</file>

<file path=xl/sharedStrings.xml><?xml version="1.0" encoding="utf-8"?>
<sst xmlns="http://schemas.openxmlformats.org/spreadsheetml/2006/main" count="658" uniqueCount="419">
  <si>
    <t>Vista del Furturo Charter School</t>
  </si>
  <si>
    <t>Bob Hope School</t>
  </si>
  <si>
    <t>Koinonia Community Learning Academy</t>
  </si>
  <si>
    <t>HS ADA</t>
  </si>
  <si>
    <t>WESTLAKE ACADEMY CHARTER SCHOOL</t>
  </si>
  <si>
    <t>HARMONY SCIENCE ACAD (FORT WORTH)</t>
  </si>
  <si>
    <t>AMERICAN YOUTHWORKS CHARTER SCHOOL</t>
  </si>
  <si>
    <t>ORENDA CHARTER SCHOOL</t>
  </si>
  <si>
    <t>Additional State Aid for Tax Reduction (ASATR)</t>
  </si>
  <si>
    <t>MeadowLand Charter School</t>
  </si>
  <si>
    <t>Stephen F. Austin State University Charter School</t>
  </si>
  <si>
    <t>Chapel Hill Academy</t>
  </si>
  <si>
    <t>Summit International Preparatory</t>
  </si>
  <si>
    <t>MEYERPARK ELEMENTARY</t>
  </si>
  <si>
    <t>STEPPING STONES CHARTER EL</t>
  </si>
  <si>
    <t>TEXAS PREPARATORY SCHOOL</t>
  </si>
  <si>
    <t>PHOENIX CHARTER SCHOOL</t>
  </si>
  <si>
    <t>TEKOA ACADEMY OF ACCELERATED STUDIES</t>
  </si>
  <si>
    <t>EHRHART SCHOOL</t>
  </si>
  <si>
    <t>SOUTH PLAINS</t>
  </si>
  <si>
    <t>WACO CHARTER SCHOOL</t>
  </si>
  <si>
    <t>AUDRE AND BERNARD RAPOPORT ACADEMY</t>
  </si>
  <si>
    <t>CROSSTIMBERS ACADEMY</t>
  </si>
  <si>
    <t>RICHARD MILBURN ALTER HIGH SCHOOL (CORPUS CHRISTI)</t>
  </si>
  <si>
    <t>GEORGE I SANCHEZ CHARTER</t>
  </si>
  <si>
    <t>UNIVERSITY OF HOUSTON CHARTER SCHOOL</t>
  </si>
  <si>
    <t>AMIGOS POR VIDA-FRIENDS FOR LIFE PUBLIC CHARTER SC</t>
  </si>
  <si>
    <t>HOUSTON HEIGHTS HIGH SCHOOL</t>
  </si>
  <si>
    <t>HOUSTON GATEWAY ACADEMY, INC.</t>
  </si>
  <si>
    <t>OTHER PROGRAMS</t>
  </si>
  <si>
    <t>TOTAL FOUNDATION</t>
  </si>
  <si>
    <t>TOTAL OTHER PROGRAMS</t>
  </si>
  <si>
    <t>CALVIN NELMS CHARTER SCHOOLS</t>
  </si>
  <si>
    <t>SOUTHWEST SCHOOL</t>
  </si>
  <si>
    <t>ACCELERATED INTERMEDIATE ACADEMY</t>
  </si>
  <si>
    <t>ZOE LEARNING ACADEMY</t>
  </si>
  <si>
    <t>Total Number of High School Students Enrolled</t>
  </si>
  <si>
    <t>School of Science and Technology Discovery</t>
  </si>
  <si>
    <t xml:space="preserve">Harmony Science Academy-Brownsville </t>
  </si>
  <si>
    <t>RECONCILIATION  ACADEMY</t>
  </si>
  <si>
    <t>Harmony School of Science-Houston</t>
  </si>
  <si>
    <t>SCHOOL OF SCIENCE AND TECHNOLOGY</t>
  </si>
  <si>
    <t>HARMONY SCIENCE ACAD (SAN ANTONIO)</t>
  </si>
  <si>
    <t>PEGASUS SCHOOL OF LIBERAL ARTS AND SCIENCES</t>
  </si>
  <si>
    <t>EAGLE ADVANTAGE SCHOOLS</t>
  </si>
  <si>
    <t>LIFE SCHOOL</t>
  </si>
  <si>
    <t>NOVA ACADEMY (OAK CLIFF)</t>
  </si>
  <si>
    <t>ACADEMY OF DALLAS</t>
  </si>
  <si>
    <t>TRINITY BASIN PREPARATORY</t>
  </si>
  <si>
    <t>NOVA ACADEMY (SOUTHEAST)</t>
  </si>
  <si>
    <t>EVOLUTION ACADEMY</t>
  </si>
  <si>
    <t>ST ANTHONY SCHOOL</t>
  </si>
  <si>
    <t>RICHLAND COLLEGIATE HS OF MATH SCIENCE ENGINEERING</t>
  </si>
  <si>
    <t>PASO DEL NORTE</t>
  </si>
  <si>
    <t>EL PASO ACADEMY</t>
  </si>
  <si>
    <t>HARMONY SCIENCE ACAD (EL PASO)</t>
  </si>
  <si>
    <t>ERATH EXCELS ACADEMY, INC.</t>
  </si>
  <si>
    <t>ODYSSEY ACADEMY, THE</t>
  </si>
  <si>
    <t>EAST TEXAS CHARTER SCHOOLS</t>
  </si>
  <si>
    <t>HOUSTON HEIGHTS LEARNING ACADEMY INC</t>
  </si>
  <si>
    <t>LA AMISTAD LOVE &amp; LEARNING ACADEMY</t>
  </si>
  <si>
    <t>TWO DIMENSIONS PREPARATORY ACADEMY</t>
  </si>
  <si>
    <t>COMQUEST ACADEMY</t>
  </si>
  <si>
    <t>State Average Basic Allotment</t>
  </si>
  <si>
    <t>HARMONY SCIENCE ACADEMY</t>
  </si>
  <si>
    <t>BEATRICE MAYES INSTITUTE CHARTER SCHOOL</t>
  </si>
  <si>
    <t>NORTHWEST PREPARATORY</t>
  </si>
  <si>
    <t>DRAW ACADEMY</t>
  </si>
  <si>
    <t>KATHERINE ANNE PORTER SCHOOL</t>
  </si>
  <si>
    <t>CHARTER NAME</t>
  </si>
  <si>
    <t>RICHARD MILBURN ALTER HIGH SCHOOL (KILLEEN)</t>
  </si>
  <si>
    <t>TEMPLE EDUCATION CENTER</t>
  </si>
  <si>
    <t>POR VIDA ACADEMY</t>
  </si>
  <si>
    <t>HIGGS, CARTER, KING GIFTED &amp; TALENTED CHARTER ACAD</t>
  </si>
  <si>
    <t>JOHN H WOOD JR PUBLIC CHARTER DISTRICT</t>
  </si>
  <si>
    <t>BEXAR COUNTY ACADEMY</t>
  </si>
  <si>
    <t>SHEKINAH RADIANCE ACADEMY</t>
  </si>
  <si>
    <t>SOUTHWEST PREPARATORY SCHOOL</t>
  </si>
  <si>
    <t>POSITIVE SOLUTIONS CHARTER SCHOOL</t>
  </si>
  <si>
    <t>RADIANCE ACADEMY OF LEARNING</t>
  </si>
  <si>
    <t>ACADEMY OF CAREERS AND TECHNOLOGIES CHARTER SCHOOL</t>
  </si>
  <si>
    <t>SAN ANTONIO SCHOOL FOR INQUIRY &amp; CREATIVITY</t>
  </si>
  <si>
    <t>JUBILEE ACADEMIC CENTER</t>
  </si>
  <si>
    <t>BRAZOS SCHOOL FOR INQUIRY &amp; CREATIVITY</t>
  </si>
  <si>
    <t>TRINITY CHARTER SCHOOL</t>
  </si>
  <si>
    <t>DALLAS CAN ACADEMY CHARTER</t>
  </si>
  <si>
    <t>DALLAS COMMUNITY CHARTER SCHOOL</t>
  </si>
  <si>
    <t>UNIVERSAL ACADEMY</t>
  </si>
  <si>
    <t>CHILDREN FIRST ACADEMY OF DALLAS</t>
  </si>
  <si>
    <t>DALLAS COUNTY JUVENILE JUSTICE</t>
  </si>
  <si>
    <t>FAITH FAMILY ACADEMY OF OAK CLIFF</t>
  </si>
  <si>
    <t>FOCUS LEARNING ACADEMY</t>
  </si>
  <si>
    <t>JEAN MASSIEU ACADEMY</t>
  </si>
  <si>
    <t>HONORS ACADEMY</t>
  </si>
  <si>
    <t>A+ ACADEMY</t>
  </si>
  <si>
    <t>INSPIRED VISION ACADEMY</t>
  </si>
  <si>
    <t>GATEWAY CHARTER ACADEMY</t>
  </si>
  <si>
    <t>ALPHA CHARTER SCHOOL</t>
  </si>
  <si>
    <t>EDUCATION CENTER INTERNATIONAL ACADEMY</t>
  </si>
  <si>
    <t>GOLDEN RULE CHARTER SCHOOL</t>
  </si>
  <si>
    <t>KIPP TRUTH ACADEMY</t>
  </si>
  <si>
    <t>WAXAHACHIE FAITH FAMILY ACADEMY</t>
  </si>
  <si>
    <t>MAINLAND PREPARATORY ACADEMY</t>
  </si>
  <si>
    <t>MEDICAL CENTER CHARTER SCHOOL</t>
  </si>
  <si>
    <t>SER-NINOS CHARTER SCHOOL</t>
  </si>
  <si>
    <t>HS Allotment</t>
  </si>
  <si>
    <t xml:space="preserve">Advanced Career &amp; Technology FTES </t>
  </si>
  <si>
    <t>RAUL YZAGUIRRE SCHOOL FOR SUCCESS</t>
  </si>
  <si>
    <t>BAY AREA CHARTER SCHOOL</t>
  </si>
  <si>
    <t>ACADEMY OF ACCELERATED LEARNING, INC</t>
  </si>
  <si>
    <t>HARRIS COUNTY JUVENILE JUSTICE CHARTER SCHOOL</t>
  </si>
  <si>
    <t>KIPP, INC CHARTER</t>
  </si>
  <si>
    <t>VARNETT CHARTER SCHOOL</t>
  </si>
  <si>
    <t>ALIEF MONTESSORI COMMUNITY SCHOOL</t>
  </si>
  <si>
    <t>Did Charter Holder Participate in TRS Active Care in 2005-06?</t>
  </si>
  <si>
    <t>JAMIE'S HOUSE CHARTER SCHOOL</t>
  </si>
  <si>
    <t>The East Austin College Prep Academy</t>
  </si>
  <si>
    <t>Manara Academy</t>
  </si>
  <si>
    <t>City Center – Health Careers</t>
  </si>
  <si>
    <t>Total</t>
  </si>
  <si>
    <t>PINEYWOODS COMMUNITY ACADEMY</t>
  </si>
  <si>
    <t>ST MARY'S ACADEMY CHARTER SCHOOL</t>
  </si>
  <si>
    <t>TRANSFORMATIVE CHARTER ACADEMY</t>
  </si>
  <si>
    <t>GEORGE GERVIN ACADEMY</t>
  </si>
  <si>
    <t>NEW FRONTIERS CHARTER SCHOOL</t>
  </si>
  <si>
    <t>SCHOOL OF EXCELLENCE IN EDUCATION</t>
  </si>
  <si>
    <t>Special Education Data:</t>
  </si>
  <si>
    <t>Career &amp; Technology Data:</t>
  </si>
  <si>
    <t>Special Education Error Check</t>
  </si>
  <si>
    <t>Career and Technology Error Check</t>
  </si>
  <si>
    <t>Compensatory Education Enrollment</t>
  </si>
  <si>
    <t>Number Enrolled in One-hour Class (Code V1)</t>
  </si>
  <si>
    <t>Number Enrolled in Two-hour Class (Code V2)</t>
  </si>
  <si>
    <t>Number Enrolled in Three-hour Class (Code V3)</t>
  </si>
  <si>
    <t>Number Enrolled in Four-hour Class (Code V4)</t>
  </si>
  <si>
    <t>Number Enrolled in Five-hour Class (Code V5)</t>
  </si>
  <si>
    <t>Number Enrolled in Six-hour Class (Code V6)</t>
  </si>
  <si>
    <t>Number Enrolled in Self-Contained Mild/Mod/Sev (Code 43 &amp; 44)</t>
  </si>
  <si>
    <t>Number Enrolled in Full-Time Early Childhood (Code 45)</t>
  </si>
  <si>
    <t>Number Enrolled in Off-Home Campus (Code 91-98)</t>
  </si>
  <si>
    <t>Homebound (Code 01)</t>
  </si>
  <si>
    <t>Hospital Class (Code 02)</t>
  </si>
  <si>
    <t>Speech Therapy (Code 00)</t>
  </si>
  <si>
    <t>Resource Room (Code 41&amp; 42)</t>
  </si>
  <si>
    <t>Self-contained Mild/Mod/Severe (Code 43 &amp; 44)</t>
  </si>
  <si>
    <t>Off-home Campus (Codes 91-98)</t>
  </si>
  <si>
    <t>VAC (Code 08)</t>
  </si>
  <si>
    <t>State School Students (Code 30)</t>
  </si>
  <si>
    <t>Residential Care &amp; Treatment (Code 81-89)</t>
  </si>
  <si>
    <t xml:space="preserve">Did this Charter Holder Participate in TRS Active Care in 2005-06? </t>
  </si>
  <si>
    <t>Percentage Rate of Attendance</t>
  </si>
  <si>
    <t>BROOKS ACADEMY OF SCIENCE AND ENGINEERING</t>
  </si>
  <si>
    <t>LA ACADEMIA DE ESTRELLAS</t>
  </si>
  <si>
    <t>HARMONY SCHOOL OF EXCELLENCE</t>
  </si>
  <si>
    <t>Full Time Early Childhood (Code 45)</t>
  </si>
  <si>
    <t>CDN</t>
  </si>
  <si>
    <t>Regular Program Block Grant</t>
  </si>
  <si>
    <t>State Share of Tier I</t>
  </si>
  <si>
    <t>LIGHTHOUSE CHARTER SCHOOL</t>
  </si>
  <si>
    <t>RICHARD MILBURN ACADEMY (ECTOR COUNTY)</t>
  </si>
  <si>
    <t>EAST FORT WORTH MONTESSORI ACADEMY</t>
  </si>
  <si>
    <t>RICHARD MILBURN ACADEMY (FORT WORTH)</t>
  </si>
  <si>
    <t>State Average Adjusted Basic Allotment</t>
  </si>
  <si>
    <t>Adjusted GYA</t>
  </si>
  <si>
    <t>LA FE PREPARATORY SCHOOL</t>
  </si>
  <si>
    <t>AMBASSADORS PREPARATORY ACADEMY</t>
  </si>
  <si>
    <t>HARMONY SCIENCE ACADEMY- LUBBOCK</t>
  </si>
  <si>
    <t>NORTH TEXAS ELEMENTARY SCHOOL OF THE ARTS</t>
  </si>
  <si>
    <t>Harmony Science Academy-Waco</t>
  </si>
  <si>
    <t>Rhodes School, The [Houston]</t>
  </si>
  <si>
    <t>YES</t>
  </si>
  <si>
    <t>NO</t>
  </si>
  <si>
    <t>Number Enrolled in Homebound (Code 01)</t>
  </si>
  <si>
    <t>Number Enrolled in Hospital Class (Code 02)</t>
  </si>
  <si>
    <t>AUSTIN DISCOVERY SCHOOL</t>
  </si>
  <si>
    <t>CORPUS CHRISTI MONTESSORI SCHOOL</t>
  </si>
  <si>
    <t>Number Enrolled in Speech Therapy (Code 00)</t>
  </si>
  <si>
    <t>Number Enrolled in Resource Room (Code 41 &amp; 42)</t>
  </si>
  <si>
    <t>Number Enrolled in VAC (Code 08)</t>
  </si>
  <si>
    <t>Number Enrolled from State Schools (Code 30)</t>
  </si>
  <si>
    <t>Number Enrolled in Residential Care &amp; Treatment (Code 81-89)</t>
  </si>
  <si>
    <t>Number Enrolled in Mainstream (Code 40)</t>
  </si>
  <si>
    <t>EAGLE ACADEMIES OF TEXAS</t>
  </si>
  <si>
    <t>Gifted &amp; Talented Enrollment</t>
  </si>
  <si>
    <t>Refined ADA</t>
  </si>
  <si>
    <t>Career &amp; Technology FTEs</t>
  </si>
  <si>
    <t>Regular Program ADA</t>
  </si>
  <si>
    <t>Mainstream ADA</t>
  </si>
  <si>
    <t>Compensatory Ed Enrollment</t>
  </si>
  <si>
    <t>Pregnancy-related FTEs</t>
  </si>
  <si>
    <t>Bilingual ADA</t>
  </si>
  <si>
    <t>TEXAS SERENITY ACADEMY</t>
  </si>
  <si>
    <t>PANOLA CHARTER SCHOOL</t>
  </si>
  <si>
    <t>RICHARD MILBURN ACADEMY (AMARILLO)</t>
  </si>
  <si>
    <t>BIG SPRINGS CHARTER SCHOOL</t>
  </si>
  <si>
    <t>CUMBERLAND ACADEMY</t>
  </si>
  <si>
    <t>AZLEWAY CHARTER SCHOOL</t>
  </si>
  <si>
    <t>BRAZOS RIVER CHARTER SCHOOL</t>
  </si>
  <si>
    <t>TREETOPS SCHOOL INTERNATIONAL</t>
  </si>
  <si>
    <t>ARLINGTON CLASSICS ACADEMY</t>
  </si>
  <si>
    <t>FORT WORTH ACADEMY OF FINE ARTS</t>
  </si>
  <si>
    <t>EDEN PARK ACADEMY</t>
  </si>
  <si>
    <t>NYOS CHARTER SCHOOL</t>
  </si>
  <si>
    <t>TEXAS EMPOWERMENT ACADEMY</t>
  </si>
  <si>
    <t>CEDARS INTERNATIONAL ACADEMY</t>
  </si>
  <si>
    <t>KIPP AUSTIN COLLEGE PREP</t>
  </si>
  <si>
    <t>RANCH ACADEMY</t>
  </si>
  <si>
    <t>RAVEN SCHOOL</t>
  </si>
  <si>
    <t>BRIGHT IDEAS CHARTER</t>
  </si>
  <si>
    <t xml:space="preserve">Number of Pregnancy Related Students </t>
  </si>
  <si>
    <t>Number Enrolled in Bilingual/ESL</t>
  </si>
  <si>
    <t>Regular Program</t>
  </si>
  <si>
    <t>Special Education</t>
  </si>
  <si>
    <t>Career and Technology</t>
  </si>
  <si>
    <t>State Average Adjusted Allotment</t>
  </si>
  <si>
    <t>WINFREE ACADEMY CHARTER SCHOOLS</t>
  </si>
  <si>
    <t>BURNHAM WOOD CHARTER SCHOOL DISTRICT</t>
  </si>
  <si>
    <t>UNIVERSITY OF TEXAS UNIVERSITY CHARTER SCHOOL</t>
  </si>
  <si>
    <t>HARMONY SCIENCE ACADEMY (AUSTIN)</t>
  </si>
  <si>
    <t>UNIVERSITY OF TEXAS ELEMENTARY CHARTER SCHOOL</t>
  </si>
  <si>
    <t>GATEWAY (STUDENT ALTERNATIVE PROGRAM INC)</t>
  </si>
  <si>
    <t>Full-Time Staff (Does not include Administrators)</t>
  </si>
  <si>
    <t>Part-Time Staff  (Does not include Administrators)</t>
  </si>
  <si>
    <t>ONE STOP MULTISERVICE CHARTER SCHOOL</t>
  </si>
  <si>
    <t>MID-VALLEY ACADEMY</t>
  </si>
  <si>
    <t>VANGUARD ACADEMY</t>
  </si>
  <si>
    <t>RISE ACADEMY</t>
  </si>
  <si>
    <t>MIDLAND ACADEMY CHARTER SCHOOL</t>
  </si>
  <si>
    <t>TOTAL - All Grades</t>
  </si>
  <si>
    <t>Total Number of Students Enrolled (Average Membership)</t>
  </si>
  <si>
    <t>Charter School</t>
  </si>
  <si>
    <t>Reporting Period</t>
  </si>
  <si>
    <t>Beginning daily membership- (Number of students on current school roll)</t>
  </si>
  <si>
    <t>New Students</t>
  </si>
  <si>
    <t>Student Withdrawals</t>
  </si>
  <si>
    <t xml:space="preserve">Ending daily membership- </t>
  </si>
  <si>
    <t>Absences</t>
  </si>
  <si>
    <t>Days Present</t>
  </si>
  <si>
    <t>Total Ineligible Students Present</t>
  </si>
  <si>
    <t>Eligible Students</t>
  </si>
  <si>
    <t>Instruction Day</t>
  </si>
  <si>
    <t>+</t>
  </si>
  <si>
    <t>-</t>
  </si>
  <si>
    <t>=</t>
  </si>
  <si>
    <t>AVERAGE</t>
  </si>
  <si>
    <t xml:space="preserve">This spreadsheet was designed for a 30 day attendance reporting period. If the charter has more or less than 30 days taught, please </t>
  </si>
  <si>
    <t>delete or add rows as necessary to insure that the totals are accurately calculated. If adding rows, copy the last row with fomulas</t>
  </si>
  <si>
    <t>to all new rows and make sure that the total row incorporates the new rows in the formula.  Make sure to verify that all entries</t>
  </si>
  <si>
    <t>and calculations are correct prior to submission</t>
  </si>
  <si>
    <t xml:space="preserve">  </t>
  </si>
  <si>
    <t>Signature of Superintendent</t>
  </si>
  <si>
    <t>Date</t>
  </si>
  <si>
    <t>VICTORY PREP</t>
  </si>
  <si>
    <t>Arrow Academy</t>
  </si>
  <si>
    <t>Leadership Prep School</t>
  </si>
  <si>
    <t>Compass Academy Charter School</t>
  </si>
  <si>
    <t>Premier Learning Academy</t>
  </si>
  <si>
    <t>Transportation Total</t>
  </si>
  <si>
    <t xml:space="preserve">Career and Technology Program Transportation Allotment </t>
  </si>
  <si>
    <t xml:space="preserve">Special Education Program Transportation Allotment </t>
  </si>
  <si>
    <t xml:space="preserve">Regular Program Transportation Allotment </t>
  </si>
  <si>
    <t>Newman International Academy of Arlington</t>
  </si>
  <si>
    <t>Staff Salary Allotment</t>
  </si>
  <si>
    <t>HS ADA from Last PEIMS submission</t>
  </si>
  <si>
    <r>
      <t xml:space="preserve">Special Education Block Grant </t>
    </r>
    <r>
      <rPr>
        <b/>
        <sz val="9"/>
        <color indexed="8"/>
        <rFont val="Arial Narrow"/>
        <family val="2"/>
      </rPr>
      <t>(Spend 52% of Amount as proposed)</t>
    </r>
  </si>
  <si>
    <r>
      <t>Regular Compensatory Ed</t>
    </r>
    <r>
      <rPr>
        <b/>
        <sz val="8"/>
        <color indexed="8"/>
        <rFont val="Arial Narrow"/>
        <family val="2"/>
      </rPr>
      <t xml:space="preserve"> (Spend 52% of Amount as proposed)</t>
    </r>
  </si>
  <si>
    <r>
      <t>Mainstream Special Education</t>
    </r>
    <r>
      <rPr>
        <b/>
        <sz val="9"/>
        <color indexed="8"/>
        <rFont val="Arial Narrow"/>
        <family val="2"/>
      </rPr>
      <t>(Spend 52% of Amount as proposed)</t>
    </r>
  </si>
  <si>
    <r>
      <t xml:space="preserve">Career &amp; Technology Grant </t>
    </r>
    <r>
      <rPr>
        <b/>
        <sz val="9"/>
        <color indexed="8"/>
        <rFont val="Arial Narrow"/>
        <family val="2"/>
      </rPr>
      <t>(Spend 58% of Amount as proposed)</t>
    </r>
  </si>
  <si>
    <r>
      <t xml:space="preserve">Pregnancy Related Services Allocation </t>
    </r>
    <r>
      <rPr>
        <b/>
        <sz val="8"/>
        <color indexed="8"/>
        <rFont val="Arial Narrow"/>
        <family val="2"/>
      </rPr>
      <t>(Spend 52% of Amount as proposed)</t>
    </r>
  </si>
  <si>
    <r>
      <t>Bilingual Education Block Grant</t>
    </r>
    <r>
      <rPr>
        <b/>
        <sz val="8"/>
        <color indexed="8"/>
        <rFont val="Arial Narrow"/>
        <family val="2"/>
      </rPr>
      <t xml:space="preserve"> (Spend 52% of Amount as proposed)</t>
    </r>
  </si>
  <si>
    <t>A W BROWN-FELLOWSHIP LEADERSHIP ACADEMY</t>
  </si>
  <si>
    <t>ARISTOI CLASSICAL ACADEMY</t>
  </si>
  <si>
    <t>CHAPARRAL STAR ACADEMY</t>
  </si>
  <si>
    <t>DR M L GARZA-GONZALEZ CHARTER SCHOOL</t>
  </si>
  <si>
    <t>GIRLS &amp; BOYS PREPARATORY ACADEMY</t>
  </si>
  <si>
    <t>HENRY FORD ACADEMY ALAMEDA SCHOOL FOR ART + DESIGN</t>
  </si>
  <si>
    <t>IDEA PUBLIC SCHOOLS</t>
  </si>
  <si>
    <t>KIPP SAN ANTONIO</t>
  </si>
  <si>
    <t>MERIDIAN WORLD SCHOOL LLC</t>
  </si>
  <si>
    <t>PREMIER HIGH SCHOOLS</t>
  </si>
  <si>
    <t>PROMISE COMMUNITY SCHOOL</t>
  </si>
  <si>
    <t>SAN ANTONIO TECHNOLOGY ACADEMY</t>
  </si>
  <si>
    <t>SEASHORE CHARTER SCHOOLS</t>
  </si>
  <si>
    <t>SOUTH TEXAS EDUCATIONAL TECHNOLOGIES INC</t>
  </si>
  <si>
    <t>TEXAS EDUCATION CENTERS</t>
  </si>
  <si>
    <t>TEXAS LEADERSHIP</t>
  </si>
  <si>
    <t>UPLIFT EDUCATION - HAMPTON PREPARATORY</t>
  </si>
  <si>
    <t>UPLIFT EDUCATION - NORTH HILLS PREPARATORY</t>
  </si>
  <si>
    <t>UPLIFT EDUCATION - PEAK PREPARATORY</t>
  </si>
  <si>
    <t>UPLIFT EDUCATION - WILLIAMS PREPARATORY</t>
  </si>
  <si>
    <t>WALIPP-TSU PREPARATORY ACADEMY</t>
  </si>
  <si>
    <t>YES PREP PUBLIC SCHOOLS INC</t>
  </si>
  <si>
    <t>FSP Remaining Balance</t>
  </si>
  <si>
    <t>Number of Remaining FSP Payments</t>
  </si>
  <si>
    <t>Payment</t>
  </si>
  <si>
    <t>Remaining Balance to be Paid this Month</t>
  </si>
  <si>
    <t>Payment Month</t>
  </si>
  <si>
    <t>% of Unpaid Balance</t>
  </si>
  <si>
    <t>September</t>
  </si>
  <si>
    <t>October</t>
  </si>
  <si>
    <t>November</t>
  </si>
  <si>
    <t>December</t>
  </si>
  <si>
    <t>January</t>
  </si>
  <si>
    <t>February</t>
  </si>
  <si>
    <t>March</t>
  </si>
  <si>
    <t>April</t>
  </si>
  <si>
    <t>May</t>
  </si>
  <si>
    <t>June</t>
  </si>
  <si>
    <t>July</t>
  </si>
  <si>
    <t>August</t>
  </si>
  <si>
    <t>Remaining Payments</t>
  </si>
  <si>
    <t>Total FSP from latest Summary of Finances (SOF)</t>
  </si>
  <si>
    <t>EYS</t>
  </si>
  <si>
    <t>Advanced C&amp;T FTE</t>
  </si>
  <si>
    <r>
      <t xml:space="preserve">Gifted &amp; Talented Op Grant </t>
    </r>
    <r>
      <rPr>
        <b/>
        <sz val="8"/>
        <color indexed="8"/>
        <rFont val="Arial Narrow"/>
        <family val="2"/>
      </rPr>
      <t>(Spend 55% of Amount as proposed)</t>
    </r>
  </si>
  <si>
    <r>
      <t>Extended Year Services Special Education (EYS)  Grant</t>
    </r>
    <r>
      <rPr>
        <b/>
        <sz val="8"/>
        <color indexed="8"/>
        <rFont val="Arial Narrow"/>
        <family val="2"/>
      </rPr>
      <t xml:space="preserve"> (Spend 100% of Amount as proposed)</t>
    </r>
  </si>
  <si>
    <t>2009-2010 Transportation</t>
  </si>
  <si>
    <t>UME PREPARATORY ACADEMY</t>
  </si>
  <si>
    <t>LEGACY PREPARATORY</t>
  </si>
  <si>
    <t>FALLBROOK COLLEGE PREPARATORY ACADEMY</t>
  </si>
  <si>
    <t>EXCELLENCE IN LEADERSHIP ACADEMY</t>
  </si>
  <si>
    <t>UT TYLER INNOVATION ACADEMY</t>
  </si>
  <si>
    <t>PRIME PREP ACADEMY</t>
  </si>
  <si>
    <t>AUSTIN ACHIEVE PUBLIC SCHOOLS</t>
  </si>
  <si>
    <t>Status</t>
  </si>
  <si>
    <r>
      <t xml:space="preserve">Residential Care &amp; Treatment </t>
    </r>
    <r>
      <rPr>
        <b/>
        <sz val="9"/>
        <color indexed="8"/>
        <rFont val="Arial Narrow"/>
        <family val="2"/>
      </rPr>
      <t>(Spend 52% of Amount as proposed)</t>
    </r>
  </si>
  <si>
    <r>
      <t>State Schools</t>
    </r>
    <r>
      <rPr>
        <b/>
        <sz val="9"/>
        <color indexed="8"/>
        <rFont val="Arial Narrow"/>
        <family val="2"/>
      </rPr>
      <t xml:space="preserve"> (Spend 52% of Amount as proposed)</t>
    </r>
  </si>
  <si>
    <t>Tier II Level 1</t>
  </si>
  <si>
    <t>Tier II Level 2</t>
  </si>
  <si>
    <t>TOTAL SPECIAL EDUCATION</t>
  </si>
  <si>
    <t>TOTAL SPECIAL EDUCATION FTE</t>
  </si>
  <si>
    <t>TOTAL SPECIAL EDUCATION WEIGHTED FTE</t>
  </si>
  <si>
    <t>TOTAL WEIGHTED AVERAGE DAILY ATTENDANCE (WADA)</t>
  </si>
  <si>
    <t>SPECIAL EDUCATION FTE</t>
  </si>
  <si>
    <t>FUNDING BREAKDOWN BY PROGRAM</t>
  </si>
  <si>
    <t>TRANSPORTATION</t>
  </si>
  <si>
    <t>TOTAL TRANSPORTATION</t>
  </si>
  <si>
    <t>TOTAL TIER II</t>
  </si>
  <si>
    <t>TOTAL FOUNDATION SCHOOL FUND (FSF)</t>
  </si>
  <si>
    <t>TOTAL AVAILABLE SCHOOL FUND (ASF)</t>
  </si>
  <si>
    <t>Available School Fund Rate</t>
  </si>
  <si>
    <t>Available School Fund ADA</t>
  </si>
  <si>
    <t>2009-2010  HB1 Revenue Per WADA *0.9263</t>
  </si>
  <si>
    <t>2009-2010 State Average HB1 Revenue Per WADA*0.9263</t>
  </si>
  <si>
    <t>2008-2009 Educator Salary Increase ($23.63 x 2008-2009 WADA*0.9263)</t>
  </si>
  <si>
    <t>BASIS San Antonio</t>
  </si>
  <si>
    <t>Great Hearts Academy – San Antonio</t>
  </si>
  <si>
    <t xml:space="preserve">Eleanor Kolitz Hebrew Language Academy </t>
  </si>
  <si>
    <t>Village Tech Schools</t>
  </si>
  <si>
    <t>International Leadership of Texas (ILT)</t>
  </si>
  <si>
    <t>HOPE GLOBAL LEARNING VILLAGE</t>
  </si>
  <si>
    <t>The Pro-Vision Academy</t>
  </si>
  <si>
    <t>C.O.R.E. Academy</t>
  </si>
  <si>
    <t>2005-2006 TRS Active care status</t>
  </si>
  <si>
    <t>NEW TEXAS CHARTER SCHOOL</t>
  </si>
  <si>
    <t>TOTAL</t>
  </si>
  <si>
    <t>Please note estimates of state aid calculated during the school year are based on projected charter school and school district attendance estimates, estimated school district maintenance and operations (M&amp;O) tax rates, and estimated tax collections. Estimation of state aid earned can be significantly impacted by factors that will not be known to the State Funding Division until the "Final" Summary of Finances (SOF) is calculated in April. It is strongly recommended that charter schools budget conservatively to accommodate these unexpected changes.</t>
  </si>
  <si>
    <t>Month</t>
  </si>
  <si>
    <t>Year</t>
  </si>
  <si>
    <t>NSLBP</t>
  </si>
  <si>
    <t>RC&amp;T</t>
  </si>
  <si>
    <t>Contract</t>
  </si>
  <si>
    <t>Alt. BMC</t>
  </si>
  <si>
    <t>Average</t>
  </si>
  <si>
    <t>2014-2015 Transportation</t>
  </si>
  <si>
    <t>Transportation Adjustment (Line 81 minus Line 82)</t>
  </si>
  <si>
    <t>2014-2015 WADA</t>
  </si>
  <si>
    <t>2014-2015 Base Target Revenue (Greater of Line 75 x Line 77 or Line 76 x Line 77)</t>
  </si>
  <si>
    <t>2014-2015 HB3646 Minimum Increase (Line 77 x $120*0.9263)</t>
  </si>
  <si>
    <t>2014-2015 Minimum Revenue (Line 78 + Line 79)</t>
  </si>
  <si>
    <t>2014-2015 New Instructional Facility Allotment</t>
  </si>
  <si>
    <t xml:space="preserve">2014-2015 Tier I State Aid </t>
  </si>
  <si>
    <t>2014-2015 Adjusted Minimum Revenue (Line 80 + Line 83 + Line 84 + Line 85)</t>
  </si>
  <si>
    <t xml:space="preserve">Additional State Aid For Tax Reduction (If Line 87 &lt; Line 86 Then Line 86 - Line 87) </t>
  </si>
  <si>
    <t>2014-2015 Revenue @ Compressed Tax Rate/RACR (Line 87 + Line 88)</t>
  </si>
  <si>
    <t>2014-2015 Revenue per WADA @ Compressed Tax Rate (RACR/WADA) (Line 89/Line77)</t>
  </si>
  <si>
    <t xml:space="preserve">  MAX ENROLL 06_03_2013</t>
  </si>
  <si>
    <t>2014_2015 Adjusted HB1REV_WADA</t>
  </si>
  <si>
    <t>NEW</t>
  </si>
  <si>
    <t>Carpe Diem Schools</t>
  </si>
  <si>
    <t>El Paso Leadership Academy</t>
  </si>
  <si>
    <t>Montessori For All</t>
  </si>
  <si>
    <t xml:space="preserve">IMAGINE INTERNATIONAL ACADEMY OF NORTH TEXAS3               </t>
  </si>
  <si>
    <t xml:space="preserve">County District Number </t>
  </si>
  <si>
    <t>Highest Six Month's Average</t>
  </si>
  <si>
    <t>Funding School Year</t>
  </si>
  <si>
    <t>2014-2015</t>
  </si>
  <si>
    <t>Highest Six Months Average</t>
  </si>
  <si>
    <t>1st</t>
  </si>
  <si>
    <t>2nd</t>
  </si>
  <si>
    <t>3rd</t>
  </si>
  <si>
    <t>4th</t>
  </si>
  <si>
    <t>5th</t>
  </si>
  <si>
    <t>6th</t>
  </si>
  <si>
    <t>Superintendent Signature</t>
  </si>
  <si>
    <t>Year             (New Charter Only)</t>
  </si>
  <si>
    <t>Estimated                         Number of Approved SCE Funding Qualification Applications</t>
  </si>
  <si>
    <t>State Compensatory Education Estimate Worksheet</t>
  </si>
  <si>
    <r>
      <t xml:space="preserve">FUNDING DATA </t>
    </r>
    <r>
      <rPr>
        <b/>
        <sz val="12"/>
        <color rgb="FFFF0000"/>
        <rFont val="Arial Narrow"/>
        <family val="2"/>
      </rPr>
      <t>(As of April 15, 2014):</t>
    </r>
  </si>
  <si>
    <t>2014-2015 Estimate of State Aid Entitlement Template</t>
  </si>
  <si>
    <t xml:space="preserve">2008-2009 Educator Salary Increase </t>
  </si>
  <si>
    <r>
      <t xml:space="preserve">Prior Year Settle-Up or Audit Adjustments </t>
    </r>
    <r>
      <rPr>
        <i/>
        <sz val="10"/>
        <rFont val="Arial"/>
        <family val="2"/>
      </rPr>
      <t>(from FSP Ledger)</t>
    </r>
  </si>
  <si>
    <r>
      <t xml:space="preserve">Current Year FSP Payments Year to Date </t>
    </r>
    <r>
      <rPr>
        <i/>
        <sz val="10"/>
        <rFont val="Arial"/>
        <family val="2"/>
      </rPr>
      <t>(from FSP Ledger)</t>
    </r>
  </si>
  <si>
    <t xml:space="preserve">One-Time TRS Allotment (SB1458) </t>
  </si>
  <si>
    <t>Enter ADA from the latest 2013-2014 SOF Report or update estimate based on local calculations.</t>
  </si>
  <si>
    <t>Enter number from the latest 2013-2014 SOF Report or update estimate based on local calculations.</t>
  </si>
  <si>
    <t>Enter amount from the latest 2013-2014 SOF Report or update estimate based on local calculations.</t>
  </si>
  <si>
    <r>
      <t xml:space="preserve">Full-time staff </t>
    </r>
    <r>
      <rPr>
        <b/>
        <sz val="8"/>
        <color indexed="8"/>
        <rFont val="Arial"/>
        <family val="2"/>
      </rPr>
      <t xml:space="preserve">Only applies to Charter holders in operation and participating in TRS Active Care in the 2005-2006 school year. </t>
    </r>
    <r>
      <rPr>
        <b/>
        <u/>
        <sz val="8"/>
        <color indexed="8"/>
        <rFont val="Arial"/>
        <family val="2"/>
      </rPr>
      <t xml:space="preserve">Do not include administrators, teachers, librarians, nurses or counselors.  </t>
    </r>
  </si>
  <si>
    <r>
      <t xml:space="preserve">Part-time staff </t>
    </r>
    <r>
      <rPr>
        <b/>
        <sz val="8"/>
        <color indexed="8"/>
        <rFont val="Arial"/>
        <family val="2"/>
      </rPr>
      <t xml:space="preserve">Only applies to Charter holders in operation and participating in TRS Active Care in the 2005-2006 school year. </t>
    </r>
    <r>
      <rPr>
        <b/>
        <u/>
        <sz val="8"/>
        <color indexed="8"/>
        <rFont val="Arial"/>
        <family val="2"/>
      </rPr>
      <t xml:space="preserve">Do not include administrators, teachers, librarians, nurses or counselors.  </t>
    </r>
  </si>
  <si>
    <t>Enter enrollment from the latest 2013-2014 SOF Report or or update estimate based the 2013-2014 SCE Daily Membership worksheet.</t>
  </si>
  <si>
    <t>Start</t>
  </si>
  <si>
    <t>End</t>
  </si>
  <si>
    <t>Days Taught</t>
  </si>
  <si>
    <t>UTPB STEM Academy</t>
  </si>
  <si>
    <t>The Excel Center</t>
  </si>
  <si>
    <t>PRIOR YEAR ADA FOR AVAILABLE SCHOOL FUND (ASF) ALLOTMENT</t>
  </si>
  <si>
    <t>State Average DTR- Level 1</t>
  </si>
  <si>
    <t>State Average DTR- Level 2</t>
  </si>
  <si>
    <t>Updated 09/10/2014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</si>
</sst>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_(&quot;$&quot;* \(#,##0.00\);_(&quot;$&quot;* &quot;-&quot;??_);_(@_)"/>
    <numFmt numFmtId="43" formatCode="_(* #,##0.00_);_(* \(#,##0.00\);_(* &quot;-&quot;??_);_(@_)"/>
    <numFmt numFmtId="164" formatCode="0.000"/>
    <numFmt numFmtId="165" formatCode="0.0000"/>
    <numFmt numFmtId="166" formatCode="_(&quot;$&quot;* #,##0_);_(&quot;$&quot;* \(#,##0\);_(&quot;$&quot;* &quot;-&quot;??_);_(@_)"/>
    <numFmt numFmtId="167" formatCode="000000"/>
    <numFmt numFmtId="168" formatCode="_(&quot;$&quot;* #,##0.000_);_(&quot;$&quot;* \(#,##0.000\);_(&quot;$&quot;* &quot;-&quot;??_);_(@_)"/>
    <numFmt numFmtId="169" formatCode="mm/dd/yy"/>
    <numFmt numFmtId="170" formatCode="_(* #,##0.000_);_(* \(#,##0.000\);_(* &quot;-&quot;??_);_(@_)"/>
    <numFmt numFmtId="171" formatCode="0.0%"/>
    <numFmt numFmtId="172" formatCode="_(* #,##0_);_(* \(#,##0\);_(* &quot;-&quot;??_);_(@_)"/>
    <numFmt numFmtId="173" formatCode="_(* #,##0.00000_);_(* \(#,##0.00000\);_(* &quot;-&quot;??_);_(@_)"/>
    <numFmt numFmtId="174" formatCode="0.0"/>
  </numFmts>
  <fonts count="52" x14ac:knownFonts="1">
    <font>
      <sz val="10"/>
      <name val="Arial"/>
    </font>
    <font>
      <sz val="10"/>
      <name val="Arial"/>
      <family val="2"/>
    </font>
    <font>
      <b/>
      <sz val="10"/>
      <name val="Arial"/>
      <family val="2"/>
    </font>
    <font>
      <sz val="8"/>
      <name val="Arial"/>
      <family val="2"/>
    </font>
    <font>
      <sz val="10"/>
      <color indexed="8"/>
      <name val="Arial"/>
      <family val="2"/>
    </font>
    <font>
      <sz val="10"/>
      <name val="Arial"/>
      <family val="2"/>
    </font>
    <font>
      <b/>
      <sz val="8"/>
      <name val="Arial"/>
      <family val="2"/>
    </font>
    <font>
      <sz val="8"/>
      <name val="Arial"/>
      <family val="2"/>
    </font>
    <font>
      <sz val="10"/>
      <color indexed="9"/>
      <name val="Arial"/>
      <family val="2"/>
    </font>
    <font>
      <b/>
      <sz val="12"/>
      <name val="Arial Narrow"/>
      <family val="2"/>
    </font>
    <font>
      <sz val="12"/>
      <name val="Arial Narrow"/>
      <family val="2"/>
    </font>
    <font>
      <b/>
      <sz val="12"/>
      <color indexed="8"/>
      <name val="Arial Narrow"/>
      <family val="2"/>
    </font>
    <font>
      <sz val="10"/>
      <color indexed="10"/>
      <name val="Arial"/>
      <family val="2"/>
    </font>
    <font>
      <b/>
      <sz val="10"/>
      <name val="Arial Narrow"/>
      <family val="2"/>
    </font>
    <font>
      <sz val="8"/>
      <color indexed="81"/>
      <name val="Tahoma"/>
      <family val="2"/>
    </font>
    <font>
      <b/>
      <sz val="9"/>
      <color indexed="8"/>
      <name val="Arial Narrow"/>
      <family val="2"/>
    </font>
    <font>
      <b/>
      <sz val="8"/>
      <color indexed="8"/>
      <name val="Arial Narrow"/>
      <family val="2"/>
    </font>
    <font>
      <b/>
      <sz val="11"/>
      <name val="Calibri"/>
      <family val="2"/>
    </font>
    <font>
      <b/>
      <sz val="10"/>
      <name val="Calibri"/>
      <family val="2"/>
    </font>
    <font>
      <b/>
      <sz val="8"/>
      <color indexed="10"/>
      <name val="Arial"/>
      <family val="2"/>
    </font>
    <font>
      <sz val="9"/>
      <color indexed="81"/>
      <name val="Arial"/>
      <family val="2"/>
    </font>
    <font>
      <b/>
      <sz val="9"/>
      <color indexed="81"/>
      <name val="Arial"/>
      <family val="2"/>
    </font>
    <font>
      <b/>
      <sz val="9"/>
      <color indexed="10"/>
      <name val="Arial"/>
      <family val="2"/>
    </font>
    <font>
      <sz val="16"/>
      <name val="Arial"/>
      <family val="2"/>
    </font>
    <font>
      <b/>
      <sz val="20"/>
      <name val="Arial"/>
      <family val="2"/>
    </font>
    <font>
      <b/>
      <sz val="8"/>
      <color indexed="8"/>
      <name val="Arial"/>
      <family val="2"/>
    </font>
    <font>
      <b/>
      <sz val="9"/>
      <color indexed="81"/>
      <name val="Tahoma"/>
      <family val="2"/>
    </font>
    <font>
      <sz val="9"/>
      <color indexed="81"/>
      <name val="Tahoma"/>
      <family val="2"/>
    </font>
    <font>
      <b/>
      <u/>
      <sz val="9"/>
      <color indexed="81"/>
      <name val="Arial"/>
      <family val="2"/>
    </font>
    <font>
      <u/>
      <sz val="9"/>
      <color indexed="81"/>
      <name val="Arial"/>
      <family val="2"/>
    </font>
    <font>
      <sz val="8"/>
      <color rgb="FF00B050"/>
      <name val="Arial"/>
      <family val="2"/>
    </font>
    <font>
      <sz val="10"/>
      <color theme="0"/>
      <name val="Arial"/>
      <family val="2"/>
    </font>
    <font>
      <b/>
      <sz val="8"/>
      <color rgb="FF000000"/>
      <name val="Verdana"/>
      <family val="2"/>
    </font>
    <font>
      <sz val="8"/>
      <color rgb="FF000000"/>
      <name val="Verdana"/>
      <family val="2"/>
    </font>
    <font>
      <b/>
      <sz val="10"/>
      <color indexed="8"/>
      <name val="Arial"/>
      <family val="2"/>
    </font>
    <font>
      <sz val="10"/>
      <color theme="0" tint="-0.14999847407452621"/>
      <name val="Arial"/>
      <family val="2"/>
    </font>
    <font>
      <b/>
      <sz val="11"/>
      <color theme="0"/>
      <name val="Calibri"/>
      <family val="2"/>
      <scheme val="minor"/>
    </font>
    <font>
      <b/>
      <sz val="11"/>
      <color theme="1"/>
      <name val="Calibri"/>
      <family val="2"/>
      <scheme val="minor"/>
    </font>
    <font>
      <b/>
      <sz val="8"/>
      <color theme="0"/>
      <name val="Arial"/>
      <family val="2"/>
    </font>
    <font>
      <b/>
      <sz val="12"/>
      <name val="Arial"/>
      <family val="2"/>
    </font>
    <font>
      <sz val="12"/>
      <color theme="1"/>
      <name val="Calibri"/>
      <family val="2"/>
      <scheme val="minor"/>
    </font>
    <font>
      <sz val="12"/>
      <name val="Arial"/>
      <family val="2"/>
    </font>
    <font>
      <b/>
      <u/>
      <sz val="12"/>
      <color theme="1"/>
      <name val="Calibri"/>
      <family val="2"/>
      <scheme val="minor"/>
    </font>
    <font>
      <b/>
      <sz val="12"/>
      <color rgb="FFFF0000"/>
      <name val="Arial Narrow"/>
      <family val="2"/>
    </font>
    <font>
      <i/>
      <sz val="10"/>
      <name val="Arial"/>
      <family val="2"/>
    </font>
    <font>
      <b/>
      <u/>
      <sz val="8"/>
      <color indexed="8"/>
      <name val="Arial"/>
      <family val="2"/>
    </font>
    <font>
      <sz val="8"/>
      <color theme="0"/>
      <name val="Arial"/>
      <family val="2"/>
    </font>
    <font>
      <sz val="11"/>
      <color theme="0"/>
      <name val="Arial"/>
      <family val="2"/>
    </font>
    <font>
      <sz val="12"/>
      <color theme="0"/>
      <name val="Times New Roman"/>
      <family val="1"/>
    </font>
    <font>
      <b/>
      <sz val="18"/>
      <name val="Arial"/>
      <family val="2"/>
    </font>
    <font>
      <sz val="10"/>
      <color theme="0"/>
      <name val="Arial"/>
      <family val="2"/>
    </font>
    <font>
      <b/>
      <sz val="10"/>
      <color theme="0"/>
      <name val="Arial"/>
      <family val="2"/>
    </font>
  </fonts>
  <fills count="15">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rgb="FFCCCCCC"/>
        <bgColor indexed="64"/>
      </patternFill>
    </fill>
    <fill>
      <patternFill patternType="solid">
        <fgColor rgb="FFFFFFFF"/>
        <bgColor indexed="64"/>
      </patternFill>
    </fill>
    <fill>
      <patternFill patternType="solid">
        <fgColor rgb="FFECF3FF"/>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theme="0" tint="-0.34998626667073579"/>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555555"/>
      </left>
      <right style="medium">
        <color rgb="FF555555"/>
      </right>
      <top style="medium">
        <color rgb="FF555555"/>
      </top>
      <bottom style="medium">
        <color rgb="FF555555"/>
      </bottom>
      <diagonal/>
    </border>
    <border>
      <left style="medium">
        <color rgb="FFC4DAFF"/>
      </left>
      <right style="medium">
        <color rgb="FFC4DAFF"/>
      </right>
      <top style="medium">
        <color rgb="FFC4DAFF"/>
      </top>
      <bottom style="medium">
        <color rgb="FFC4DAFF"/>
      </bottom>
      <diagonal/>
    </border>
    <border>
      <left style="medium">
        <color rgb="FF555555"/>
      </left>
      <right style="medium">
        <color rgb="FFC4DAFF"/>
      </right>
      <top style="medium">
        <color rgb="FFC4DAFF"/>
      </top>
      <bottom style="medium">
        <color rgb="FFC4DAFF"/>
      </bottom>
      <diagonal/>
    </border>
    <border>
      <left style="medium">
        <color rgb="FFC4DAFF"/>
      </left>
      <right style="medium">
        <color rgb="FF555555"/>
      </right>
      <top style="medium">
        <color rgb="FFC4DAFF"/>
      </top>
      <bottom style="medium">
        <color rgb="FFC4DAFF"/>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right/>
      <top style="medium">
        <color indexed="64"/>
      </top>
      <bottom style="medium">
        <color indexed="64"/>
      </bottom>
      <diagonal/>
    </border>
    <border>
      <left style="thin">
        <color indexed="64"/>
      </left>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242">
    <xf numFmtId="0" fontId="0" fillId="0" borderId="0" xfId="0"/>
    <xf numFmtId="0" fontId="0" fillId="0" borderId="0" xfId="0" applyFill="1"/>
    <xf numFmtId="166" fontId="0" fillId="0" borderId="0" xfId="2" applyNumberFormat="1" applyFont="1"/>
    <xf numFmtId="166" fontId="0" fillId="0" borderId="0" xfId="0" applyNumberFormat="1"/>
    <xf numFmtId="166" fontId="8" fillId="0" borderId="0" xfId="2" applyNumberFormat="1" applyFont="1"/>
    <xf numFmtId="166" fontId="8" fillId="0" borderId="0" xfId="0" applyNumberFormat="1" applyFont="1"/>
    <xf numFmtId="0" fontId="9" fillId="3" borderId="1" xfId="0" applyFont="1" applyFill="1" applyBorder="1" applyProtection="1"/>
    <xf numFmtId="0" fontId="9" fillId="3" borderId="1" xfId="0" applyFont="1" applyFill="1" applyBorder="1" applyAlignment="1" applyProtection="1">
      <alignment horizontal="left" indent="1"/>
    </xf>
    <xf numFmtId="0" fontId="9" fillId="0" borderId="1" xfId="0" applyFont="1" applyFill="1" applyBorder="1" applyProtection="1"/>
    <xf numFmtId="0" fontId="9" fillId="0" borderId="1" xfId="0" applyFont="1" applyFill="1" applyBorder="1" applyAlignment="1" applyProtection="1">
      <alignment horizontal="left"/>
    </xf>
    <xf numFmtId="0" fontId="11" fillId="0" borderId="1" xfId="0" applyNumberFormat="1" applyFont="1" applyFill="1" applyBorder="1" applyProtection="1"/>
    <xf numFmtId="0" fontId="11" fillId="0" borderId="1" xfId="0" applyNumberFormat="1" applyFont="1" applyFill="1" applyBorder="1" applyAlignment="1" applyProtection="1">
      <alignment horizontal="left"/>
    </xf>
    <xf numFmtId="0" fontId="11" fillId="0" borderId="1" xfId="0" applyNumberFormat="1" applyFont="1" applyFill="1" applyBorder="1" applyAlignment="1" applyProtection="1">
      <alignment horizontal="left" indent="1"/>
    </xf>
    <xf numFmtId="166" fontId="9" fillId="0" borderId="1" xfId="2" applyNumberFormat="1" applyFont="1" applyFill="1" applyBorder="1" applyProtection="1"/>
    <xf numFmtId="0" fontId="7" fillId="0" borderId="0" xfId="0" applyFont="1" applyFill="1"/>
    <xf numFmtId="0" fontId="2" fillId="0" borderId="0" xfId="0" applyFont="1" applyBorder="1" applyAlignment="1">
      <alignment horizontal="center" wrapText="1"/>
    </xf>
    <xf numFmtId="0" fontId="9" fillId="4" borderId="2" xfId="0" applyFont="1" applyFill="1" applyBorder="1" applyAlignment="1" applyProtection="1">
      <alignment horizontal="center" vertical="center"/>
    </xf>
    <xf numFmtId="0" fontId="6" fillId="0" borderId="0" xfId="0" applyFont="1" applyAlignment="1">
      <alignment horizontal="center"/>
    </xf>
    <xf numFmtId="0" fontId="6" fillId="0" borderId="0" xfId="0" applyFont="1" applyAlignment="1">
      <alignment horizontal="left"/>
    </xf>
    <xf numFmtId="0" fontId="6" fillId="0" borderId="0" xfId="0" applyFont="1"/>
    <xf numFmtId="166" fontId="6" fillId="0" borderId="0" xfId="0" applyNumberFormat="1" applyFont="1" applyAlignment="1">
      <alignment horizontal="left"/>
    </xf>
    <xf numFmtId="166" fontId="6" fillId="0" borderId="0" xfId="2" applyNumberFormat="1" applyFont="1" applyAlignment="1">
      <alignment horizontal="center"/>
    </xf>
    <xf numFmtId="166" fontId="6" fillId="0" borderId="0" xfId="0" applyNumberFormat="1" applyFont="1" applyAlignment="1">
      <alignment horizontal="center"/>
    </xf>
    <xf numFmtId="166" fontId="6" fillId="0" borderId="0" xfId="0" applyNumberFormat="1" applyFont="1" applyFill="1" applyAlignment="1">
      <alignment horizontal="center"/>
    </xf>
    <xf numFmtId="0" fontId="4" fillId="0" borderId="1" xfId="0" applyNumberFormat="1" applyFont="1" applyFill="1" applyBorder="1" applyAlignment="1" applyProtection="1">
      <alignment vertical="center" wrapText="1"/>
    </xf>
    <xf numFmtId="0" fontId="5" fillId="3" borderId="1" xfId="0" applyFont="1" applyFill="1" applyBorder="1" applyProtection="1"/>
    <xf numFmtId="0" fontId="2" fillId="3" borderId="1" xfId="0" applyFont="1" applyFill="1" applyBorder="1" applyProtection="1"/>
    <xf numFmtId="0" fontId="5" fillId="3" borderId="1" xfId="0" applyFont="1" applyFill="1" applyBorder="1" applyAlignment="1" applyProtection="1">
      <alignment horizontal="left" indent="1"/>
    </xf>
    <xf numFmtId="0" fontId="5" fillId="3" borderId="1" xfId="0" applyFont="1" applyFill="1" applyBorder="1" applyAlignment="1" applyProtection="1">
      <alignment horizontal="left" wrapText="1" indent="1"/>
    </xf>
    <xf numFmtId="166" fontId="9" fillId="4" borderId="1" xfId="2" applyNumberFormat="1" applyFont="1" applyFill="1" applyBorder="1" applyProtection="1"/>
    <xf numFmtId="0" fontId="2" fillId="4" borderId="1" xfId="0" applyFont="1" applyFill="1" applyBorder="1" applyProtection="1"/>
    <xf numFmtId="10" fontId="2" fillId="4" borderId="1" xfId="0" applyNumberFormat="1" applyFont="1" applyFill="1" applyBorder="1" applyAlignment="1" applyProtection="1">
      <alignment horizontal="center" vertical="center" wrapText="1"/>
    </xf>
    <xf numFmtId="0" fontId="2" fillId="4" borderId="0" xfId="0" applyFont="1" applyFill="1" applyBorder="1" applyProtection="1"/>
    <xf numFmtId="0" fontId="6" fillId="0" borderId="0" xfId="0" quotePrefix="1" applyFont="1" applyAlignment="1">
      <alignment horizontal="left"/>
    </xf>
    <xf numFmtId="0" fontId="2" fillId="4" borderId="3" xfId="0" applyFont="1" applyFill="1" applyBorder="1" applyAlignment="1" applyProtection="1">
      <alignment horizontal="center" wrapText="1"/>
    </xf>
    <xf numFmtId="0" fontId="11" fillId="4" borderId="1" xfId="0" applyNumberFormat="1" applyFont="1" applyFill="1" applyBorder="1" applyAlignment="1" applyProtection="1">
      <alignment horizontal="center"/>
    </xf>
    <xf numFmtId="0" fontId="11" fillId="4" borderId="1" xfId="0" applyNumberFormat="1" applyFont="1" applyFill="1" applyBorder="1" applyAlignment="1" applyProtection="1">
      <alignment horizontal="left"/>
    </xf>
    <xf numFmtId="37" fontId="9" fillId="4" borderId="1" xfId="0" applyNumberFormat="1" applyFont="1" applyFill="1" applyBorder="1" applyProtection="1"/>
    <xf numFmtId="0" fontId="9" fillId="4" borderId="1" xfId="0" applyFont="1" applyFill="1" applyBorder="1" applyProtection="1"/>
    <xf numFmtId="164" fontId="9" fillId="4" borderId="1" xfId="0" applyNumberFormat="1" applyFont="1" applyFill="1" applyBorder="1" applyProtection="1">
      <protection locked="0"/>
    </xf>
    <xf numFmtId="0" fontId="10" fillId="4" borderId="1" xfId="0" applyFont="1" applyFill="1" applyBorder="1" applyProtection="1"/>
    <xf numFmtId="166" fontId="9" fillId="0" borderId="1" xfId="2" applyNumberFormat="1" applyFont="1" applyFill="1" applyBorder="1" applyProtection="1">
      <protection locked="0"/>
    </xf>
    <xf numFmtId="44" fontId="0" fillId="0" borderId="0" xfId="2" applyFont="1"/>
    <xf numFmtId="0" fontId="18" fillId="0" borderId="1" xfId="0" applyFont="1" applyBorder="1"/>
    <xf numFmtId="0" fontId="18" fillId="0" borderId="1" xfId="0" applyFont="1" applyBorder="1" applyAlignment="1">
      <alignment wrapText="1"/>
    </xf>
    <xf numFmtId="166" fontId="18" fillId="0" borderId="1" xfId="2" applyNumberFormat="1" applyFont="1" applyBorder="1" applyAlignment="1">
      <alignment wrapText="1"/>
    </xf>
    <xf numFmtId="166" fontId="17" fillId="0" borderId="1" xfId="2" applyNumberFormat="1" applyFont="1" applyFill="1" applyBorder="1"/>
    <xf numFmtId="0" fontId="19" fillId="0" borderId="0" xfId="0" applyFont="1" applyFill="1"/>
    <xf numFmtId="44" fontId="17" fillId="0" borderId="1" xfId="2" applyFont="1" applyFill="1" applyBorder="1"/>
    <xf numFmtId="166" fontId="17" fillId="0" borderId="1" xfId="0" applyNumberFormat="1" applyFont="1" applyFill="1" applyBorder="1"/>
    <xf numFmtId="166" fontId="17" fillId="0" borderId="1" xfId="2" quotePrefix="1" applyNumberFormat="1" applyFont="1" applyFill="1" applyBorder="1"/>
    <xf numFmtId="166" fontId="17" fillId="0" borderId="1" xfId="2" applyNumberFormat="1" applyFont="1" applyFill="1" applyBorder="1" applyAlignment="1"/>
    <xf numFmtId="9" fontId="2" fillId="3" borderId="1" xfId="4" applyFont="1" applyFill="1" applyBorder="1" applyProtection="1">
      <protection locked="0"/>
    </xf>
    <xf numFmtId="0" fontId="2" fillId="0" borderId="1" xfId="0" applyFont="1" applyBorder="1" applyProtection="1">
      <protection locked="0"/>
    </xf>
    <xf numFmtId="0" fontId="2" fillId="0" borderId="4" xfId="0" applyFont="1" applyBorder="1" applyProtection="1">
      <protection locked="0"/>
    </xf>
    <xf numFmtId="0" fontId="30" fillId="0" borderId="0" xfId="0" applyFont="1" applyFill="1"/>
    <xf numFmtId="0" fontId="18" fillId="0" borderId="1" xfId="0" applyFont="1" applyFill="1" applyBorder="1" applyAlignment="1">
      <alignment wrapText="1"/>
    </xf>
    <xf numFmtId="0" fontId="1" fillId="3" borderId="1" xfId="0" applyFont="1" applyFill="1" applyBorder="1" applyProtection="1"/>
    <xf numFmtId="169" fontId="0" fillId="0" borderId="1" xfId="0" applyNumberFormat="1" applyBorder="1" applyAlignment="1" applyProtection="1">
      <alignment horizontal="left"/>
      <protection locked="0"/>
    </xf>
    <xf numFmtId="0" fontId="0" fillId="0" borderId="1" xfId="0" applyBorder="1" applyAlignment="1" applyProtection="1">
      <alignment horizontal="left"/>
      <protection locked="0"/>
    </xf>
    <xf numFmtId="0" fontId="12" fillId="0" borderId="1" xfId="0" applyFont="1" applyBorder="1" applyAlignment="1">
      <alignment horizontal="left"/>
    </xf>
    <xf numFmtId="0" fontId="12" fillId="0" borderId="1" xfId="0" applyFont="1" applyBorder="1" applyAlignment="1" applyProtection="1">
      <alignment horizontal="left"/>
    </xf>
    <xf numFmtId="169" fontId="0" fillId="0" borderId="1" xfId="0" applyNumberFormat="1" applyFill="1" applyBorder="1" applyAlignment="1" applyProtection="1">
      <alignment horizontal="left"/>
      <protection locked="0"/>
    </xf>
    <xf numFmtId="0" fontId="0" fillId="0" borderId="1" xfId="0" applyFill="1" applyBorder="1" applyAlignment="1" applyProtection="1">
      <alignment horizontal="left"/>
      <protection locked="0"/>
    </xf>
    <xf numFmtId="0" fontId="12" fillId="0" borderId="1" xfId="0" applyFont="1" applyFill="1" applyBorder="1" applyAlignment="1" applyProtection="1">
      <alignment horizontal="left"/>
      <protection locked="0"/>
    </xf>
    <xf numFmtId="0" fontId="2" fillId="0" borderId="0" xfId="0" applyFont="1"/>
    <xf numFmtId="0" fontId="2" fillId="0" borderId="5" xfId="0" applyFont="1" applyBorder="1" applyProtection="1">
      <protection locked="0"/>
    </xf>
    <xf numFmtId="0" fontId="2" fillId="0" borderId="5" xfId="0" applyFont="1" applyBorder="1" applyAlignment="1" applyProtection="1">
      <alignment horizontal="left"/>
      <protection locked="0"/>
    </xf>
    <xf numFmtId="1" fontId="2" fillId="0" borderId="5" xfId="0" applyNumberFormat="1" applyFont="1" applyBorder="1" applyAlignment="1" applyProtection="1">
      <alignment horizontal="left"/>
      <protection locked="0"/>
    </xf>
    <xf numFmtId="0" fontId="0" fillId="0" borderId="13" xfId="0" applyBorder="1"/>
    <xf numFmtId="0" fontId="0" fillId="0" borderId="0" xfId="0" applyAlignment="1">
      <alignment horizontal="centerContinuous"/>
    </xf>
    <xf numFmtId="0" fontId="9" fillId="5" borderId="1" xfId="0" applyFont="1" applyFill="1" applyBorder="1" applyProtection="1"/>
    <xf numFmtId="0" fontId="3" fillId="0" borderId="0" xfId="0" applyFont="1" applyFill="1"/>
    <xf numFmtId="0" fontId="6" fillId="0" borderId="0" xfId="0" applyFont="1" applyFill="1" applyAlignment="1">
      <alignment wrapText="1"/>
    </xf>
    <xf numFmtId="0" fontId="2" fillId="0" borderId="1" xfId="0" applyFont="1" applyFill="1" applyBorder="1" applyProtection="1">
      <protection locked="0"/>
    </xf>
    <xf numFmtId="164" fontId="9" fillId="0" borderId="1" xfId="0" applyNumberFormat="1" applyFont="1" applyFill="1" applyBorder="1" applyProtection="1">
      <protection locked="0"/>
    </xf>
    <xf numFmtId="166" fontId="9" fillId="4" borderId="14" xfId="2" applyNumberFormat="1" applyFont="1" applyFill="1" applyBorder="1" applyProtection="1"/>
    <xf numFmtId="0" fontId="0" fillId="4" borderId="1" xfId="0" applyFill="1" applyBorder="1" applyAlignment="1" applyProtection="1">
      <alignment horizontal="right"/>
    </xf>
    <xf numFmtId="170" fontId="0" fillId="0" borderId="0" xfId="0" applyNumberFormat="1"/>
    <xf numFmtId="168" fontId="17" fillId="0" borderId="1" xfId="2" applyNumberFormat="1" applyFont="1" applyFill="1" applyBorder="1"/>
    <xf numFmtId="0" fontId="32" fillId="6" borderId="18" xfId="0" applyFont="1" applyFill="1" applyBorder="1" applyAlignment="1">
      <alignment horizontal="center" vertical="center" wrapText="1"/>
    </xf>
    <xf numFmtId="0" fontId="33" fillId="7" borderId="19" xfId="0" applyFont="1" applyFill="1" applyBorder="1" applyAlignment="1">
      <alignment wrapText="1"/>
    </xf>
    <xf numFmtId="0" fontId="33" fillId="8" borderId="19" xfId="0" applyFont="1" applyFill="1" applyBorder="1" applyAlignment="1">
      <alignment wrapText="1"/>
    </xf>
    <xf numFmtId="0" fontId="33" fillId="7" borderId="20" xfId="0" applyFont="1" applyFill="1" applyBorder="1" applyAlignment="1">
      <alignment wrapText="1"/>
    </xf>
    <xf numFmtId="0" fontId="33" fillId="8" borderId="20" xfId="0" applyFont="1" applyFill="1" applyBorder="1" applyAlignment="1">
      <alignment wrapText="1"/>
    </xf>
    <xf numFmtId="0" fontId="1" fillId="0" borderId="0" xfId="0" applyFont="1"/>
    <xf numFmtId="171" fontId="33" fillId="7" borderId="21" xfId="4" applyNumberFormat="1" applyFont="1" applyFill="1" applyBorder="1" applyAlignment="1">
      <alignment wrapText="1"/>
    </xf>
    <xf numFmtId="171" fontId="33" fillId="8" borderId="21" xfId="4" applyNumberFormat="1" applyFont="1" applyFill="1" applyBorder="1" applyAlignment="1">
      <alignment wrapText="1"/>
    </xf>
    <xf numFmtId="0" fontId="9" fillId="4" borderId="8" xfId="0" applyFont="1" applyFill="1" applyBorder="1" applyAlignment="1" applyProtection="1">
      <alignment horizontal="center" vertical="center"/>
    </xf>
    <xf numFmtId="167" fontId="9" fillId="4" borderId="2"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2" fillId="4" borderId="1" xfId="0" applyFont="1" applyFill="1" applyBorder="1" applyAlignment="1" applyProtection="1">
      <alignment horizontal="center"/>
    </xf>
    <xf numFmtId="0" fontId="9" fillId="3" borderId="4" xfId="0" applyFont="1" applyFill="1" applyBorder="1" applyProtection="1"/>
    <xf numFmtId="0" fontId="9" fillId="4" borderId="15" xfId="0" applyFont="1" applyFill="1" applyBorder="1" applyAlignment="1" applyProtection="1">
      <alignment horizontal="center" vertical="center"/>
    </xf>
    <xf numFmtId="167" fontId="9" fillId="4" borderId="16" xfId="0" applyNumberFormat="1" applyFont="1" applyFill="1" applyBorder="1" applyAlignment="1" applyProtection="1">
      <alignment horizontal="center" vertical="center"/>
    </xf>
    <xf numFmtId="0" fontId="9" fillId="4" borderId="16" xfId="0" applyFont="1" applyFill="1" applyBorder="1" applyAlignment="1" applyProtection="1">
      <alignment horizontal="center" vertical="center"/>
    </xf>
    <xf numFmtId="0" fontId="1" fillId="0" borderId="1" xfId="0" applyFont="1" applyBorder="1"/>
    <xf numFmtId="0" fontId="0" fillId="0" borderId="4" xfId="0" applyBorder="1"/>
    <xf numFmtId="0" fontId="0" fillId="0" borderId="14" xfId="0" applyBorder="1"/>
    <xf numFmtId="0" fontId="2" fillId="0" borderId="22" xfId="0" applyFont="1" applyBorder="1"/>
    <xf numFmtId="166" fontId="9" fillId="0" borderId="4" xfId="2" applyNumberFormat="1" applyFont="1" applyFill="1" applyBorder="1" applyProtection="1"/>
    <xf numFmtId="43" fontId="0" fillId="4" borderId="1" xfId="1" applyFont="1" applyFill="1" applyBorder="1" applyProtection="1">
      <protection locked="0"/>
    </xf>
    <xf numFmtId="0" fontId="11" fillId="0" borderId="4" xfId="0" applyNumberFormat="1" applyFont="1" applyFill="1" applyBorder="1" applyProtection="1"/>
    <xf numFmtId="0" fontId="11" fillId="0" borderId="14" xfId="0" applyNumberFormat="1" applyFont="1" applyFill="1" applyBorder="1" applyProtection="1"/>
    <xf numFmtId="166" fontId="9" fillId="0" borderId="14" xfId="2" applyNumberFormat="1" applyFont="1" applyFill="1" applyBorder="1" applyProtection="1"/>
    <xf numFmtId="0" fontId="0" fillId="0" borderId="4" xfId="0" applyBorder="1" applyProtection="1"/>
    <xf numFmtId="0" fontId="11" fillId="4" borderId="14" xfId="0" applyNumberFormat="1" applyFont="1" applyFill="1" applyBorder="1" applyAlignment="1" applyProtection="1">
      <alignment horizontal="center"/>
    </xf>
    <xf numFmtId="0" fontId="11" fillId="0" borderId="4" xfId="0" applyNumberFormat="1" applyFont="1" applyFill="1" applyBorder="1" applyAlignment="1" applyProtection="1">
      <alignment horizontal="center"/>
    </xf>
    <xf numFmtId="0" fontId="9" fillId="4" borderId="14" xfId="0" applyFont="1" applyFill="1" applyBorder="1" applyAlignment="1" applyProtection="1">
      <alignment horizontal="center"/>
    </xf>
    <xf numFmtId="164" fontId="9" fillId="4" borderId="14" xfId="0" applyNumberFormat="1" applyFont="1" applyFill="1" applyBorder="1" applyProtection="1"/>
    <xf numFmtId="164" fontId="9" fillId="0" borderId="4" xfId="0" applyNumberFormat="1" applyFont="1" applyFill="1" applyBorder="1" applyProtection="1">
      <protection locked="0"/>
    </xf>
    <xf numFmtId="0" fontId="9" fillId="4" borderId="23" xfId="0" applyFont="1" applyFill="1" applyBorder="1" applyAlignment="1" applyProtection="1">
      <alignment horizontal="center"/>
    </xf>
    <xf numFmtId="164" fontId="9" fillId="4" borderId="23" xfId="0" applyNumberFormat="1" applyFont="1" applyFill="1" applyBorder="1" applyProtection="1"/>
    <xf numFmtId="0" fontId="13" fillId="0" borderId="4" xfId="0" applyFont="1" applyFill="1" applyBorder="1" applyProtection="1"/>
    <xf numFmtId="164" fontId="11" fillId="0" borderId="4" xfId="0" applyNumberFormat="1" applyFont="1" applyFill="1" applyBorder="1" applyAlignment="1" applyProtection="1">
      <alignment horizontal="right"/>
    </xf>
    <xf numFmtId="170" fontId="9" fillId="4" borderId="14" xfId="1" applyNumberFormat="1" applyFont="1" applyFill="1" applyBorder="1" applyProtection="1"/>
    <xf numFmtId="0" fontId="11" fillId="10" borderId="14" xfId="0" applyNumberFormat="1" applyFont="1" applyFill="1" applyBorder="1" applyAlignment="1" applyProtection="1">
      <alignment horizontal="center"/>
    </xf>
    <xf numFmtId="166" fontId="9" fillId="10" borderId="14" xfId="2" applyNumberFormat="1" applyFont="1" applyFill="1" applyBorder="1" applyProtection="1"/>
    <xf numFmtId="168" fontId="31" fillId="0" borderId="0" xfId="0" applyNumberFormat="1" applyFont="1"/>
    <xf numFmtId="165" fontId="9" fillId="3" borderId="1" xfId="0" applyNumberFormat="1" applyFont="1" applyFill="1" applyBorder="1" applyProtection="1"/>
    <xf numFmtId="0" fontId="34" fillId="12" borderId="14" xfId="0" applyNumberFormat="1" applyFont="1" applyFill="1" applyBorder="1" applyAlignment="1" applyProtection="1">
      <alignment horizontal="center" vertical="center" wrapText="1"/>
    </xf>
    <xf numFmtId="166" fontId="2" fillId="12" borderId="14" xfId="2" applyNumberFormat="1" applyFont="1" applyFill="1" applyBorder="1" applyProtection="1"/>
    <xf numFmtId="172" fontId="0" fillId="4" borderId="1" xfId="1" applyNumberFormat="1" applyFont="1" applyFill="1" applyBorder="1" applyProtection="1">
      <protection locked="0"/>
    </xf>
    <xf numFmtId="0" fontId="11" fillId="4" borderId="14" xfId="0" applyNumberFormat="1" applyFont="1" applyFill="1" applyBorder="1" applyAlignment="1" applyProtection="1">
      <alignment horizontal="left"/>
    </xf>
    <xf numFmtId="167" fontId="2" fillId="11" borderId="1" xfId="0" applyNumberFormat="1" applyFont="1" applyFill="1" applyBorder="1" applyAlignment="1" applyProtection="1">
      <alignment horizontal="center"/>
      <protection locked="0"/>
    </xf>
    <xf numFmtId="0" fontId="2" fillId="11" borderId="1" xfId="0" applyFont="1" applyFill="1" applyBorder="1" applyAlignment="1" applyProtection="1">
      <alignment horizontal="center" vertical="center" wrapText="1"/>
    </xf>
    <xf numFmtId="0" fontId="6" fillId="11" borderId="1" xfId="0" applyFont="1" applyFill="1" applyBorder="1" applyAlignment="1" applyProtection="1">
      <alignment horizontal="center" wrapText="1"/>
    </xf>
    <xf numFmtId="0" fontId="2" fillId="9" borderId="1" xfId="0" applyFont="1" applyFill="1" applyBorder="1" applyProtection="1"/>
    <xf numFmtId="0" fontId="9" fillId="11" borderId="17" xfId="0" applyFont="1" applyFill="1" applyBorder="1" applyAlignment="1" applyProtection="1">
      <alignment horizontal="center" vertical="center"/>
    </xf>
    <xf numFmtId="0" fontId="35" fillId="5" borderId="1" xfId="0" applyFont="1" applyFill="1" applyBorder="1"/>
    <xf numFmtId="0" fontId="0" fillId="5" borderId="1" xfId="0" applyFill="1" applyBorder="1"/>
    <xf numFmtId="0" fontId="0" fillId="11" borderId="1" xfId="0" applyFill="1" applyBorder="1"/>
    <xf numFmtId="0" fontId="2" fillId="11" borderId="3" xfId="0" applyFont="1" applyFill="1" applyBorder="1" applyAlignment="1" applyProtection="1">
      <alignment horizontal="center" wrapText="1"/>
    </xf>
    <xf numFmtId="0" fontId="6" fillId="0" borderId="1" xfId="0" applyFont="1" applyFill="1" applyBorder="1" applyAlignment="1">
      <alignment horizontal="center" wrapText="1"/>
    </xf>
    <xf numFmtId="0" fontId="33" fillId="0" borderId="19" xfId="0" applyFont="1" applyFill="1" applyBorder="1" applyAlignment="1">
      <alignment wrapText="1"/>
    </xf>
    <xf numFmtId="43" fontId="0" fillId="0" borderId="0" xfId="0" applyNumberFormat="1" applyFill="1"/>
    <xf numFmtId="172" fontId="2" fillId="0" borderId="1" xfId="1" applyNumberFormat="1" applyFont="1" applyBorder="1" applyAlignment="1" applyProtection="1"/>
    <xf numFmtId="43" fontId="2" fillId="0" borderId="1" xfId="1" applyNumberFormat="1" applyFont="1" applyBorder="1" applyAlignment="1" applyProtection="1"/>
    <xf numFmtId="173" fontId="2" fillId="0" borderId="1" xfId="1" applyNumberFormat="1" applyFont="1" applyBorder="1" applyAlignment="1" applyProtection="1"/>
    <xf numFmtId="0" fontId="31" fillId="0" borderId="0" xfId="0" applyFont="1" applyProtection="1">
      <protection locked="0"/>
    </xf>
    <xf numFmtId="2" fontId="0" fillId="0" borderId="0" xfId="0" applyNumberFormat="1" applyProtection="1"/>
    <xf numFmtId="2" fontId="39" fillId="0" borderId="0" xfId="0" applyNumberFormat="1" applyFont="1" applyAlignment="1" applyProtection="1">
      <alignment horizontal="left"/>
    </xf>
    <xf numFmtId="2" fontId="41" fillId="0" borderId="7" xfId="0" applyNumberFormat="1" applyFont="1" applyBorder="1" applyAlignment="1" applyProtection="1">
      <alignment horizontal="left"/>
    </xf>
    <xf numFmtId="2" fontId="40" fillId="0" borderId="0" xfId="0" applyNumberFormat="1" applyFont="1" applyAlignment="1" applyProtection="1">
      <alignment horizontal="left"/>
    </xf>
    <xf numFmtId="2" fontId="0" fillId="0" borderId="0" xfId="0" applyNumberFormat="1" applyAlignment="1" applyProtection="1">
      <alignment horizontal="left"/>
    </xf>
    <xf numFmtId="2" fontId="42" fillId="0" borderId="0" xfId="0" applyNumberFormat="1" applyFont="1" applyProtection="1"/>
    <xf numFmtId="2" fontId="0" fillId="0" borderId="1" xfId="0" applyNumberFormat="1" applyBorder="1" applyAlignment="1" applyProtection="1">
      <alignment horizontal="center"/>
    </xf>
    <xf numFmtId="2" fontId="1" fillId="0" borderId="1" xfId="0" applyNumberFormat="1" applyFont="1" applyBorder="1" applyAlignment="1" applyProtection="1">
      <alignment horizontal="center" wrapText="1"/>
    </xf>
    <xf numFmtId="2" fontId="0" fillId="0" borderId="1" xfId="0" applyNumberFormat="1" applyBorder="1" applyProtection="1"/>
    <xf numFmtId="1" fontId="0" fillId="0" borderId="1" xfId="0" applyNumberFormat="1" applyBorder="1" applyProtection="1"/>
    <xf numFmtId="2" fontId="37" fillId="14" borderId="1" xfId="0" applyNumberFormat="1" applyFont="1" applyFill="1" applyBorder="1" applyAlignment="1" applyProtection="1">
      <alignment horizontal="center"/>
    </xf>
    <xf numFmtId="0" fontId="0" fillId="0" borderId="11" xfId="0" applyBorder="1"/>
    <xf numFmtId="0" fontId="0" fillId="0" borderId="0" xfId="0" applyBorder="1"/>
    <xf numFmtId="2" fontId="37" fillId="0" borderId="0" xfId="0" applyNumberFormat="1" applyFont="1" applyFill="1" applyBorder="1" applyAlignment="1" applyProtection="1">
      <alignment horizontal="center"/>
    </xf>
    <xf numFmtId="0" fontId="37" fillId="0" borderId="0" xfId="0" applyFont="1"/>
    <xf numFmtId="1" fontId="40" fillId="9" borderId="24" xfId="0" applyNumberFormat="1" applyFont="1" applyFill="1" applyBorder="1" applyAlignment="1" applyProtection="1">
      <alignment horizontal="left"/>
    </xf>
    <xf numFmtId="0" fontId="6" fillId="5" borderId="1" xfId="0" applyFont="1" applyFill="1" applyBorder="1" applyAlignment="1">
      <alignment wrapText="1"/>
    </xf>
    <xf numFmtId="172" fontId="0" fillId="0" borderId="0" xfId="0" applyNumberFormat="1" applyFill="1"/>
    <xf numFmtId="0" fontId="0" fillId="9" borderId="1" xfId="0" applyFill="1" applyBorder="1" applyProtection="1"/>
    <xf numFmtId="0" fontId="5" fillId="9" borderId="1" xfId="0" applyFont="1" applyFill="1" applyBorder="1" applyProtection="1"/>
    <xf numFmtId="0" fontId="2" fillId="5" borderId="1" xfId="0" applyFont="1" applyFill="1" applyBorder="1" applyProtection="1"/>
    <xf numFmtId="0" fontId="0" fillId="5" borderId="1" xfId="0" applyFill="1" applyBorder="1" applyProtection="1"/>
    <xf numFmtId="166" fontId="0" fillId="0" borderId="1" xfId="2" applyNumberFormat="1" applyFont="1" applyBorder="1" applyProtection="1">
      <protection locked="0"/>
    </xf>
    <xf numFmtId="166" fontId="0" fillId="0" borderId="14" xfId="2" applyNumberFormat="1" applyFont="1" applyBorder="1" applyProtection="1">
      <protection locked="0"/>
    </xf>
    <xf numFmtId="171" fontId="0" fillId="0" borderId="14" xfId="4" applyNumberFormat="1" applyFont="1" applyBorder="1" applyProtection="1">
      <protection locked="0"/>
    </xf>
    <xf numFmtId="166" fontId="2" fillId="0" borderId="22" xfId="2" applyNumberFormat="1" applyFont="1" applyBorder="1" applyProtection="1">
      <protection locked="0"/>
    </xf>
    <xf numFmtId="0" fontId="38" fillId="0" borderId="1" xfId="0" quotePrefix="1" applyNumberFormat="1" applyFont="1" applyFill="1" applyBorder="1" applyAlignment="1">
      <alignment horizontal="center" vertical="center" wrapText="1"/>
    </xf>
    <xf numFmtId="0" fontId="38" fillId="0" borderId="1" xfId="0" applyNumberFormat="1" applyFont="1" applyFill="1" applyBorder="1" applyAlignment="1">
      <alignment horizontal="center" vertical="center" wrapText="1"/>
    </xf>
    <xf numFmtId="43" fontId="46" fillId="0" borderId="1" xfId="1" applyNumberFormat="1" applyFont="1" applyFill="1" applyBorder="1" applyAlignment="1">
      <alignment horizontal="center" wrapText="1"/>
    </xf>
    <xf numFmtId="172" fontId="46" fillId="0" borderId="1" xfId="1" applyNumberFormat="1" applyFont="1" applyFill="1" applyBorder="1" applyAlignment="1">
      <alignment horizontal="center" wrapText="1"/>
    </xf>
    <xf numFmtId="167" fontId="38" fillId="13" borderId="1" xfId="0" quotePrefix="1" applyNumberFormat="1" applyFont="1" applyFill="1" applyBorder="1"/>
    <xf numFmtId="0" fontId="38" fillId="13" borderId="1" xfId="0" applyNumberFormat="1" applyFont="1" applyFill="1" applyBorder="1" applyAlignment="1">
      <alignment horizontal="center" vertical="center" wrapText="1"/>
    </xf>
    <xf numFmtId="43" fontId="31" fillId="13" borderId="1" xfId="0" applyNumberFormat="1" applyFont="1" applyFill="1" applyBorder="1"/>
    <xf numFmtId="172" fontId="31" fillId="13" borderId="1" xfId="0" applyNumberFormat="1" applyFont="1" applyFill="1" applyBorder="1"/>
    <xf numFmtId="0" fontId="31" fillId="0" borderId="1" xfId="0" applyFont="1" applyFill="1" applyBorder="1"/>
    <xf numFmtId="43" fontId="31" fillId="0" borderId="1" xfId="0" applyNumberFormat="1" applyFont="1" applyFill="1" applyBorder="1"/>
    <xf numFmtId="172" fontId="31" fillId="0" borderId="1" xfId="0" applyNumberFormat="1" applyFont="1" applyFill="1" applyBorder="1"/>
    <xf numFmtId="167" fontId="46" fillId="0" borderId="1" xfId="0" quotePrefix="1" applyNumberFormat="1" applyFont="1" applyBorder="1"/>
    <xf numFmtId="0" fontId="46" fillId="0" borderId="1" xfId="0" quotePrefix="1" applyNumberFormat="1" applyFont="1" applyBorder="1" applyAlignment="1">
      <alignment wrapText="1"/>
    </xf>
    <xf numFmtId="0" fontId="46" fillId="0" borderId="1" xfId="0" quotePrefix="1" applyNumberFormat="1" applyFont="1" applyFill="1" applyBorder="1" applyAlignment="1">
      <alignment wrapText="1"/>
    </xf>
    <xf numFmtId="167" fontId="46" fillId="0" borderId="1" xfId="0" quotePrefix="1" applyNumberFormat="1" applyFont="1" applyFill="1" applyBorder="1"/>
    <xf numFmtId="0" fontId="31" fillId="0" borderId="1" xfId="0" applyFont="1" applyBorder="1"/>
    <xf numFmtId="0" fontId="46" fillId="0" borderId="1" xfId="0" applyNumberFormat="1" applyFont="1" applyFill="1" applyBorder="1" applyAlignment="1">
      <alignment wrapText="1"/>
    </xf>
    <xf numFmtId="0" fontId="31" fillId="0" borderId="1" xfId="0" applyNumberFormat="1" applyFont="1" applyFill="1" applyBorder="1" applyAlignment="1">
      <alignment vertical="top"/>
    </xf>
    <xf numFmtId="0" fontId="31" fillId="0" borderId="1" xfId="0" applyFont="1" applyFill="1" applyBorder="1" applyAlignment="1">
      <alignment vertical="top"/>
    </xf>
    <xf numFmtId="167" fontId="38" fillId="0" borderId="1" xfId="0" quotePrefix="1" applyNumberFormat="1" applyFont="1" applyFill="1" applyBorder="1"/>
    <xf numFmtId="0" fontId="38" fillId="0" borderId="1" xfId="0" quotePrefix="1" applyNumberFormat="1" applyFont="1" applyFill="1" applyBorder="1" applyAlignment="1">
      <alignment wrapText="1"/>
    </xf>
    <xf numFmtId="0" fontId="36" fillId="0" borderId="1" xfId="0" applyFont="1" applyFill="1" applyBorder="1"/>
    <xf numFmtId="0" fontId="36" fillId="0" borderId="1" xfId="0" applyNumberFormat="1" applyFont="1" applyFill="1" applyBorder="1" applyAlignment="1">
      <alignment vertical="top"/>
    </xf>
    <xf numFmtId="0" fontId="36" fillId="0" borderId="1" xfId="0" applyFont="1" applyFill="1" applyBorder="1" applyAlignment="1">
      <alignment vertical="top"/>
    </xf>
    <xf numFmtId="0" fontId="38" fillId="0" borderId="1" xfId="0" applyFont="1" applyFill="1" applyBorder="1" applyAlignment="1">
      <alignment wrapText="1"/>
    </xf>
    <xf numFmtId="3" fontId="47" fillId="0" borderId="0" xfId="0" applyNumberFormat="1" applyFont="1" applyFill="1"/>
    <xf numFmtId="1" fontId="0" fillId="0" borderId="1" xfId="0" applyNumberFormat="1" applyBorder="1" applyProtection="1">
      <protection locked="0"/>
    </xf>
    <xf numFmtId="0" fontId="0" fillId="0" borderId="0" xfId="0" applyProtection="1">
      <protection locked="0"/>
    </xf>
    <xf numFmtId="0" fontId="23" fillId="0" borderId="13" xfId="0" applyFont="1" applyBorder="1" applyAlignment="1" applyProtection="1">
      <alignment horizontal="center"/>
      <protection locked="0"/>
    </xf>
    <xf numFmtId="0" fontId="23" fillId="0" borderId="0" xfId="0" applyFont="1" applyProtection="1"/>
    <xf numFmtId="0" fontId="23" fillId="0" borderId="0" xfId="0" applyFont="1" applyAlignment="1" applyProtection="1"/>
    <xf numFmtId="0" fontId="23" fillId="0" borderId="0" xfId="0" applyFont="1" applyAlignment="1" applyProtection="1">
      <alignment horizontal="left"/>
    </xf>
    <xf numFmtId="0" fontId="23" fillId="0" borderId="0" xfId="0" applyFont="1" applyBorder="1" applyAlignment="1" applyProtection="1"/>
    <xf numFmtId="0" fontId="23" fillId="0" borderId="0" xfId="0" applyFont="1" applyBorder="1" applyAlignment="1" applyProtection="1">
      <alignment horizontal="left"/>
    </xf>
    <xf numFmtId="0" fontId="23" fillId="0" borderId="0" xfId="0" applyFont="1" applyAlignment="1" applyProtection="1">
      <alignment horizontal="centerContinuous"/>
    </xf>
    <xf numFmtId="0" fontId="0" fillId="0" borderId="13" xfId="0" applyBorder="1" applyProtection="1"/>
    <xf numFmtId="0" fontId="1" fillId="0" borderId="0" xfId="0" applyFont="1" applyProtection="1"/>
    <xf numFmtId="0" fontId="0" fillId="0" borderId="0" xfId="0" applyProtection="1"/>
    <xf numFmtId="0" fontId="0" fillId="0" borderId="0" xfId="0" applyBorder="1" applyProtection="1"/>
    <xf numFmtId="0" fontId="0" fillId="2" borderId="6" xfId="0" applyFill="1" applyBorder="1" applyProtection="1"/>
    <xf numFmtId="0" fontId="2" fillId="2" borderId="7" xfId="0" applyFont="1" applyFill="1" applyBorder="1" applyProtection="1"/>
    <xf numFmtId="0" fontId="0" fillId="2" borderId="7" xfId="0" applyFill="1" applyBorder="1" applyProtection="1"/>
    <xf numFmtId="0" fontId="0" fillId="2" borderId="8" xfId="0" applyFill="1" applyBorder="1" applyProtection="1"/>
    <xf numFmtId="0" fontId="0" fillId="2" borderId="9" xfId="0" applyFill="1" applyBorder="1" applyProtection="1"/>
    <xf numFmtId="0" fontId="2" fillId="2" borderId="0" xfId="0" applyFont="1" applyFill="1" applyBorder="1" applyProtection="1"/>
    <xf numFmtId="0" fontId="0" fillId="2" borderId="0" xfId="0" applyFill="1" applyBorder="1" applyProtection="1"/>
    <xf numFmtId="0" fontId="0" fillId="2" borderId="2" xfId="0" applyFill="1" applyBorder="1" applyProtection="1"/>
    <xf numFmtId="0" fontId="0" fillId="2" borderId="10" xfId="0" applyFill="1" applyBorder="1" applyProtection="1"/>
    <xf numFmtId="0" fontId="2" fillId="2" borderId="11" xfId="0" applyFont="1" applyFill="1" applyBorder="1" applyProtection="1"/>
    <xf numFmtId="0" fontId="0" fillId="2" borderId="11" xfId="0" applyFill="1" applyBorder="1" applyProtection="1"/>
    <xf numFmtId="0" fontId="0" fillId="2" borderId="12" xfId="0" applyFill="1" applyBorder="1" applyProtection="1"/>
    <xf numFmtId="0" fontId="0" fillId="0" borderId="1" xfId="0" applyBorder="1" applyProtection="1"/>
    <xf numFmtId="0" fontId="0" fillId="0" borderId="1" xfId="0" applyBorder="1" applyAlignment="1" applyProtection="1">
      <alignment wrapText="1"/>
    </xf>
    <xf numFmtId="0" fontId="0" fillId="0" borderId="1" xfId="0" applyBorder="1" applyAlignment="1" applyProtection="1">
      <alignment horizontal="center" wrapText="1"/>
    </xf>
    <xf numFmtId="0" fontId="2" fillId="0" borderId="1" xfId="0" applyFont="1" applyBorder="1" applyAlignment="1" applyProtection="1">
      <alignment horizontal="center"/>
    </xf>
    <xf numFmtId="0" fontId="24" fillId="0" borderId="1" xfId="0" quotePrefix="1" applyFont="1" applyBorder="1" applyAlignment="1" applyProtection="1">
      <alignment horizontal="center"/>
    </xf>
    <xf numFmtId="0" fontId="0" fillId="0" borderId="0" xfId="0" applyFill="1" applyProtection="1">
      <protection locked="0"/>
    </xf>
    <xf numFmtId="0" fontId="2" fillId="0" borderId="0" xfId="0" applyFont="1" applyProtection="1">
      <protection locked="0"/>
    </xf>
    <xf numFmtId="3" fontId="47" fillId="0" borderId="1" xfId="0" applyNumberFormat="1" applyFont="1" applyFill="1" applyBorder="1"/>
    <xf numFmtId="0" fontId="48" fillId="0" borderId="1" xfId="0" applyFont="1" applyFill="1" applyBorder="1"/>
    <xf numFmtId="0" fontId="50" fillId="0" borderId="0" xfId="0" applyFont="1" applyFill="1"/>
    <xf numFmtId="0" fontId="46" fillId="0" borderId="0" xfId="0" applyFont="1" applyFill="1"/>
    <xf numFmtId="164" fontId="9" fillId="5" borderId="4" xfId="0" applyNumberFormat="1" applyFont="1" applyFill="1" applyBorder="1" applyProtection="1">
      <protection locked="0"/>
    </xf>
    <xf numFmtId="164" fontId="17" fillId="0" borderId="1" xfId="1" applyNumberFormat="1" applyFont="1" applyFill="1" applyBorder="1"/>
    <xf numFmtId="174" fontId="37" fillId="9" borderId="1" xfId="0" applyNumberFormat="1" applyFont="1" applyFill="1" applyBorder="1" applyProtection="1"/>
    <xf numFmtId="0" fontId="3" fillId="0" borderId="0" xfId="0" applyFont="1" applyFill="1" applyAlignment="1">
      <alignment wrapText="1"/>
    </xf>
    <xf numFmtId="0" fontId="51" fillId="0" borderId="1" xfId="0" applyFont="1" applyFill="1" applyBorder="1"/>
    <xf numFmtId="43" fontId="51" fillId="0" borderId="1" xfId="0" applyNumberFormat="1" applyFont="1" applyFill="1" applyBorder="1"/>
    <xf numFmtId="172" fontId="51" fillId="0" borderId="1" xfId="0" applyNumberFormat="1" applyFont="1" applyFill="1" applyBorder="1"/>
    <xf numFmtId="0" fontId="2" fillId="11" borderId="0" xfId="0" applyFont="1" applyFill="1" applyAlignment="1">
      <alignment wrapText="1"/>
    </xf>
    <xf numFmtId="0" fontId="2" fillId="11" borderId="11" xfId="0" applyFont="1" applyFill="1" applyBorder="1" applyAlignment="1">
      <alignment wrapText="1"/>
    </xf>
    <xf numFmtId="2" fontId="39" fillId="0" borderId="0" xfId="0" applyNumberFormat="1" applyFont="1" applyAlignment="1" applyProtection="1">
      <alignment horizontal="left"/>
    </xf>
    <xf numFmtId="2" fontId="40" fillId="9" borderId="11" xfId="0" applyNumberFormat="1" applyFont="1" applyFill="1" applyBorder="1" applyAlignment="1" applyProtection="1">
      <alignment horizontal="left"/>
    </xf>
    <xf numFmtId="2" fontId="37" fillId="0" borderId="25" xfId="0" applyNumberFormat="1" applyFont="1" applyBorder="1" applyAlignment="1" applyProtection="1">
      <alignment horizontal="center"/>
    </xf>
    <xf numFmtId="2" fontId="37" fillId="0" borderId="13" xfId="0" applyNumberFormat="1" applyFont="1" applyBorder="1" applyAlignment="1" applyProtection="1">
      <alignment horizontal="center"/>
    </xf>
    <xf numFmtId="0" fontId="49" fillId="0" borderId="0" xfId="0" applyFont="1" applyAlignment="1" applyProtection="1">
      <alignment horizontal="center"/>
      <protection locked="0"/>
    </xf>
  </cellXfs>
  <cellStyles count="5">
    <cellStyle name="Comma" xfId="1" builtinId="3"/>
    <cellStyle name="Currency" xfId="2" builtinId="4"/>
    <cellStyle name="Normal" xfId="0" builtinId="0"/>
    <cellStyle name="Normal 2" xfId="3"/>
    <cellStyle name="Percent" xfId="4" builtinId="5"/>
  </cellStyles>
  <dxfs count="2">
    <dxf>
      <fill>
        <patternFill>
          <bgColor rgb="FFFFC7CE"/>
        </patternFill>
      </fill>
    </dxf>
    <dxf>
      <font>
        <b/>
        <i val="0"/>
        <condense val="0"/>
        <extend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13"/>
  </sheetPr>
  <dimension ref="A1:C43"/>
  <sheetViews>
    <sheetView tabSelected="1" zoomScale="125" zoomScaleNormal="86" workbookViewId="0">
      <pane xSplit="1" ySplit="4" topLeftCell="B5" activePane="bottomRight" state="frozen"/>
      <selection pane="topRight"/>
      <selection pane="bottomLeft"/>
      <selection pane="bottomRight"/>
    </sheetView>
  </sheetViews>
  <sheetFormatPr defaultColWidth="8.85546875" defaultRowHeight="12.75" x14ac:dyDescent="0.2"/>
  <cols>
    <col min="1" max="1" width="55.7109375" customWidth="1"/>
    <col min="2" max="2" width="15.85546875" bestFit="1" customWidth="1"/>
    <col min="3" max="3" width="38.28515625" customWidth="1"/>
  </cols>
  <sheetData>
    <row r="1" spans="1:3" x14ac:dyDescent="0.2">
      <c r="A1" s="124">
        <v>0</v>
      </c>
      <c r="B1" s="132"/>
      <c r="C1" s="131"/>
    </row>
    <row r="2" spans="1:3" x14ac:dyDescent="0.2">
      <c r="A2" s="91" t="str">
        <f>VLOOKUP(A1,'Charter Data'!$A:$B,2,FALSE)</f>
        <v>NEW TEXAS CHARTER SCHOOL</v>
      </c>
      <c r="B2" s="34"/>
      <c r="C2" s="130"/>
    </row>
    <row r="3" spans="1:3" x14ac:dyDescent="0.2">
      <c r="A3" s="91" t="s">
        <v>399</v>
      </c>
      <c r="B3" s="34"/>
      <c r="C3" s="130"/>
    </row>
    <row r="4" spans="1:3" x14ac:dyDescent="0.2">
      <c r="A4" s="125"/>
      <c r="B4" s="126" t="s">
        <v>228</v>
      </c>
      <c r="C4" s="131"/>
    </row>
    <row r="5" spans="1:3" x14ac:dyDescent="0.2">
      <c r="A5" s="57" t="s">
        <v>229</v>
      </c>
      <c r="B5" s="54">
        <v>0</v>
      </c>
      <c r="C5" s="133" t="str">
        <f>IF(B5&gt;VLOOKUP(A1,'Charter Data'!A:C,3,FALSE),"Total Number of Students Enrolled Exceeds Maximum Approved Enrollment","")</f>
        <v/>
      </c>
    </row>
    <row r="6" spans="1:3" ht="37.5" customHeight="1" x14ac:dyDescent="0.2">
      <c r="A6" s="25" t="s">
        <v>36</v>
      </c>
      <c r="B6" s="74">
        <v>0</v>
      </c>
      <c r="C6" s="129"/>
    </row>
    <row r="7" spans="1:3" x14ac:dyDescent="0.2">
      <c r="A7" s="25" t="s">
        <v>150</v>
      </c>
      <c r="B7" s="52">
        <v>1</v>
      </c>
      <c r="C7" s="129"/>
    </row>
    <row r="8" spans="1:3" x14ac:dyDescent="0.2">
      <c r="A8" s="30" t="s">
        <v>126</v>
      </c>
      <c r="B8" s="31"/>
      <c r="C8" s="31" t="s">
        <v>312</v>
      </c>
    </row>
    <row r="9" spans="1:3" x14ac:dyDescent="0.2">
      <c r="A9" s="27" t="s">
        <v>172</v>
      </c>
      <c r="B9" s="53">
        <v>0</v>
      </c>
      <c r="C9" s="53">
        <v>0</v>
      </c>
    </row>
    <row r="10" spans="1:3" x14ac:dyDescent="0.2">
      <c r="A10" s="27" t="s">
        <v>173</v>
      </c>
      <c r="B10" s="53">
        <v>0</v>
      </c>
      <c r="C10" s="53">
        <v>0</v>
      </c>
    </row>
    <row r="11" spans="1:3" x14ac:dyDescent="0.2">
      <c r="A11" s="27" t="s">
        <v>176</v>
      </c>
      <c r="B11" s="53">
        <v>0</v>
      </c>
      <c r="C11" s="53">
        <v>0</v>
      </c>
    </row>
    <row r="12" spans="1:3" x14ac:dyDescent="0.2">
      <c r="A12" s="27" t="s">
        <v>177</v>
      </c>
      <c r="B12" s="53">
        <v>0</v>
      </c>
      <c r="C12" s="53">
        <v>0</v>
      </c>
    </row>
    <row r="13" spans="1:3" ht="12.75" customHeight="1" x14ac:dyDescent="0.2">
      <c r="A13" s="28" t="s">
        <v>137</v>
      </c>
      <c r="B13" s="53">
        <v>0</v>
      </c>
      <c r="C13" s="53">
        <v>0</v>
      </c>
    </row>
    <row r="14" spans="1:3" x14ac:dyDescent="0.2">
      <c r="A14" s="27" t="s">
        <v>138</v>
      </c>
      <c r="B14" s="53">
        <v>0</v>
      </c>
      <c r="C14" s="53">
        <v>0</v>
      </c>
    </row>
    <row r="15" spans="1:3" x14ac:dyDescent="0.2">
      <c r="A15" s="27" t="s">
        <v>139</v>
      </c>
      <c r="B15" s="53">
        <v>0</v>
      </c>
      <c r="C15" s="53">
        <v>0</v>
      </c>
    </row>
    <row r="16" spans="1:3" x14ac:dyDescent="0.2">
      <c r="A16" s="27" t="s">
        <v>178</v>
      </c>
      <c r="B16" s="53">
        <v>0</v>
      </c>
      <c r="C16" s="53">
        <v>0</v>
      </c>
    </row>
    <row r="17" spans="1:3" x14ac:dyDescent="0.2">
      <c r="A17" s="27" t="s">
        <v>179</v>
      </c>
      <c r="B17" s="53">
        <v>0</v>
      </c>
      <c r="C17" s="53">
        <v>0</v>
      </c>
    </row>
    <row r="18" spans="1:3" x14ac:dyDescent="0.2">
      <c r="A18" s="27" t="s">
        <v>180</v>
      </c>
      <c r="B18" s="53">
        <v>0</v>
      </c>
      <c r="C18" s="53">
        <v>0</v>
      </c>
    </row>
    <row r="19" spans="1:3" x14ac:dyDescent="0.2">
      <c r="A19" s="27" t="s">
        <v>181</v>
      </c>
      <c r="B19" s="53">
        <v>0</v>
      </c>
      <c r="C19" s="53">
        <v>0</v>
      </c>
    </row>
    <row r="20" spans="1:3" x14ac:dyDescent="0.2">
      <c r="A20" s="30" t="s">
        <v>127</v>
      </c>
      <c r="B20" s="32"/>
      <c r="C20" s="31" t="s">
        <v>313</v>
      </c>
    </row>
    <row r="21" spans="1:3" x14ac:dyDescent="0.2">
      <c r="A21" s="27" t="s">
        <v>131</v>
      </c>
      <c r="B21" s="53">
        <v>0</v>
      </c>
      <c r="C21" s="53">
        <v>0</v>
      </c>
    </row>
    <row r="22" spans="1:3" x14ac:dyDescent="0.2">
      <c r="A22" s="27" t="s">
        <v>132</v>
      </c>
      <c r="B22" s="53">
        <v>0</v>
      </c>
      <c r="C22" s="53">
        <v>0</v>
      </c>
    </row>
    <row r="23" spans="1:3" x14ac:dyDescent="0.2">
      <c r="A23" s="27" t="s">
        <v>133</v>
      </c>
      <c r="B23" s="53">
        <v>0</v>
      </c>
      <c r="C23" s="53">
        <v>0</v>
      </c>
    </row>
    <row r="24" spans="1:3" x14ac:dyDescent="0.2">
      <c r="A24" s="27" t="s">
        <v>134</v>
      </c>
      <c r="B24" s="53">
        <v>0</v>
      </c>
      <c r="C24" s="53">
        <v>0</v>
      </c>
    </row>
    <row r="25" spans="1:3" x14ac:dyDescent="0.2">
      <c r="A25" s="27" t="s">
        <v>135</v>
      </c>
      <c r="B25" s="53">
        <v>0</v>
      </c>
      <c r="C25" s="53">
        <v>0</v>
      </c>
    </row>
    <row r="26" spans="1:3" x14ac:dyDescent="0.2">
      <c r="A26" s="27" t="s">
        <v>136</v>
      </c>
      <c r="B26" s="53">
        <v>0</v>
      </c>
      <c r="C26" s="53">
        <v>0</v>
      </c>
    </row>
    <row r="27" spans="1:3" x14ac:dyDescent="0.2">
      <c r="A27" s="26" t="s">
        <v>183</v>
      </c>
      <c r="B27" s="53">
        <v>0</v>
      </c>
      <c r="C27" s="160"/>
    </row>
    <row r="28" spans="1:3" x14ac:dyDescent="0.2">
      <c r="A28" s="26" t="s">
        <v>209</v>
      </c>
      <c r="B28" s="53">
        <v>0</v>
      </c>
      <c r="C28" s="160"/>
    </row>
    <row r="29" spans="1:3" x14ac:dyDescent="0.2">
      <c r="A29" s="26" t="s">
        <v>210</v>
      </c>
      <c r="B29" s="53">
        <v>0</v>
      </c>
      <c r="C29" s="160"/>
    </row>
    <row r="30" spans="1:3" x14ac:dyDescent="0.2">
      <c r="A30" s="127" t="s">
        <v>128</v>
      </c>
      <c r="B30" s="158" t="str">
        <f>IF(B9+B10+B12+B13+B14+B15+B16+B17+B18+B19&gt;B5, "Sped Total Error","")</f>
        <v/>
      </c>
      <c r="C30" s="161"/>
    </row>
    <row r="31" spans="1:3" x14ac:dyDescent="0.2">
      <c r="A31" s="127" t="s">
        <v>129</v>
      </c>
      <c r="B31" s="159" t="str">
        <f>IF(SUM(B21:B26)&gt;B5, "CATE Total Error","")</f>
        <v/>
      </c>
      <c r="C31" s="161"/>
    </row>
    <row r="32" spans="1:3" ht="33.75" x14ac:dyDescent="0.2">
      <c r="A32" s="57" t="s">
        <v>341</v>
      </c>
      <c r="B32" s="101">
        <v>0</v>
      </c>
      <c r="C32" s="156" t="s">
        <v>404</v>
      </c>
    </row>
    <row r="33" spans="1:3" ht="33.75" x14ac:dyDescent="0.2">
      <c r="A33" s="57" t="s">
        <v>130</v>
      </c>
      <c r="B33" s="101">
        <v>0</v>
      </c>
      <c r="C33" s="156" t="s">
        <v>409</v>
      </c>
    </row>
    <row r="34" spans="1:3" ht="33.75" x14ac:dyDescent="0.2">
      <c r="A34" s="24" t="s">
        <v>263</v>
      </c>
      <c r="B34" s="101">
        <v>0</v>
      </c>
      <c r="C34" s="156" t="s">
        <v>404</v>
      </c>
    </row>
    <row r="35" spans="1:3" ht="25.5" x14ac:dyDescent="0.2">
      <c r="A35" s="24" t="s">
        <v>149</v>
      </c>
      <c r="B35" s="77" t="str">
        <f>VLOOKUP(A1,'Charter Data'!$A:$E,5,FALSE)</f>
        <v>NO</v>
      </c>
      <c r="C35" s="130"/>
    </row>
    <row r="36" spans="1:3" ht="35.25" x14ac:dyDescent="0.2">
      <c r="A36" s="24" t="s">
        <v>407</v>
      </c>
      <c r="B36" s="101">
        <v>0</v>
      </c>
      <c r="C36" s="156" t="s">
        <v>405</v>
      </c>
    </row>
    <row r="37" spans="1:3" ht="35.25" x14ac:dyDescent="0.2">
      <c r="A37" s="24" t="s">
        <v>408</v>
      </c>
      <c r="B37" s="101">
        <v>0</v>
      </c>
      <c r="C37" s="156" t="s">
        <v>405</v>
      </c>
    </row>
    <row r="38" spans="1:3" ht="33.75" x14ac:dyDescent="0.2">
      <c r="A38" s="24" t="s">
        <v>260</v>
      </c>
      <c r="B38" s="122">
        <v>0</v>
      </c>
      <c r="C38" s="156" t="s">
        <v>406</v>
      </c>
    </row>
    <row r="39" spans="1:3" ht="33.75" x14ac:dyDescent="0.2">
      <c r="A39" s="24" t="s">
        <v>259</v>
      </c>
      <c r="B39" s="101">
        <v>0</v>
      </c>
      <c r="C39" s="156" t="s">
        <v>406</v>
      </c>
    </row>
    <row r="40" spans="1:3" ht="33.75" x14ac:dyDescent="0.2">
      <c r="A40" s="24" t="s">
        <v>258</v>
      </c>
      <c r="B40" s="101">
        <v>0</v>
      </c>
      <c r="C40" s="156" t="s">
        <v>406</v>
      </c>
    </row>
    <row r="41" spans="1:3" ht="13.5" thickBot="1" x14ac:dyDescent="0.25">
      <c r="A41" s="120" t="s">
        <v>257</v>
      </c>
      <c r="B41" s="121">
        <f>SUM(B38:B40)</f>
        <v>0</v>
      </c>
      <c r="C41" s="130"/>
    </row>
    <row r="42" spans="1:3" ht="13.5" thickTop="1" x14ac:dyDescent="0.2"/>
    <row r="43" spans="1:3" ht="62.25" customHeight="1" x14ac:dyDescent="0.2"/>
  </sheetData>
  <sheetProtection password="EE5D" sheet="1" objects="1" scenarios="1"/>
  <phoneticPr fontId="3" type="noConversion"/>
  <conditionalFormatting sqref="B9:C19 B21:C29 B6">
    <cfRule type="cellIs" dxfId="1" priority="11" stopIfTrue="1" operator="greaterThan">
      <formula>$B$5</formula>
    </cfRule>
  </conditionalFormatting>
  <conditionalFormatting sqref="C5">
    <cfRule type="containsText" dxfId="0" priority="1" operator="containsText" text="Total Number of Students Enrolled Exceeds Maximum Approved Enrollment">
      <formula>NOT(ISERROR(SEARCH("Total Number of Students Enrolled Exceeds Maximum Approved Enrollment",C5)))</formula>
    </cfRule>
  </conditionalFormatting>
  <dataValidations count="2">
    <dataValidation type="custom" allowBlank="1" showInputMessage="1" showErrorMessage="1" errorTitle="Value Error" error="The number of students enrolled in this program cannot be greater than Total Number of Students Enrolled." sqref="B6">
      <formula1>AND(B6&lt;=B$5)</formula1>
    </dataValidation>
    <dataValidation type="custom" allowBlank="1" showInputMessage="1" showErrorMessage="1" errorTitle="Value Error" error="The number of students enrolled in this program cannot be greater than Total Number of Students Enrolled.  Additionally the data entered here must be students enrolled, not ADA or FTE's._x000a_" sqref="B9:C19 B21:C29">
      <formula1>AND(B9&lt;=B$5,MOD(B9,0.5)=0)</formula1>
    </dataValidation>
  </dataValidations>
  <printOptions verticalCentered="1" headings="1"/>
  <pageMargins left="0.33" right="0.33" top="0.5" bottom="0.5" header="0.5" footer="0.5"/>
  <pageSetup scale="85" fitToWidth="5" orientation="portrait" cellComments="asDisplayed" r:id="rId1"/>
  <headerFooter alignWithMargins="0">
    <oddFooter>&amp;C&amp;A - page &amp;P of &amp;N
Printed on &amp;D</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53"/>
    <pageSetUpPr fitToPage="1"/>
  </sheetPr>
  <dimension ref="A1:F90"/>
  <sheetViews>
    <sheetView workbookViewId="0">
      <selection activeCell="A2" sqref="A2"/>
    </sheetView>
  </sheetViews>
  <sheetFormatPr defaultColWidth="8.85546875" defaultRowHeight="12.75" x14ac:dyDescent="0.2"/>
  <cols>
    <col min="1" max="1" width="77.28515625" customWidth="1"/>
    <col min="2" max="2" width="18.5703125" customWidth="1"/>
    <col min="3" max="3" width="18.140625" customWidth="1"/>
    <col min="4" max="4" width="72.7109375" customWidth="1"/>
    <col min="5" max="5" width="39.7109375" customWidth="1"/>
  </cols>
  <sheetData>
    <row r="1" spans="1:4" ht="15.75" x14ac:dyDescent="0.2">
      <c r="A1" s="93" t="str">
        <f>VLOOKUP(A2,'Charter Data'!1:1048576,2,FALSE)</f>
        <v>NEW TEXAS CHARTER SCHOOL</v>
      </c>
      <c r="B1" s="88"/>
      <c r="C1" s="118"/>
      <c r="D1" s="235" t="s">
        <v>356</v>
      </c>
    </row>
    <row r="2" spans="1:4" ht="15.75" x14ac:dyDescent="0.2">
      <c r="A2" s="94">
        <f>'Enrollment Data'!A1</f>
        <v>0</v>
      </c>
      <c r="B2" s="89"/>
      <c r="D2" s="235"/>
    </row>
    <row r="3" spans="1:4" ht="15.75" x14ac:dyDescent="0.2">
      <c r="A3" s="95" t="str">
        <f>'Enrollment Data'!A3</f>
        <v>2014-2015 Estimate of State Aid Entitlement Template</v>
      </c>
      <c r="B3" s="16"/>
      <c r="C3" s="78"/>
      <c r="D3" s="235"/>
    </row>
    <row r="4" spans="1:4" ht="16.5" thickBot="1" x14ac:dyDescent="0.25">
      <c r="A4" s="128" t="s">
        <v>418</v>
      </c>
      <c r="B4" s="16" t="s">
        <v>119</v>
      </c>
      <c r="D4" s="235"/>
    </row>
    <row r="5" spans="1:4" ht="15.75" x14ac:dyDescent="0.25">
      <c r="A5" s="92" t="s">
        <v>184</v>
      </c>
      <c r="B5" s="75">
        <f>'Enrollment Data'!$B$5*'Enrollment Data'!$B$7</f>
        <v>0</v>
      </c>
      <c r="C5" s="19"/>
      <c r="D5" s="235"/>
    </row>
    <row r="6" spans="1:4" ht="15.75" x14ac:dyDescent="0.25">
      <c r="A6" s="6" t="s">
        <v>3</v>
      </c>
      <c r="B6" s="75">
        <f>'Enrollment Data'!$B$34</f>
        <v>0</v>
      </c>
      <c r="C6" s="19"/>
      <c r="D6" s="235"/>
    </row>
    <row r="7" spans="1:4" ht="16.5" thickBot="1" x14ac:dyDescent="0.3">
      <c r="A7" s="6" t="s">
        <v>415</v>
      </c>
      <c r="B7" s="75">
        <f>'Enrollment Data'!B32</f>
        <v>0</v>
      </c>
      <c r="C7" s="19"/>
      <c r="D7" s="236"/>
    </row>
    <row r="8" spans="1:4" ht="15.75" x14ac:dyDescent="0.25">
      <c r="A8" s="38" t="s">
        <v>333</v>
      </c>
      <c r="B8" s="39"/>
      <c r="C8" s="39" t="s">
        <v>312</v>
      </c>
      <c r="D8" s="15"/>
    </row>
    <row r="9" spans="1:4" ht="15.75" x14ac:dyDescent="0.25">
      <c r="A9" s="7" t="s">
        <v>140</v>
      </c>
      <c r="B9" s="75">
        <f>'Enrollment Data'!$B$9*'Enrollment Data'!$B$7*1/6</f>
        <v>0</v>
      </c>
      <c r="C9" s="75">
        <f>IF($C$1="load",VLOOKUP($A$2,#REF!,34,FALSE),('Enrollment Data'!$C$9*'Enrollment Data'!$B$7*1/6)/6)</f>
        <v>0</v>
      </c>
      <c r="D9" s="15"/>
    </row>
    <row r="10" spans="1:4" ht="15.75" x14ac:dyDescent="0.25">
      <c r="A10" s="7" t="s">
        <v>141</v>
      </c>
      <c r="B10" s="75">
        <f>'Enrollment Data'!$B$10*'Enrollment Data'!$B$7*4.5/6</f>
        <v>0</v>
      </c>
      <c r="C10" s="75">
        <f>IF($C$1="load",VLOOKUP($A$2,#REF!,35,FALSE),('Enrollment Data'!$C$10*'Enrollment Data'!$B$7*4.5/6)/6)</f>
        <v>0</v>
      </c>
    </row>
    <row r="11" spans="1:4" ht="15.75" x14ac:dyDescent="0.25">
      <c r="A11" s="7" t="s">
        <v>142</v>
      </c>
      <c r="B11" s="75">
        <f>'Enrollment Data'!$B$11*'Enrollment Data'!$B$7*0.25/6</f>
        <v>0</v>
      </c>
      <c r="C11" s="75">
        <f>IF($C$1="load",VLOOKUP($A$2,#REF!,36,FALSE),('Enrollment Data'!$C$11*'Enrollment Data'!$B$7*0.25/6)/6)</f>
        <v>0</v>
      </c>
      <c r="D11" s="15"/>
    </row>
    <row r="12" spans="1:4" ht="15.75" x14ac:dyDescent="0.25">
      <c r="A12" s="7" t="s">
        <v>143</v>
      </c>
      <c r="B12" s="75">
        <f>'Enrollment Data'!$B$12*'Enrollment Data'!$B$7*2.859/6</f>
        <v>0</v>
      </c>
      <c r="C12" s="75">
        <f>IF($C$1="load",VLOOKUP($A$2,#REF!,37,FALSE),('Enrollment Data'!$C$12*'Enrollment Data'!$B$7*2.859/6)/6)</f>
        <v>0</v>
      </c>
      <c r="D12" s="15"/>
    </row>
    <row r="13" spans="1:4" ht="15.75" x14ac:dyDescent="0.25">
      <c r="A13" s="7" t="s">
        <v>144</v>
      </c>
      <c r="B13" s="75">
        <f>'Enrollment Data'!$B$13*'Enrollment Data'!$B$7*2.859/6</f>
        <v>0</v>
      </c>
      <c r="C13" s="75">
        <f>IF($C$1="load",VLOOKUP($A$2,#REF!,38,FALSE),('Enrollment Data'!$C$13*'Enrollment Data'!$B$7*2.859/6)/6)</f>
        <v>0</v>
      </c>
      <c r="D13" s="15"/>
    </row>
    <row r="14" spans="1:4" ht="15.75" x14ac:dyDescent="0.25">
      <c r="A14" s="7" t="s">
        <v>154</v>
      </c>
      <c r="B14" s="75">
        <f>'Enrollment Data'!$B$14*'Enrollment Data'!$B$7*2.859/6</f>
        <v>0</v>
      </c>
      <c r="C14" s="75">
        <f>IF($C$1="load",VLOOKUP($A$2,#REF!,39,FALSE),('Enrollment Data'!$C$14*'Enrollment Data'!$B$7*2.859/6)/6)</f>
        <v>0</v>
      </c>
      <c r="D14" s="15"/>
    </row>
    <row r="15" spans="1:4" ht="15.75" x14ac:dyDescent="0.25">
      <c r="A15" s="7" t="s">
        <v>145</v>
      </c>
      <c r="B15" s="75">
        <f>'Enrollment Data'!$B$15*'Enrollment Data'!$B$7*4.25/6</f>
        <v>0</v>
      </c>
      <c r="C15" s="75">
        <f>IF($C$1="load",VLOOKUP($A$2,#REF!,40,FALSE),('Enrollment Data'!$C$15*'Enrollment Data'!$B$7*4.25/6)/6)</f>
        <v>0</v>
      </c>
      <c r="D15" s="15"/>
    </row>
    <row r="16" spans="1:4" ht="15.75" x14ac:dyDescent="0.25">
      <c r="A16" s="7" t="s">
        <v>146</v>
      </c>
      <c r="B16" s="75">
        <f>'Enrollment Data'!$B$16*'Enrollment Data'!$B$7*5.5/6</f>
        <v>0</v>
      </c>
      <c r="C16" s="75">
        <f>IF($C$1="load",VLOOKUP($A$2,#REF!,44,FALSE),('Enrollment Data'!$C$16*'Enrollment Data'!$B$7*5.5/6)/6)</f>
        <v>0</v>
      </c>
      <c r="D16" s="15"/>
    </row>
    <row r="17" spans="1:4" ht="15.75" x14ac:dyDescent="0.25">
      <c r="A17" s="7" t="s">
        <v>147</v>
      </c>
      <c r="B17" s="75">
        <f>'Enrollment Data'!$B$17*'Enrollment Data'!$B$7*5.5/6</f>
        <v>0</v>
      </c>
      <c r="C17" s="75">
        <f>IF($C$1="load",VLOOKUP($A$2,#REF!,42,FALSE),('Enrollment Data'!$C$17*'Enrollment Data'!$B$7*5.5/6)/6)</f>
        <v>0</v>
      </c>
      <c r="D17" s="15"/>
    </row>
    <row r="18" spans="1:4" ht="15.75" x14ac:dyDescent="0.25">
      <c r="A18" s="7" t="s">
        <v>148</v>
      </c>
      <c r="B18" s="75">
        <f>'Enrollment Data'!$B$18*'Enrollment Data'!$B$7*5.5/6</f>
        <v>0</v>
      </c>
      <c r="C18" s="75">
        <f>IF($C$1="load",VLOOKUP($A$2,#REF!,47,FALSE),('Enrollment Data'!$C$18*'Enrollment Data'!$B$7*5.5/6)/6)</f>
        <v>0</v>
      </c>
      <c r="D18" s="15"/>
    </row>
    <row r="19" spans="1:4" ht="16.5" thickBot="1" x14ac:dyDescent="0.3">
      <c r="A19" s="108" t="s">
        <v>330</v>
      </c>
      <c r="B19" s="109">
        <f>SUM(B9:B18)</f>
        <v>0</v>
      </c>
      <c r="C19" s="109">
        <f>SUM(C9:C18)</f>
        <v>0</v>
      </c>
      <c r="D19" s="15"/>
    </row>
    <row r="20" spans="1:4" ht="17.25" thickTop="1" thickBot="1" x14ac:dyDescent="0.3">
      <c r="A20" s="111" t="s">
        <v>331</v>
      </c>
      <c r="B20" s="112">
        <f>(B9*5)+(B10*3)+(B11*5)+(B12*3)+(B13*3)+(B14*3)+(B15*2.7)+(B16*2.3)+(B17*2.8)+(B18*4)</f>
        <v>0</v>
      </c>
      <c r="C20" s="112">
        <f>(C9*5)+(C10*3)+(C11*5)+(C12*3)+(C13*3)+(C14*3)+(C15*2.7)+(C16*2.3)+(C17*2.8)+(C18*4)</f>
        <v>0</v>
      </c>
    </row>
    <row r="21" spans="1:4" ht="16.5" thickTop="1" x14ac:dyDescent="0.25">
      <c r="A21" s="6" t="s">
        <v>187</v>
      </c>
      <c r="B21" s="110">
        <f>'Enrollment Data'!$B$19*'Enrollment Data'!$B$7</f>
        <v>0</v>
      </c>
    </row>
    <row r="22" spans="1:4" ht="15.75" x14ac:dyDescent="0.25">
      <c r="A22" s="92" t="s">
        <v>185</v>
      </c>
      <c r="B22" s="110">
        <f>('Enrollment Data'!$B$21*'Enrollment Data'!$B$7*0.17)+('Enrollment Data'!$B$22*'Enrollment Data'!$B$7*0.33)+('Enrollment Data'!$B$23*'Enrollment Data'!$B$7*0.5)+('Enrollment Data'!$B$24*'Enrollment Data'!$B$7*0.67)+('Enrollment Data'!$B$25*'Enrollment Data'!$B$7*0.83)+('Enrollment Data'!$B$26*'Enrollment Data'!$B$7*1)</f>
        <v>0</v>
      </c>
    </row>
    <row r="23" spans="1:4" ht="15.75" x14ac:dyDescent="0.25">
      <c r="A23" s="8" t="s">
        <v>106</v>
      </c>
      <c r="B23" s="75">
        <f>('Enrollment Data'!$C$21*'Enrollment Data'!$B$7*0.17)+('Enrollment Data'!$C$22*'Enrollment Data'!$B$7*0.33)+('Enrollment Data'!$C$23*'Enrollment Data'!$B$7*0.5)+('Enrollment Data'!$C$24*'Enrollment Data'!$B$7*0.67)+('Enrollment Data'!$C$25*'Enrollment Data'!$B$7*0.83)+('Enrollment Data'!$C$26*'Enrollment Data'!$B$7*1)</f>
        <v>0</v>
      </c>
    </row>
    <row r="24" spans="1:4" ht="15.75" x14ac:dyDescent="0.25">
      <c r="A24" s="71" t="s">
        <v>186</v>
      </c>
      <c r="B24" s="228">
        <f>B5-B19-B22</f>
        <v>0</v>
      </c>
    </row>
    <row r="25" spans="1:4" ht="15.75" x14ac:dyDescent="0.25">
      <c r="A25" s="6" t="s">
        <v>183</v>
      </c>
      <c r="B25" s="110">
        <f>IF('Enrollment Data'!$B$27&lt;B5*0.05,'Enrollment Data'!$B$27,B5*0.05)</f>
        <v>0</v>
      </c>
    </row>
    <row r="26" spans="1:4" ht="15.75" x14ac:dyDescent="0.25">
      <c r="A26" s="8" t="s">
        <v>188</v>
      </c>
      <c r="B26" s="110">
        <f>'Enrollment Data'!B33</f>
        <v>0</v>
      </c>
    </row>
    <row r="27" spans="1:4" ht="15.75" x14ac:dyDescent="0.25">
      <c r="A27" s="6" t="s">
        <v>189</v>
      </c>
      <c r="B27" s="110">
        <f>'Enrollment Data'!$B$28*'Enrollment Data'!$B$7*0.2936</f>
        <v>0</v>
      </c>
    </row>
    <row r="28" spans="1:4" ht="15.75" x14ac:dyDescent="0.25">
      <c r="A28" s="6" t="s">
        <v>190</v>
      </c>
      <c r="B28" s="110">
        <f>'Enrollment Data'!$B$29*'Enrollment Data'!$B$7</f>
        <v>0</v>
      </c>
    </row>
    <row r="29" spans="1:4" ht="15.75" x14ac:dyDescent="0.25">
      <c r="A29" s="6" t="s">
        <v>163</v>
      </c>
      <c r="B29" s="119">
        <f>1-((B36-B35)/2)/B36</f>
        <v>0.97320766859898333</v>
      </c>
    </row>
    <row r="30" spans="1:4" ht="16.5" thickBot="1" x14ac:dyDescent="0.3">
      <c r="A30" s="108" t="s">
        <v>332</v>
      </c>
      <c r="B30" s="115">
        <f>ROUND(((B42+B43+B44+B45+B46+B47+B49+B50+B51+B52+B53)*B29)/B35,3)</f>
        <v>0</v>
      </c>
    </row>
    <row r="31" spans="1:4" ht="16.5" thickTop="1" x14ac:dyDescent="0.25">
      <c r="A31" s="113" t="s">
        <v>114</v>
      </c>
      <c r="B31" s="114" t="str">
        <f>'Enrollment Data'!B35</f>
        <v>NO</v>
      </c>
    </row>
    <row r="32" spans="1:4" ht="15.75" x14ac:dyDescent="0.25">
      <c r="A32" s="8" t="s">
        <v>221</v>
      </c>
      <c r="B32" s="75">
        <f>'Enrollment Data'!B36</f>
        <v>0</v>
      </c>
    </row>
    <row r="33" spans="1:4" ht="15.75" x14ac:dyDescent="0.25">
      <c r="A33" s="8" t="s">
        <v>222</v>
      </c>
      <c r="B33" s="75">
        <f>'Enrollment Data'!B37</f>
        <v>0</v>
      </c>
    </row>
    <row r="34" spans="1:4" ht="15.75" x14ac:dyDescent="0.25">
      <c r="A34" s="38" t="s">
        <v>398</v>
      </c>
      <c r="B34" s="40"/>
    </row>
    <row r="35" spans="1:4" ht="15.75" x14ac:dyDescent="0.25">
      <c r="A35" s="9" t="s">
        <v>63</v>
      </c>
      <c r="B35" s="136">
        <v>4892.9294367000002</v>
      </c>
      <c r="C35" s="85"/>
    </row>
    <row r="36" spans="1:4" ht="15.75" x14ac:dyDescent="0.25">
      <c r="A36" s="9" t="s">
        <v>162</v>
      </c>
      <c r="B36" s="136">
        <v>5169.96</v>
      </c>
    </row>
    <row r="37" spans="1:4" ht="15.75" x14ac:dyDescent="0.25">
      <c r="A37" s="9" t="s">
        <v>214</v>
      </c>
      <c r="B37" s="136">
        <v>6265</v>
      </c>
    </row>
    <row r="38" spans="1:4" ht="15.75" x14ac:dyDescent="0.25">
      <c r="A38" s="8" t="s">
        <v>416</v>
      </c>
      <c r="B38" s="138">
        <v>5.3538000000000002E-2</v>
      </c>
      <c r="D38" s="18"/>
    </row>
    <row r="39" spans="1:4" ht="15.75" x14ac:dyDescent="0.25">
      <c r="A39" s="8" t="s">
        <v>417</v>
      </c>
      <c r="B39" s="138">
        <v>5.0174000000000003E-2</v>
      </c>
      <c r="D39" s="18"/>
    </row>
    <row r="40" spans="1:4" ht="15.75" x14ac:dyDescent="0.25">
      <c r="A40" s="8" t="s">
        <v>340</v>
      </c>
      <c r="B40" s="137">
        <v>260.238</v>
      </c>
      <c r="D40" s="18"/>
    </row>
    <row r="41" spans="1:4" ht="15.75" x14ac:dyDescent="0.25">
      <c r="A41" s="38" t="s">
        <v>334</v>
      </c>
      <c r="B41" s="29"/>
      <c r="C41" s="17"/>
      <c r="D41" s="20"/>
    </row>
    <row r="42" spans="1:4" ht="15.75" x14ac:dyDescent="0.25">
      <c r="A42" s="10" t="s">
        <v>156</v>
      </c>
      <c r="B42" s="13">
        <f>B24*B37</f>
        <v>0</v>
      </c>
      <c r="C42" s="17"/>
      <c r="D42" s="18"/>
    </row>
    <row r="43" spans="1:4" ht="15.75" x14ac:dyDescent="0.25">
      <c r="A43" s="10" t="s">
        <v>264</v>
      </c>
      <c r="B43" s="13">
        <f>(B20-(B17*2.8+B18*4))*B37</f>
        <v>0</v>
      </c>
      <c r="C43" s="17"/>
    </row>
    <row r="44" spans="1:4" ht="15.75" x14ac:dyDescent="0.25">
      <c r="A44" s="10" t="s">
        <v>266</v>
      </c>
      <c r="B44" s="13">
        <f>B21*1.1*B37</f>
        <v>0</v>
      </c>
      <c r="C44" s="17"/>
    </row>
    <row r="45" spans="1:4" ht="15.75" x14ac:dyDescent="0.25">
      <c r="A45" s="10" t="s">
        <v>325</v>
      </c>
      <c r="B45" s="13">
        <f>B18*4*B37</f>
        <v>0</v>
      </c>
      <c r="C45" s="17"/>
    </row>
    <row r="46" spans="1:4" ht="15.75" x14ac:dyDescent="0.25">
      <c r="A46" s="10" t="s">
        <v>326</v>
      </c>
      <c r="B46" s="13">
        <f>B17*2.8*B37</f>
        <v>0</v>
      </c>
      <c r="C46" s="17"/>
    </row>
    <row r="47" spans="1:4" ht="15.75" x14ac:dyDescent="0.25">
      <c r="A47" s="10" t="s">
        <v>315</v>
      </c>
      <c r="B47" s="13">
        <f>C20*B37*0.75</f>
        <v>0</v>
      </c>
      <c r="C47" s="17"/>
    </row>
    <row r="48" spans="1:4" ht="16.5" thickBot="1" x14ac:dyDescent="0.3">
      <c r="A48" s="116" t="s">
        <v>329</v>
      </c>
      <c r="B48" s="117">
        <f>SUM(B43:B47)</f>
        <v>0</v>
      </c>
      <c r="C48" s="17"/>
    </row>
    <row r="49" spans="1:6" ht="16.5" thickTop="1" x14ac:dyDescent="0.25">
      <c r="A49" s="102" t="s">
        <v>267</v>
      </c>
      <c r="B49" s="100">
        <f>B22*1.35*B37+B23*50</f>
        <v>0</v>
      </c>
      <c r="D49" s="18"/>
      <c r="E49" s="42"/>
    </row>
    <row r="50" spans="1:6" ht="15.75" x14ac:dyDescent="0.25">
      <c r="A50" s="10" t="s">
        <v>314</v>
      </c>
      <c r="B50" s="13">
        <f>B25*0.12*B37</f>
        <v>0</v>
      </c>
      <c r="D50" s="18"/>
      <c r="E50" s="42"/>
    </row>
    <row r="51" spans="1:6" ht="15.75" x14ac:dyDescent="0.25">
      <c r="A51" s="10" t="s">
        <v>265</v>
      </c>
      <c r="B51" s="13">
        <f>B26*0.2*B37</f>
        <v>0</v>
      </c>
      <c r="C51" s="17"/>
      <c r="D51" s="18"/>
    </row>
    <row r="52" spans="1:6" ht="15.75" x14ac:dyDescent="0.25">
      <c r="A52" s="10" t="s">
        <v>268</v>
      </c>
      <c r="B52" s="13">
        <f>B27*2.41*B37</f>
        <v>0</v>
      </c>
      <c r="C52" s="21"/>
      <c r="D52" s="18"/>
      <c r="E52" s="2"/>
      <c r="F52" s="3"/>
    </row>
    <row r="53" spans="1:6" ht="15.75" x14ac:dyDescent="0.25">
      <c r="A53" s="10" t="s">
        <v>269</v>
      </c>
      <c r="B53" s="13">
        <f>B28*0.1*B37</f>
        <v>0</v>
      </c>
      <c r="C53" s="21"/>
      <c r="D53" s="18"/>
      <c r="E53" s="4"/>
      <c r="F53" s="5"/>
    </row>
    <row r="54" spans="1:6" ht="15.75" x14ac:dyDescent="0.25">
      <c r="A54" s="36" t="s">
        <v>335</v>
      </c>
      <c r="B54" s="37"/>
      <c r="C54" s="21"/>
      <c r="D54" s="18"/>
      <c r="E54" s="4"/>
      <c r="F54" s="5"/>
    </row>
    <row r="55" spans="1:6" ht="15.75" x14ac:dyDescent="0.25">
      <c r="A55" s="12" t="s">
        <v>211</v>
      </c>
      <c r="B55" s="41">
        <f>('Enrollment Data'!$B$38)</f>
        <v>0</v>
      </c>
      <c r="C55" s="21"/>
      <c r="D55" s="18"/>
      <c r="E55" s="4"/>
      <c r="F55" s="5"/>
    </row>
    <row r="56" spans="1:6" ht="15.75" x14ac:dyDescent="0.25">
      <c r="A56" s="12" t="s">
        <v>212</v>
      </c>
      <c r="B56" s="41">
        <f>('Enrollment Data'!$B$39)</f>
        <v>0</v>
      </c>
      <c r="D56" s="18"/>
      <c r="E56" s="4"/>
      <c r="F56" s="5"/>
    </row>
    <row r="57" spans="1:6" ht="15.75" x14ac:dyDescent="0.25">
      <c r="A57" s="12" t="s">
        <v>213</v>
      </c>
      <c r="B57" s="41">
        <f>('Enrollment Data'!$B$40)</f>
        <v>0</v>
      </c>
      <c r="C57" s="21"/>
      <c r="D57" s="18"/>
    </row>
    <row r="58" spans="1:6" ht="16.5" thickBot="1" x14ac:dyDescent="0.3">
      <c r="A58" s="116" t="s">
        <v>336</v>
      </c>
      <c r="B58" s="117">
        <f>SUM(B55:B57)</f>
        <v>0</v>
      </c>
      <c r="C58" s="21"/>
      <c r="D58" s="18"/>
    </row>
    <row r="59" spans="1:6" ht="16.5" thickTop="1" x14ac:dyDescent="0.25">
      <c r="A59" s="90" t="s">
        <v>105</v>
      </c>
      <c r="B59" s="100">
        <f>IF(B5&gt;B6,B6*275,B5*275)</f>
        <v>0</v>
      </c>
      <c r="C59" s="21"/>
      <c r="D59" s="18"/>
    </row>
    <row r="60" spans="1:6" ht="16.5" thickBot="1" x14ac:dyDescent="0.3">
      <c r="A60" s="103" t="s">
        <v>157</v>
      </c>
      <c r="B60" s="104">
        <f>SUM(B42:B53)+B58+B59-B48</f>
        <v>0</v>
      </c>
      <c r="C60" s="17"/>
      <c r="D60" s="18"/>
    </row>
    <row r="61" spans="1:6" ht="16.5" thickTop="1" x14ac:dyDescent="0.25">
      <c r="A61" s="102" t="s">
        <v>327</v>
      </c>
      <c r="B61" s="100">
        <f>ROUND((59.97*B30*B38*100),1)</f>
        <v>0</v>
      </c>
      <c r="C61" s="17"/>
      <c r="D61" s="18"/>
    </row>
    <row r="62" spans="1:6" ht="15.75" x14ac:dyDescent="0.25">
      <c r="A62" s="10" t="s">
        <v>328</v>
      </c>
      <c r="B62" s="13">
        <f>ROUND((31.95*B30*B39*100),1)</f>
        <v>0</v>
      </c>
      <c r="C62" s="17"/>
      <c r="D62" s="18"/>
    </row>
    <row r="63" spans="1:6" ht="16.5" thickBot="1" x14ac:dyDescent="0.3">
      <c r="A63" s="106" t="s">
        <v>337</v>
      </c>
      <c r="B63" s="76">
        <f>SUM(B61:B62)</f>
        <v>0</v>
      </c>
      <c r="C63" s="17"/>
      <c r="D63" s="18"/>
    </row>
    <row r="64" spans="1:6" ht="17.25" thickTop="1" thickBot="1" x14ac:dyDescent="0.3">
      <c r="A64" s="106" t="s">
        <v>30</v>
      </c>
      <c r="B64" s="76">
        <f>B60+B63</f>
        <v>0</v>
      </c>
      <c r="C64" s="17"/>
      <c r="D64" s="33"/>
    </row>
    <row r="65" spans="1:6" ht="13.5" thickTop="1" x14ac:dyDescent="0.2">
      <c r="A65" s="97"/>
      <c r="B65" s="105"/>
      <c r="C65" s="17"/>
      <c r="D65" s="33"/>
    </row>
    <row r="66" spans="1:6" ht="15.75" x14ac:dyDescent="0.25">
      <c r="A66" s="35" t="s">
        <v>29</v>
      </c>
      <c r="B66" s="29"/>
      <c r="C66" s="17"/>
      <c r="D66" s="18"/>
    </row>
    <row r="67" spans="1:6" ht="15.75" x14ac:dyDescent="0.25">
      <c r="A67" s="10" t="s">
        <v>403</v>
      </c>
      <c r="B67" s="13">
        <f>B5*67</f>
        <v>0</v>
      </c>
      <c r="C67" s="17"/>
      <c r="D67" s="18"/>
    </row>
    <row r="68" spans="1:6" ht="15.75" x14ac:dyDescent="0.25">
      <c r="A68" s="10" t="s">
        <v>262</v>
      </c>
      <c r="B68" s="13">
        <f>IF(B31="YES",B32*500+B33*250,0)</f>
        <v>0</v>
      </c>
      <c r="C68" s="17"/>
      <c r="D68" s="18"/>
    </row>
    <row r="69" spans="1:6" ht="15.75" x14ac:dyDescent="0.25">
      <c r="A69" s="11" t="s">
        <v>8</v>
      </c>
      <c r="B69" s="13">
        <f>B88</f>
        <v>0</v>
      </c>
      <c r="C69" s="17"/>
      <c r="D69" s="18"/>
      <c r="E69" s="4"/>
      <c r="F69" s="5"/>
    </row>
    <row r="70" spans="1:6" ht="16.5" thickBot="1" x14ac:dyDescent="0.3">
      <c r="A70" s="106" t="s">
        <v>31</v>
      </c>
      <c r="B70" s="76">
        <f>B67+B68+B69</f>
        <v>0</v>
      </c>
      <c r="C70" s="17"/>
      <c r="D70" s="18"/>
      <c r="E70" s="4"/>
      <c r="F70" s="5"/>
    </row>
    <row r="71" spans="1:6" ht="16.5" thickTop="1" x14ac:dyDescent="0.25">
      <c r="A71" s="107"/>
      <c r="B71" s="100"/>
      <c r="C71" s="22"/>
      <c r="D71" s="18"/>
      <c r="E71" s="4"/>
      <c r="F71" s="5"/>
    </row>
    <row r="72" spans="1:6" ht="16.5" thickBot="1" x14ac:dyDescent="0.3">
      <c r="A72" s="106" t="s">
        <v>355</v>
      </c>
      <c r="B72" s="76">
        <f>B64+B70</f>
        <v>0</v>
      </c>
      <c r="C72" s="23"/>
      <c r="D72" s="3"/>
      <c r="E72" s="4"/>
      <c r="F72" s="4"/>
    </row>
    <row r="73" spans="1:6" ht="17.25" thickTop="1" thickBot="1" x14ac:dyDescent="0.3">
      <c r="A73" s="123" t="s">
        <v>339</v>
      </c>
      <c r="B73" s="76">
        <f>B7*B40</f>
        <v>0</v>
      </c>
    </row>
    <row r="74" spans="1:6" ht="17.25" thickTop="1" thickBot="1" x14ac:dyDescent="0.3">
      <c r="A74" s="123" t="s">
        <v>338</v>
      </c>
      <c r="B74" s="76">
        <f>B72-B73</f>
        <v>0</v>
      </c>
    </row>
    <row r="75" spans="1:6" ht="15.75" thickTop="1" x14ac:dyDescent="0.25">
      <c r="A75" s="44" t="s">
        <v>342</v>
      </c>
      <c r="B75" s="79">
        <f>VLOOKUP(A2,'Charter Data'!A:F,6,FALSE)</f>
        <v>0</v>
      </c>
    </row>
    <row r="76" spans="1:6" s="1" customFormat="1" ht="15" x14ac:dyDescent="0.25">
      <c r="A76" s="44" t="s">
        <v>343</v>
      </c>
      <c r="B76" s="79">
        <f>4971*0.9263</f>
        <v>4604.6373000000003</v>
      </c>
      <c r="C76"/>
    </row>
    <row r="77" spans="1:6" ht="15" x14ac:dyDescent="0.25">
      <c r="A77" s="43" t="s">
        <v>366</v>
      </c>
      <c r="B77" s="229">
        <f>B30</f>
        <v>0</v>
      </c>
      <c r="E77" s="4"/>
      <c r="F77" s="4"/>
    </row>
    <row r="78" spans="1:6" ht="15" x14ac:dyDescent="0.25">
      <c r="A78" s="44" t="s">
        <v>367</v>
      </c>
      <c r="B78" s="46">
        <f>IF(B75&gt;B76,B75*B77,B76*B77)</f>
        <v>0</v>
      </c>
      <c r="E78" s="4"/>
      <c r="F78" s="4"/>
    </row>
    <row r="79" spans="1:6" ht="15" x14ac:dyDescent="0.25">
      <c r="A79" s="44" t="s">
        <v>368</v>
      </c>
      <c r="B79" s="46">
        <f>(B77*120)*0.9263</f>
        <v>0</v>
      </c>
      <c r="E79" s="4"/>
      <c r="F79" s="4"/>
    </row>
    <row r="80" spans="1:6" ht="15" x14ac:dyDescent="0.25">
      <c r="A80" s="44" t="s">
        <v>369</v>
      </c>
      <c r="B80" s="49">
        <f>B78+B79</f>
        <v>0</v>
      </c>
      <c r="E80" s="4"/>
      <c r="F80" s="4"/>
    </row>
    <row r="81" spans="1:2" ht="15" x14ac:dyDescent="0.25">
      <c r="A81" s="44" t="s">
        <v>364</v>
      </c>
      <c r="B81" s="46">
        <f>B55</f>
        <v>0</v>
      </c>
    </row>
    <row r="82" spans="1:2" ht="15" x14ac:dyDescent="0.25">
      <c r="A82" s="44" t="s">
        <v>316</v>
      </c>
      <c r="B82" s="46">
        <f>VLOOKUP(A2,'Charter Data'!A:G,7,FALSE)</f>
        <v>0</v>
      </c>
    </row>
    <row r="83" spans="1:2" ht="15" x14ac:dyDescent="0.25">
      <c r="A83" s="44" t="s">
        <v>365</v>
      </c>
      <c r="B83" s="46">
        <f>(B81-B82)</f>
        <v>0</v>
      </c>
    </row>
    <row r="84" spans="1:2" ht="15" x14ac:dyDescent="0.25">
      <c r="A84" s="56" t="s">
        <v>370</v>
      </c>
      <c r="B84" s="48">
        <v>0</v>
      </c>
    </row>
    <row r="85" spans="1:2" ht="15" x14ac:dyDescent="0.25">
      <c r="A85" s="45" t="s">
        <v>344</v>
      </c>
      <c r="B85" s="46">
        <f>VLOOKUP(A2,'Charter Data'!A:H,8,FALSE)</f>
        <v>0</v>
      </c>
    </row>
    <row r="86" spans="1:2" ht="15" x14ac:dyDescent="0.25">
      <c r="A86" s="45" t="s">
        <v>372</v>
      </c>
      <c r="B86" s="46">
        <f>B80+B83+B84+B85</f>
        <v>0</v>
      </c>
    </row>
    <row r="87" spans="1:2" ht="15" x14ac:dyDescent="0.25">
      <c r="A87" s="45" t="s">
        <v>371</v>
      </c>
      <c r="B87" s="50">
        <f>B60</f>
        <v>0</v>
      </c>
    </row>
    <row r="88" spans="1:2" ht="15" x14ac:dyDescent="0.25">
      <c r="A88" s="45" t="s">
        <v>373</v>
      </c>
      <c r="B88" s="51">
        <f>IF(B87&lt;B86,B86-B87,0)</f>
        <v>0</v>
      </c>
    </row>
    <row r="89" spans="1:2" ht="15" x14ac:dyDescent="0.25">
      <c r="A89" s="45" t="s">
        <v>374</v>
      </c>
      <c r="B89" s="49">
        <f>B87+B88</f>
        <v>0</v>
      </c>
    </row>
    <row r="90" spans="1:2" ht="15" x14ac:dyDescent="0.25">
      <c r="A90" s="45" t="s">
        <v>375</v>
      </c>
      <c r="B90" s="46" t="e">
        <f>B89/B77</f>
        <v>#DIV/0!</v>
      </c>
    </row>
  </sheetData>
  <sheetProtection password="EE5D" sheet="1" objects="1" scenarios="1"/>
  <mergeCells count="1">
    <mergeCell ref="D1:D7"/>
  </mergeCells>
  <phoneticPr fontId="3" type="noConversion"/>
  <pageMargins left="0.25" right="0.25" top="0.31" bottom="0.46" header="0.3" footer="0.3"/>
  <pageSetup scale="53"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43"/>
  <sheetViews>
    <sheetView workbookViewId="0">
      <selection activeCell="G12" sqref="G12"/>
    </sheetView>
  </sheetViews>
  <sheetFormatPr defaultRowHeight="12.75" x14ac:dyDescent="0.2"/>
  <cols>
    <col min="1" max="1" width="32.5703125" customWidth="1"/>
    <col min="3" max="3" width="15.42578125" customWidth="1"/>
    <col min="4" max="4" width="28.140625" customWidth="1"/>
  </cols>
  <sheetData>
    <row r="1" spans="1:4" ht="16.5" thickBot="1" x14ac:dyDescent="0.3">
      <c r="A1" s="237" t="s">
        <v>230</v>
      </c>
      <c r="B1" s="237"/>
      <c r="C1" s="238" t="str">
        <f>'Enrollment Data'!A2</f>
        <v>NEW TEXAS CHARTER SCHOOL</v>
      </c>
      <c r="D1" s="238"/>
    </row>
    <row r="2" spans="1:4" ht="16.5" thickBot="1" x14ac:dyDescent="0.3">
      <c r="A2" s="237" t="s">
        <v>383</v>
      </c>
      <c r="B2" s="237"/>
      <c r="C2" s="155">
        <f>'Enrollment Data'!A1</f>
        <v>0</v>
      </c>
      <c r="D2" s="140"/>
    </row>
    <row r="3" spans="1:4" ht="15.75" x14ac:dyDescent="0.25">
      <c r="A3" s="141" t="s">
        <v>397</v>
      </c>
      <c r="B3" s="141"/>
      <c r="C3" s="142"/>
      <c r="D3" s="140"/>
    </row>
    <row r="4" spans="1:4" ht="15.75" x14ac:dyDescent="0.25">
      <c r="A4" s="141" t="s">
        <v>384</v>
      </c>
      <c r="B4" s="143"/>
      <c r="C4" s="144"/>
      <c r="D4" s="140"/>
    </row>
    <row r="5" spans="1:4" ht="15.75" x14ac:dyDescent="0.25">
      <c r="A5" s="237" t="s">
        <v>385</v>
      </c>
      <c r="B5" s="237" t="s">
        <v>386</v>
      </c>
      <c r="C5" s="145" t="s">
        <v>386</v>
      </c>
      <c r="D5" s="140"/>
    </row>
    <row r="6" spans="1:4" ht="51" x14ac:dyDescent="0.2">
      <c r="A6" s="146" t="s">
        <v>357</v>
      </c>
      <c r="B6" s="146" t="s">
        <v>358</v>
      </c>
      <c r="C6" s="147" t="s">
        <v>395</v>
      </c>
      <c r="D6" s="147" t="s">
        <v>396</v>
      </c>
    </row>
    <row r="7" spans="1:4" x14ac:dyDescent="0.2">
      <c r="A7" s="148" t="s">
        <v>299</v>
      </c>
      <c r="B7" s="149">
        <v>2013</v>
      </c>
      <c r="C7" s="149">
        <v>2014</v>
      </c>
      <c r="D7" s="192">
        <v>0</v>
      </c>
    </row>
    <row r="8" spans="1:4" x14ac:dyDescent="0.2">
      <c r="A8" s="148" t="s">
        <v>300</v>
      </c>
      <c r="B8" s="149">
        <f>B7</f>
        <v>2013</v>
      </c>
      <c r="C8" s="149">
        <f>C7</f>
        <v>2014</v>
      </c>
      <c r="D8" s="192">
        <v>0</v>
      </c>
    </row>
    <row r="9" spans="1:4" x14ac:dyDescent="0.2">
      <c r="A9" s="148" t="s">
        <v>301</v>
      </c>
      <c r="B9" s="149">
        <f>B8</f>
        <v>2013</v>
      </c>
      <c r="C9" s="149">
        <f>C8</f>
        <v>2014</v>
      </c>
      <c r="D9" s="192">
        <v>0</v>
      </c>
    </row>
    <row r="10" spans="1:4" x14ac:dyDescent="0.2">
      <c r="A10" s="148" t="s">
        <v>302</v>
      </c>
      <c r="B10" s="149">
        <f>B9+1</f>
        <v>2014</v>
      </c>
      <c r="C10" s="149">
        <f>C9+1</f>
        <v>2015</v>
      </c>
      <c r="D10" s="192">
        <v>0</v>
      </c>
    </row>
    <row r="11" spans="1:4" x14ac:dyDescent="0.2">
      <c r="A11" s="148" t="s">
        <v>303</v>
      </c>
      <c r="B11" s="149">
        <f>B10</f>
        <v>2014</v>
      </c>
      <c r="C11" s="149">
        <f>C10</f>
        <v>2015</v>
      </c>
      <c r="D11" s="192">
        <v>0</v>
      </c>
    </row>
    <row r="12" spans="1:4" x14ac:dyDescent="0.2">
      <c r="A12" s="148" t="s">
        <v>304</v>
      </c>
      <c r="B12" s="149">
        <f t="shared" ref="B12:B18" si="0">B11</f>
        <v>2014</v>
      </c>
      <c r="C12" s="149">
        <f t="shared" ref="C12:C18" si="1">C11</f>
        <v>2015</v>
      </c>
      <c r="D12" s="192">
        <v>0</v>
      </c>
    </row>
    <row r="13" spans="1:4" x14ac:dyDescent="0.2">
      <c r="A13" s="148" t="s">
        <v>305</v>
      </c>
      <c r="B13" s="149">
        <f t="shared" si="0"/>
        <v>2014</v>
      </c>
      <c r="C13" s="149">
        <f t="shared" si="1"/>
        <v>2015</v>
      </c>
      <c r="D13" s="192">
        <v>0</v>
      </c>
    </row>
    <row r="14" spans="1:4" x14ac:dyDescent="0.2">
      <c r="A14" s="148" t="s">
        <v>306</v>
      </c>
      <c r="B14" s="149">
        <f t="shared" si="0"/>
        <v>2014</v>
      </c>
      <c r="C14" s="149">
        <f t="shared" si="1"/>
        <v>2015</v>
      </c>
      <c r="D14" s="192">
        <v>0</v>
      </c>
    </row>
    <row r="15" spans="1:4" x14ac:dyDescent="0.2">
      <c r="A15" s="148" t="s">
        <v>307</v>
      </c>
      <c r="B15" s="149">
        <f t="shared" si="0"/>
        <v>2014</v>
      </c>
      <c r="C15" s="149">
        <f t="shared" si="1"/>
        <v>2015</v>
      </c>
      <c r="D15" s="192">
        <v>0</v>
      </c>
    </row>
    <row r="16" spans="1:4" x14ac:dyDescent="0.2">
      <c r="A16" s="148" t="s">
        <v>308</v>
      </c>
      <c r="B16" s="149">
        <f t="shared" si="0"/>
        <v>2014</v>
      </c>
      <c r="C16" s="149">
        <f t="shared" si="1"/>
        <v>2015</v>
      </c>
      <c r="D16" s="192">
        <v>0</v>
      </c>
    </row>
    <row r="17" spans="1:4" x14ac:dyDescent="0.2">
      <c r="A17" s="148" t="s">
        <v>309</v>
      </c>
      <c r="B17" s="149">
        <f t="shared" si="0"/>
        <v>2014</v>
      </c>
      <c r="C17" s="149">
        <f t="shared" si="1"/>
        <v>2015</v>
      </c>
      <c r="D17" s="192">
        <v>0</v>
      </c>
    </row>
    <row r="18" spans="1:4" x14ac:dyDescent="0.2">
      <c r="A18" s="148" t="s">
        <v>298</v>
      </c>
      <c r="B18" s="149">
        <f t="shared" si="0"/>
        <v>2014</v>
      </c>
      <c r="C18" s="149">
        <f t="shared" si="1"/>
        <v>2015</v>
      </c>
      <c r="D18" s="192">
        <v>0</v>
      </c>
    </row>
    <row r="19" spans="1:4" x14ac:dyDescent="0.2">
      <c r="A19" s="140"/>
      <c r="B19" s="140"/>
      <c r="C19" s="140"/>
      <c r="D19" s="140"/>
    </row>
    <row r="20" spans="1:4" ht="15" x14ac:dyDescent="0.25">
      <c r="A20" s="239" t="s">
        <v>387</v>
      </c>
      <c r="B20" s="240"/>
      <c r="C20" s="140"/>
      <c r="D20" s="140"/>
    </row>
    <row r="21" spans="1:4" ht="15" x14ac:dyDescent="0.25">
      <c r="A21" s="150" t="s">
        <v>388</v>
      </c>
      <c r="B21" s="149">
        <f>LARGE($D$7:$D$18,1)</f>
        <v>0</v>
      </c>
      <c r="C21" s="140"/>
      <c r="D21" s="140"/>
    </row>
    <row r="22" spans="1:4" ht="15" x14ac:dyDescent="0.25">
      <c r="A22" s="150" t="s">
        <v>389</v>
      </c>
      <c r="B22" s="149">
        <f>LARGE($D$7:$D$18,2)</f>
        <v>0</v>
      </c>
      <c r="C22" s="140"/>
      <c r="D22" s="140"/>
    </row>
    <row r="23" spans="1:4" ht="15" x14ac:dyDescent="0.25">
      <c r="A23" s="150" t="s">
        <v>390</v>
      </c>
      <c r="B23" s="149">
        <f>LARGE($D$7:$D$18,3)</f>
        <v>0</v>
      </c>
      <c r="C23" s="140"/>
      <c r="D23" s="140"/>
    </row>
    <row r="24" spans="1:4" ht="15" x14ac:dyDescent="0.25">
      <c r="A24" s="150" t="s">
        <v>391</v>
      </c>
      <c r="B24" s="149">
        <f>LARGE($D$7:$D$18,4)</f>
        <v>0</v>
      </c>
      <c r="C24" s="140"/>
      <c r="D24" s="140"/>
    </row>
    <row r="25" spans="1:4" ht="15" x14ac:dyDescent="0.25">
      <c r="A25" s="150" t="s">
        <v>392</v>
      </c>
      <c r="B25" s="149">
        <f>LARGE($D$7:$D$18,5)</f>
        <v>0</v>
      </c>
      <c r="C25" s="140"/>
      <c r="D25" s="140"/>
    </row>
    <row r="26" spans="1:4" ht="15" x14ac:dyDescent="0.25">
      <c r="A26" s="150" t="s">
        <v>393</v>
      </c>
      <c r="B26" s="149">
        <f>LARGE($D$7:$D$18,6)</f>
        <v>0</v>
      </c>
      <c r="C26" s="140"/>
      <c r="D26" s="140"/>
    </row>
    <row r="27" spans="1:4" ht="15" x14ac:dyDescent="0.25">
      <c r="A27" s="150" t="s">
        <v>363</v>
      </c>
      <c r="B27" s="230">
        <f>AVERAGE(B21:B26)</f>
        <v>0</v>
      </c>
      <c r="C27" s="140"/>
      <c r="D27" s="140"/>
    </row>
    <row r="29" spans="1:4" ht="13.5" thickBot="1" x14ac:dyDescent="0.25">
      <c r="A29" s="151"/>
      <c r="B29" s="151"/>
      <c r="C29" s="152"/>
      <c r="D29" s="151"/>
    </row>
    <row r="30" spans="1:4" ht="15" x14ac:dyDescent="0.25">
      <c r="A30" s="153" t="s">
        <v>394</v>
      </c>
      <c r="D30" s="154" t="s">
        <v>251</v>
      </c>
    </row>
    <row r="40" spans="1:1" x14ac:dyDescent="0.2">
      <c r="A40" s="139" t="s">
        <v>359</v>
      </c>
    </row>
    <row r="41" spans="1:1" x14ac:dyDescent="0.2">
      <c r="A41" s="139" t="s">
        <v>362</v>
      </c>
    </row>
    <row r="42" spans="1:1" x14ac:dyDescent="0.2">
      <c r="A42" s="139" t="s">
        <v>360</v>
      </c>
    </row>
    <row r="43" spans="1:1" x14ac:dyDescent="0.2">
      <c r="A43" s="139" t="s">
        <v>361</v>
      </c>
    </row>
  </sheetData>
  <sheetProtection password="EE5D" sheet="1" objects="1" scenarios="1"/>
  <mergeCells count="5">
    <mergeCell ref="A1:B1"/>
    <mergeCell ref="C1:D1"/>
    <mergeCell ref="A2:B2"/>
    <mergeCell ref="A5:B5"/>
    <mergeCell ref="A20:B20"/>
  </mergeCells>
  <conditionalFormatting sqref="D7">
    <cfRule type="top10" priority="2" stopIfTrue="1" percent="1" rank="50"/>
    <cfRule type="iconSet" priority="3">
      <iconSet iconSet="3Symbols">
        <cfvo type="percent" val="0"/>
        <cfvo type="percent" val="33"/>
        <cfvo type="percent" val="67"/>
      </iconSet>
    </cfRule>
  </conditionalFormatting>
  <conditionalFormatting sqref="D7:D18">
    <cfRule type="iconSet" priority="1">
      <iconSet iconSet="3Symbols">
        <cfvo type="percent" val="0"/>
        <cfvo type="percent" val="50"/>
        <cfvo type="percent" val="50"/>
      </iconSet>
    </cfRule>
  </conditionalFormatting>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21"/>
  <sheetViews>
    <sheetView workbookViewId="0">
      <selection activeCell="A44" sqref="A44:XFD518"/>
    </sheetView>
  </sheetViews>
  <sheetFormatPr defaultRowHeight="12.75" x14ac:dyDescent="0.2"/>
  <cols>
    <col min="1" max="1" width="52.85546875" customWidth="1"/>
    <col min="2" max="2" width="14.140625" bestFit="1" customWidth="1"/>
    <col min="3" max="3" width="14" bestFit="1" customWidth="1"/>
  </cols>
  <sheetData>
    <row r="1" spans="1:3" x14ac:dyDescent="0.2">
      <c r="A1" s="96" t="s">
        <v>311</v>
      </c>
      <c r="B1" s="162">
        <f>'ADA Data - SOF'!B74</f>
        <v>0</v>
      </c>
      <c r="C1" s="85"/>
    </row>
    <row r="2" spans="1:3" x14ac:dyDescent="0.2">
      <c r="A2" s="96" t="s">
        <v>401</v>
      </c>
      <c r="B2" s="162"/>
    </row>
    <row r="3" spans="1:3" x14ac:dyDescent="0.2">
      <c r="A3" s="96" t="s">
        <v>402</v>
      </c>
      <c r="B3" s="162">
        <v>0</v>
      </c>
    </row>
    <row r="4" spans="1:3" ht="13.5" thickBot="1" x14ac:dyDescent="0.25">
      <c r="A4" s="98" t="s">
        <v>292</v>
      </c>
      <c r="B4" s="163">
        <f>B1-B2-B3</f>
        <v>0</v>
      </c>
    </row>
    <row r="5" spans="1:3" ht="13.5" thickTop="1" x14ac:dyDescent="0.2">
      <c r="A5" s="97" t="s">
        <v>293</v>
      </c>
      <c r="B5" s="162">
        <v>12</v>
      </c>
    </row>
    <row r="6" spans="1:3" ht="13.5" thickBot="1" x14ac:dyDescent="0.25">
      <c r="A6" s="98" t="s">
        <v>295</v>
      </c>
      <c r="B6" s="164">
        <f>VLOOKUP(B5,B10:C21,2,FALSE)</f>
        <v>8.3000000000000004E-2</v>
      </c>
    </row>
    <row r="7" spans="1:3" ht="14.25" thickTop="1" thickBot="1" x14ac:dyDescent="0.25">
      <c r="A7" s="99" t="s">
        <v>294</v>
      </c>
      <c r="B7" s="165">
        <f>B4*B6</f>
        <v>0</v>
      </c>
    </row>
    <row r="8" spans="1:3" ht="14.25" thickTop="1" thickBot="1" x14ac:dyDescent="0.25"/>
    <row r="9" spans="1:3" ht="21.75" thickBot="1" x14ac:dyDescent="0.25">
      <c r="A9" s="80" t="s">
        <v>296</v>
      </c>
      <c r="B9" s="80" t="s">
        <v>310</v>
      </c>
      <c r="C9" s="80" t="s">
        <v>297</v>
      </c>
    </row>
    <row r="10" spans="1:3" ht="13.5" thickBot="1" x14ac:dyDescent="0.25">
      <c r="A10" s="83" t="s">
        <v>298</v>
      </c>
      <c r="B10" s="81">
        <v>12</v>
      </c>
      <c r="C10" s="86">
        <v>8.3000000000000004E-2</v>
      </c>
    </row>
    <row r="11" spans="1:3" ht="13.5" thickBot="1" x14ac:dyDescent="0.25">
      <c r="A11" s="84" t="s">
        <v>299</v>
      </c>
      <c r="B11" s="82">
        <v>11</v>
      </c>
      <c r="C11" s="87">
        <v>9.0999999999999998E-2</v>
      </c>
    </row>
    <row r="12" spans="1:3" ht="13.5" thickBot="1" x14ac:dyDescent="0.25">
      <c r="A12" s="83" t="s">
        <v>300</v>
      </c>
      <c r="B12" s="81">
        <v>10</v>
      </c>
      <c r="C12" s="86">
        <v>0.10100000000000001</v>
      </c>
    </row>
    <row r="13" spans="1:3" ht="13.5" thickBot="1" x14ac:dyDescent="0.25">
      <c r="A13" s="84" t="s">
        <v>301</v>
      </c>
      <c r="B13" s="82">
        <v>9</v>
      </c>
      <c r="C13" s="87">
        <v>0.111</v>
      </c>
    </row>
    <row r="14" spans="1:3" ht="13.5" thickBot="1" x14ac:dyDescent="0.25">
      <c r="A14" s="83" t="s">
        <v>302</v>
      </c>
      <c r="B14" s="134">
        <v>8</v>
      </c>
      <c r="C14" s="86">
        <v>0.124</v>
      </c>
    </row>
    <row r="15" spans="1:3" ht="13.5" thickBot="1" x14ac:dyDescent="0.25">
      <c r="A15" s="84" t="s">
        <v>303</v>
      </c>
      <c r="B15" s="82">
        <v>7</v>
      </c>
      <c r="C15" s="87">
        <v>0.14399999999999999</v>
      </c>
    </row>
    <row r="16" spans="1:3" ht="13.5" thickBot="1" x14ac:dyDescent="0.25">
      <c r="A16" s="83" t="s">
        <v>304</v>
      </c>
      <c r="B16" s="81">
        <v>6</v>
      </c>
      <c r="C16" s="86">
        <v>0.16600000000000001</v>
      </c>
    </row>
    <row r="17" spans="1:3" ht="13.5" thickBot="1" x14ac:dyDescent="0.25">
      <c r="A17" s="84" t="s">
        <v>305</v>
      </c>
      <c r="B17" s="82">
        <v>5</v>
      </c>
      <c r="C17" s="87">
        <v>0.19900000000000001</v>
      </c>
    </row>
    <row r="18" spans="1:3" ht="13.5" thickBot="1" x14ac:dyDescent="0.25">
      <c r="A18" s="83" t="s">
        <v>306</v>
      </c>
      <c r="B18" s="81">
        <v>4</v>
      </c>
      <c r="C18" s="86">
        <v>0.251</v>
      </c>
    </row>
    <row r="19" spans="1:3" ht="13.5" thickBot="1" x14ac:dyDescent="0.25">
      <c r="A19" s="84" t="s">
        <v>307</v>
      </c>
      <c r="B19" s="82">
        <v>3</v>
      </c>
      <c r="C19" s="87">
        <v>0.33200000000000002</v>
      </c>
    </row>
    <row r="20" spans="1:3" ht="13.5" thickBot="1" x14ac:dyDescent="0.25">
      <c r="A20" s="83" t="s">
        <v>308</v>
      </c>
      <c r="B20" s="134">
        <v>2</v>
      </c>
      <c r="C20" s="86">
        <v>0.497</v>
      </c>
    </row>
    <row r="21" spans="1:3" ht="13.5" thickBot="1" x14ac:dyDescent="0.25">
      <c r="A21" s="84" t="s">
        <v>309</v>
      </c>
      <c r="B21" s="82">
        <v>1</v>
      </c>
      <c r="C21" s="87">
        <v>1</v>
      </c>
    </row>
  </sheetData>
  <sheetProtection password="EE5D"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H210"/>
  <sheetViews>
    <sheetView zoomScaleNormal="100" zoomScaleSheetLayoutView="100" workbookViewId="0">
      <pane xSplit="1" ySplit="1" topLeftCell="B2" activePane="bottomRight" state="frozen"/>
      <selection pane="topRight" activeCell="B1" sqref="B1"/>
      <selection pane="bottomLeft" activeCell="A4" sqref="A4"/>
      <selection pane="bottomRight" activeCell="H13" sqref="A1:H210"/>
    </sheetView>
  </sheetViews>
  <sheetFormatPr defaultRowHeight="12.75" x14ac:dyDescent="0.2"/>
  <cols>
    <col min="1" max="1" width="7" style="72" bestFit="1" customWidth="1"/>
    <col min="2" max="2" width="64.28515625" style="231" bestFit="1" customWidth="1"/>
    <col min="3" max="3" width="11" style="73" bestFit="1" customWidth="1"/>
    <col min="4" max="4" width="7.42578125" style="72" bestFit="1" customWidth="1"/>
    <col min="5" max="5" width="12.140625" style="1" customWidth="1"/>
    <col min="6" max="6" width="13" style="135" customWidth="1"/>
    <col min="7" max="8" width="13" style="157" customWidth="1"/>
    <col min="9" max="16384" width="9.140625" style="1"/>
  </cols>
  <sheetData>
    <row r="1" spans="1:8" s="14" customFormat="1" ht="33.75" x14ac:dyDescent="0.2">
      <c r="A1" s="166" t="s">
        <v>155</v>
      </c>
      <c r="B1" s="166" t="s">
        <v>69</v>
      </c>
      <c r="C1" s="167" t="s">
        <v>376</v>
      </c>
      <c r="D1" s="167" t="s">
        <v>324</v>
      </c>
      <c r="E1" s="167" t="s">
        <v>353</v>
      </c>
      <c r="F1" s="168" t="s">
        <v>377</v>
      </c>
      <c r="G1" s="169" t="s">
        <v>316</v>
      </c>
      <c r="H1" s="169" t="s">
        <v>400</v>
      </c>
    </row>
    <row r="2" spans="1:8" s="14" customFormat="1" x14ac:dyDescent="0.2">
      <c r="A2" s="170">
        <v>0</v>
      </c>
      <c r="B2" s="171" t="s">
        <v>354</v>
      </c>
      <c r="C2" s="171">
        <v>5000</v>
      </c>
      <c r="D2" s="171"/>
      <c r="E2" s="171" t="s">
        <v>171</v>
      </c>
      <c r="F2" s="172"/>
      <c r="G2" s="173">
        <v>0</v>
      </c>
      <c r="H2" s="173">
        <v>0</v>
      </c>
    </row>
    <row r="3" spans="1:8" s="226" customFormat="1" ht="15" x14ac:dyDescent="0.2">
      <c r="A3" s="188">
        <v>68803</v>
      </c>
      <c r="B3" s="189" t="s">
        <v>413</v>
      </c>
      <c r="C3" s="191">
        <v>3900</v>
      </c>
      <c r="D3" s="190" t="s">
        <v>378</v>
      </c>
      <c r="E3" s="174" t="s">
        <v>171</v>
      </c>
      <c r="F3" s="175">
        <v>4604.6369999999997</v>
      </c>
      <c r="G3" s="176"/>
      <c r="H3" s="176"/>
    </row>
    <row r="4" spans="1:8" s="226" customFormat="1" ht="15" x14ac:dyDescent="0.2">
      <c r="A4" s="188">
        <v>15835</v>
      </c>
      <c r="B4" s="189" t="s">
        <v>346</v>
      </c>
      <c r="C4" s="174">
        <v>1965</v>
      </c>
      <c r="D4" s="190" t="s">
        <v>378</v>
      </c>
      <c r="E4" s="174" t="s">
        <v>171</v>
      </c>
      <c r="F4" s="175">
        <v>4604.6369999999997</v>
      </c>
      <c r="G4" s="176">
        <v>0</v>
      </c>
      <c r="H4" s="176">
        <v>0</v>
      </c>
    </row>
    <row r="5" spans="1:8" s="226" customFormat="1" ht="15" x14ac:dyDescent="0.2">
      <c r="A5" s="188">
        <v>15837</v>
      </c>
      <c r="B5" s="189" t="s">
        <v>379</v>
      </c>
      <c r="C5" s="224">
        <v>1500</v>
      </c>
      <c r="D5" s="190" t="s">
        <v>378</v>
      </c>
      <c r="E5" s="174" t="s">
        <v>171</v>
      </c>
      <c r="F5" s="175">
        <v>4604.6369999999997</v>
      </c>
      <c r="G5" s="176">
        <v>0</v>
      </c>
      <c r="H5" s="176">
        <v>0</v>
      </c>
    </row>
    <row r="6" spans="1:8" s="227" customFormat="1" ht="15.75" x14ac:dyDescent="0.25">
      <c r="A6" s="188">
        <v>71810</v>
      </c>
      <c r="B6" s="189" t="s">
        <v>380</v>
      </c>
      <c r="C6" s="225">
        <v>625</v>
      </c>
      <c r="D6" s="190" t="s">
        <v>378</v>
      </c>
      <c r="E6" s="174" t="s">
        <v>171</v>
      </c>
      <c r="F6" s="175">
        <v>4604.6369999999997</v>
      </c>
      <c r="G6" s="176">
        <v>0</v>
      </c>
      <c r="H6" s="176">
        <v>0</v>
      </c>
    </row>
    <row r="7" spans="1:8" s="227" customFormat="1" ht="15" x14ac:dyDescent="0.2">
      <c r="A7" s="188">
        <v>227826</v>
      </c>
      <c r="B7" s="189" t="s">
        <v>381</v>
      </c>
      <c r="C7" s="174">
        <v>1100</v>
      </c>
      <c r="D7" s="190" t="s">
        <v>378</v>
      </c>
      <c r="E7" s="174" t="s">
        <v>171</v>
      </c>
      <c r="F7" s="175">
        <v>4604.6369999999997</v>
      </c>
      <c r="G7" s="176">
        <v>0</v>
      </c>
      <c r="H7" s="176">
        <v>0</v>
      </c>
    </row>
    <row r="8" spans="1:8" s="227" customFormat="1" ht="15" x14ac:dyDescent="0.2">
      <c r="A8" s="188">
        <v>227827</v>
      </c>
      <c r="B8" s="189" t="s">
        <v>414</v>
      </c>
      <c r="C8" s="174">
        <v>150</v>
      </c>
      <c r="D8" s="190" t="s">
        <v>378</v>
      </c>
      <c r="E8" s="174" t="s">
        <v>171</v>
      </c>
      <c r="F8" s="175">
        <v>4604.6369999999997</v>
      </c>
      <c r="G8" s="176">
        <v>0</v>
      </c>
      <c r="H8" s="176">
        <v>0</v>
      </c>
    </row>
    <row r="9" spans="1:8" s="227" customFormat="1" x14ac:dyDescent="0.2">
      <c r="A9" s="177">
        <v>3801</v>
      </c>
      <c r="B9" s="178" t="s">
        <v>120</v>
      </c>
      <c r="C9" s="174">
        <v>750</v>
      </c>
      <c r="D9" s="179"/>
      <c r="E9" s="174" t="s">
        <v>170</v>
      </c>
      <c r="F9" s="175">
        <v>4630.5739999999996</v>
      </c>
      <c r="G9" s="176">
        <v>0</v>
      </c>
      <c r="H9" s="176">
        <v>9474</v>
      </c>
    </row>
    <row r="10" spans="1:8" s="227" customFormat="1" x14ac:dyDescent="0.2">
      <c r="A10" s="180">
        <v>13801</v>
      </c>
      <c r="B10" s="179" t="s">
        <v>121</v>
      </c>
      <c r="C10" s="174">
        <v>700</v>
      </c>
      <c r="D10" s="179"/>
      <c r="E10" s="174" t="s">
        <v>170</v>
      </c>
      <c r="F10" s="175">
        <v>4707.4570000000003</v>
      </c>
      <c r="G10" s="176">
        <v>0</v>
      </c>
      <c r="H10" s="176">
        <v>11274</v>
      </c>
    </row>
    <row r="11" spans="1:8" s="227" customFormat="1" x14ac:dyDescent="0.2">
      <c r="A11" s="180">
        <v>14801</v>
      </c>
      <c r="B11" s="179" t="s">
        <v>70</v>
      </c>
      <c r="C11" s="174">
        <v>300</v>
      </c>
      <c r="D11" s="179"/>
      <c r="E11" s="174" t="s">
        <v>171</v>
      </c>
      <c r="F11" s="175">
        <v>4734.3190000000004</v>
      </c>
      <c r="G11" s="176">
        <v>0</v>
      </c>
      <c r="H11" s="176">
        <v>5764</v>
      </c>
    </row>
    <row r="12" spans="1:8" s="227" customFormat="1" x14ac:dyDescent="0.2">
      <c r="A12" s="180">
        <v>14802</v>
      </c>
      <c r="B12" s="179" t="s">
        <v>122</v>
      </c>
      <c r="C12" s="174">
        <v>250</v>
      </c>
      <c r="D12" s="179"/>
      <c r="E12" s="174" t="s">
        <v>170</v>
      </c>
      <c r="F12" s="175">
        <v>4790.8239999999996</v>
      </c>
      <c r="G12" s="176">
        <v>0</v>
      </c>
      <c r="H12" s="176">
        <v>2266</v>
      </c>
    </row>
    <row r="13" spans="1:8" s="227" customFormat="1" x14ac:dyDescent="0.2">
      <c r="A13" s="180">
        <v>14803</v>
      </c>
      <c r="B13" s="179" t="s">
        <v>71</v>
      </c>
      <c r="C13" s="174">
        <v>1200</v>
      </c>
      <c r="D13" s="179"/>
      <c r="E13" s="174" t="s">
        <v>170</v>
      </c>
      <c r="F13" s="175">
        <v>4670.4049999999997</v>
      </c>
      <c r="G13" s="176">
        <v>0</v>
      </c>
      <c r="H13" s="176">
        <v>5162</v>
      </c>
    </row>
    <row r="14" spans="1:8" s="227" customFormat="1" x14ac:dyDescent="0.2">
      <c r="A14" s="180">
        <v>14804</v>
      </c>
      <c r="B14" s="179" t="s">
        <v>7</v>
      </c>
      <c r="C14" s="174">
        <v>1500</v>
      </c>
      <c r="D14" s="179"/>
      <c r="E14" s="174" t="s">
        <v>170</v>
      </c>
      <c r="F14" s="175">
        <v>4755.6239999999998</v>
      </c>
      <c r="G14" s="176">
        <v>0</v>
      </c>
      <c r="H14" s="176">
        <v>8046</v>
      </c>
    </row>
    <row r="15" spans="1:8" s="227" customFormat="1" x14ac:dyDescent="0.2">
      <c r="A15" s="180">
        <v>15801</v>
      </c>
      <c r="B15" s="179" t="s">
        <v>72</v>
      </c>
      <c r="C15" s="174">
        <v>1000</v>
      </c>
      <c r="D15" s="179"/>
      <c r="E15" s="174" t="s">
        <v>170</v>
      </c>
      <c r="F15" s="175">
        <v>4850.107</v>
      </c>
      <c r="G15" s="176">
        <v>30454</v>
      </c>
      <c r="H15" s="176">
        <v>11659</v>
      </c>
    </row>
    <row r="16" spans="1:8" s="227" customFormat="1" x14ac:dyDescent="0.2">
      <c r="A16" s="180">
        <v>15802</v>
      </c>
      <c r="B16" s="179" t="s">
        <v>123</v>
      </c>
      <c r="C16" s="174">
        <v>2500</v>
      </c>
      <c r="D16" s="179"/>
      <c r="E16" s="174" t="s">
        <v>171</v>
      </c>
      <c r="F16" s="175">
        <v>4835.2860000000001</v>
      </c>
      <c r="G16" s="176">
        <v>78951</v>
      </c>
      <c r="H16" s="176">
        <v>15410</v>
      </c>
    </row>
    <row r="17" spans="1:8" s="227" customFormat="1" x14ac:dyDescent="0.2">
      <c r="A17" s="180">
        <v>15803</v>
      </c>
      <c r="B17" s="179" t="s">
        <v>73</v>
      </c>
      <c r="C17" s="174">
        <v>1000</v>
      </c>
      <c r="D17" s="179"/>
      <c r="E17" s="174" t="s">
        <v>171</v>
      </c>
      <c r="F17" s="175">
        <v>4830.6549999999997</v>
      </c>
      <c r="G17" s="176">
        <v>140494</v>
      </c>
      <c r="H17" s="176">
        <v>13708</v>
      </c>
    </row>
    <row r="18" spans="1:8" s="227" customFormat="1" x14ac:dyDescent="0.2">
      <c r="A18" s="180">
        <v>15805</v>
      </c>
      <c r="B18" s="179" t="s">
        <v>124</v>
      </c>
      <c r="C18" s="174">
        <v>1176</v>
      </c>
      <c r="D18" s="179"/>
      <c r="E18" s="174" t="s">
        <v>171</v>
      </c>
      <c r="F18" s="175">
        <v>4612.0479999999998</v>
      </c>
      <c r="G18" s="176">
        <v>0</v>
      </c>
      <c r="H18" s="176">
        <v>20520</v>
      </c>
    </row>
    <row r="19" spans="1:8" s="227" customFormat="1" x14ac:dyDescent="0.2">
      <c r="A19" s="180">
        <v>15806</v>
      </c>
      <c r="B19" s="179" t="s">
        <v>125</v>
      </c>
      <c r="C19" s="174">
        <v>4500</v>
      </c>
      <c r="D19" s="179"/>
      <c r="E19" s="174" t="s">
        <v>170</v>
      </c>
      <c r="F19" s="175">
        <v>4798.2340000000004</v>
      </c>
      <c r="G19" s="176">
        <v>248790</v>
      </c>
      <c r="H19" s="176">
        <v>80006</v>
      </c>
    </row>
    <row r="20" spans="1:8" s="227" customFormat="1" x14ac:dyDescent="0.2">
      <c r="A20" s="180">
        <v>15807</v>
      </c>
      <c r="B20" s="179" t="s">
        <v>77</v>
      </c>
      <c r="C20" s="174">
        <v>1100</v>
      </c>
      <c r="D20" s="179"/>
      <c r="E20" s="174" t="s">
        <v>170</v>
      </c>
      <c r="F20" s="175">
        <v>4835.2860000000001</v>
      </c>
      <c r="G20" s="176">
        <v>0</v>
      </c>
      <c r="H20" s="176">
        <v>23309</v>
      </c>
    </row>
    <row r="21" spans="1:8" s="227" customFormat="1" x14ac:dyDescent="0.2">
      <c r="A21" s="180">
        <v>15808</v>
      </c>
      <c r="B21" s="174" t="s">
        <v>74</v>
      </c>
      <c r="C21" s="174">
        <v>661</v>
      </c>
      <c r="D21" s="179"/>
      <c r="E21" s="174" t="s">
        <v>171</v>
      </c>
      <c r="F21" s="175">
        <v>4738.0249999999996</v>
      </c>
      <c r="G21" s="176">
        <v>0</v>
      </c>
      <c r="H21" s="176">
        <v>21253</v>
      </c>
    </row>
    <row r="22" spans="1:8" s="227" customFormat="1" x14ac:dyDescent="0.2">
      <c r="A22" s="180">
        <v>15809</v>
      </c>
      <c r="B22" s="179" t="s">
        <v>75</v>
      </c>
      <c r="C22" s="174">
        <v>1000</v>
      </c>
      <c r="D22" s="179"/>
      <c r="E22" s="174" t="s">
        <v>171</v>
      </c>
      <c r="F22" s="175">
        <v>4604.6369999999997</v>
      </c>
      <c r="G22" s="176">
        <v>0</v>
      </c>
      <c r="H22" s="176">
        <v>12553</v>
      </c>
    </row>
    <row r="23" spans="1:8" s="14" customFormat="1" x14ac:dyDescent="0.2">
      <c r="A23" s="180">
        <v>15814</v>
      </c>
      <c r="B23" s="179" t="s">
        <v>78</v>
      </c>
      <c r="C23" s="174">
        <v>425</v>
      </c>
      <c r="D23" s="179"/>
      <c r="E23" s="174" t="s">
        <v>171</v>
      </c>
      <c r="F23" s="175">
        <v>4839.9179999999997</v>
      </c>
      <c r="G23" s="176">
        <v>13245</v>
      </c>
      <c r="H23" s="176">
        <v>4759</v>
      </c>
    </row>
    <row r="24" spans="1:8" s="14" customFormat="1" x14ac:dyDescent="0.2">
      <c r="A24" s="180">
        <v>15815</v>
      </c>
      <c r="B24" s="179" t="s">
        <v>79</v>
      </c>
      <c r="C24" s="174">
        <v>1500</v>
      </c>
      <c r="D24" s="179"/>
      <c r="E24" s="174" t="s">
        <v>170</v>
      </c>
      <c r="F24" s="175">
        <v>4689.857</v>
      </c>
      <c r="G24" s="176">
        <v>6455</v>
      </c>
      <c r="H24" s="176">
        <v>24155</v>
      </c>
    </row>
    <row r="25" spans="1:8" s="14" customFormat="1" x14ac:dyDescent="0.2">
      <c r="A25" s="180">
        <v>15816</v>
      </c>
      <c r="B25" s="179" t="s">
        <v>80</v>
      </c>
      <c r="C25" s="174">
        <v>360</v>
      </c>
      <c r="D25" s="179"/>
      <c r="E25" s="174" t="s">
        <v>171</v>
      </c>
      <c r="F25" s="175">
        <v>4833.433</v>
      </c>
      <c r="G25" s="176">
        <v>6030</v>
      </c>
      <c r="H25" s="176">
        <v>6741</v>
      </c>
    </row>
    <row r="26" spans="1:8" s="14" customFormat="1" x14ac:dyDescent="0.2">
      <c r="A26" s="180">
        <v>15819</v>
      </c>
      <c r="B26" s="179" t="s">
        <v>76</v>
      </c>
      <c r="C26" s="174">
        <v>2000</v>
      </c>
      <c r="D26" s="179"/>
      <c r="E26" s="174" t="s">
        <v>170</v>
      </c>
      <c r="F26" s="175">
        <v>4865.8540000000003</v>
      </c>
      <c r="G26" s="176">
        <v>7938</v>
      </c>
      <c r="H26" s="176">
        <v>27726</v>
      </c>
    </row>
    <row r="27" spans="1:8" s="14" customFormat="1" x14ac:dyDescent="0.2">
      <c r="A27" s="180">
        <v>15820</v>
      </c>
      <c r="B27" s="179" t="s">
        <v>81</v>
      </c>
      <c r="C27" s="174">
        <v>1000</v>
      </c>
      <c r="D27" s="179"/>
      <c r="E27" s="174" t="s">
        <v>170</v>
      </c>
      <c r="F27" s="175">
        <v>4727.835</v>
      </c>
      <c r="G27" s="176">
        <v>0</v>
      </c>
      <c r="H27" s="176">
        <v>9711</v>
      </c>
    </row>
    <row r="28" spans="1:8" s="14" customFormat="1" x14ac:dyDescent="0.2">
      <c r="A28" s="180">
        <v>15822</v>
      </c>
      <c r="B28" s="179" t="s">
        <v>82</v>
      </c>
      <c r="C28" s="174">
        <v>5550</v>
      </c>
      <c r="D28" s="181"/>
      <c r="E28" s="174" t="s">
        <v>171</v>
      </c>
      <c r="F28" s="175">
        <v>4645.3950000000004</v>
      </c>
      <c r="G28" s="176">
        <v>0</v>
      </c>
      <c r="H28" s="176">
        <v>20669</v>
      </c>
    </row>
    <row r="29" spans="1:8" s="14" customFormat="1" x14ac:dyDescent="0.2">
      <c r="A29" s="180">
        <v>15823</v>
      </c>
      <c r="B29" s="174" t="s">
        <v>281</v>
      </c>
      <c r="C29" s="174">
        <v>300</v>
      </c>
      <c r="D29" s="181"/>
      <c r="E29" s="174" t="s">
        <v>170</v>
      </c>
      <c r="F29" s="175">
        <v>4929.7690000000002</v>
      </c>
      <c r="G29" s="176">
        <v>7860</v>
      </c>
      <c r="H29" s="176">
        <v>2829</v>
      </c>
    </row>
    <row r="30" spans="1:8" s="14" customFormat="1" x14ac:dyDescent="0.2">
      <c r="A30" s="180">
        <v>15825</v>
      </c>
      <c r="B30" s="179" t="s">
        <v>158</v>
      </c>
      <c r="C30" s="174">
        <v>600</v>
      </c>
      <c r="D30" s="181"/>
      <c r="E30" s="174" t="s">
        <v>170</v>
      </c>
      <c r="F30" s="175">
        <v>4724.13</v>
      </c>
      <c r="G30" s="176">
        <v>0</v>
      </c>
      <c r="H30" s="176">
        <v>5520</v>
      </c>
    </row>
    <row r="31" spans="1:8" s="14" customFormat="1" x14ac:dyDescent="0.2">
      <c r="A31" s="180">
        <v>15826</v>
      </c>
      <c r="B31" s="174" t="s">
        <v>277</v>
      </c>
      <c r="C31" s="174">
        <v>3000</v>
      </c>
      <c r="D31" s="179"/>
      <c r="E31" s="174" t="s">
        <v>171</v>
      </c>
      <c r="F31" s="175">
        <v>4736.1719999999996</v>
      </c>
      <c r="G31" s="176">
        <v>0</v>
      </c>
      <c r="H31" s="176">
        <v>12754</v>
      </c>
    </row>
    <row r="32" spans="1:8" s="14" customFormat="1" x14ac:dyDescent="0.2">
      <c r="A32" s="180">
        <v>15827</v>
      </c>
      <c r="B32" s="179" t="s">
        <v>41</v>
      </c>
      <c r="C32" s="174">
        <v>1500</v>
      </c>
      <c r="D32" s="179"/>
      <c r="E32" s="174" t="s">
        <v>170</v>
      </c>
      <c r="F32" s="175">
        <v>4795.4549999999999</v>
      </c>
      <c r="G32" s="176">
        <v>0</v>
      </c>
      <c r="H32" s="176">
        <v>11947</v>
      </c>
    </row>
    <row r="33" spans="1:8" s="14" customFormat="1" x14ac:dyDescent="0.2">
      <c r="A33" s="180">
        <v>15828</v>
      </c>
      <c r="B33" s="179" t="s">
        <v>42</v>
      </c>
      <c r="C33" s="174">
        <v>5500</v>
      </c>
      <c r="D33" s="179"/>
      <c r="E33" s="174" t="s">
        <v>170</v>
      </c>
      <c r="F33" s="175">
        <v>4735.7960000000003</v>
      </c>
      <c r="G33" s="176">
        <v>0</v>
      </c>
      <c r="H33" s="176">
        <v>17957</v>
      </c>
    </row>
    <row r="34" spans="1:8" s="14" customFormat="1" x14ac:dyDescent="0.2">
      <c r="A34" s="180">
        <v>15830</v>
      </c>
      <c r="B34" s="174" t="s">
        <v>151</v>
      </c>
      <c r="C34" s="174">
        <v>3600</v>
      </c>
      <c r="D34" s="179"/>
      <c r="E34" s="174" t="s">
        <v>171</v>
      </c>
      <c r="F34" s="175">
        <v>4671.3310000000001</v>
      </c>
      <c r="G34" s="176">
        <v>0</v>
      </c>
      <c r="H34" s="176">
        <v>19083</v>
      </c>
    </row>
    <row r="35" spans="1:8" s="14" customFormat="1" x14ac:dyDescent="0.2">
      <c r="A35" s="180">
        <v>15831</v>
      </c>
      <c r="B35" s="179" t="s">
        <v>37</v>
      </c>
      <c r="C35" s="174">
        <v>1800</v>
      </c>
      <c r="D35" s="179"/>
      <c r="E35" s="174" t="s">
        <v>170</v>
      </c>
      <c r="F35" s="175">
        <v>4728.6379999999999</v>
      </c>
      <c r="G35" s="176">
        <v>0</v>
      </c>
      <c r="H35" s="176">
        <v>8860</v>
      </c>
    </row>
    <row r="36" spans="1:8" s="14" customFormat="1" x14ac:dyDescent="0.2">
      <c r="A36" s="180">
        <v>15832</v>
      </c>
      <c r="B36" s="179" t="s">
        <v>118</v>
      </c>
      <c r="C36" s="174">
        <v>1400</v>
      </c>
      <c r="D36" s="179"/>
      <c r="E36" s="174" t="s">
        <v>171</v>
      </c>
      <c r="F36" s="175">
        <v>4650.0259999999998</v>
      </c>
      <c r="G36" s="176">
        <v>0</v>
      </c>
      <c r="H36" s="176">
        <v>0</v>
      </c>
    </row>
    <row r="37" spans="1:8" s="14" customFormat="1" x14ac:dyDescent="0.2">
      <c r="A37" s="180">
        <v>15833</v>
      </c>
      <c r="B37" s="174" t="s">
        <v>275</v>
      </c>
      <c r="C37" s="174">
        <v>480</v>
      </c>
      <c r="D37" s="179"/>
      <c r="E37" s="174" t="s">
        <v>171</v>
      </c>
      <c r="F37" s="175">
        <v>4773.2240000000002</v>
      </c>
      <c r="G37" s="176">
        <v>0</v>
      </c>
      <c r="H37" s="176">
        <v>0</v>
      </c>
    </row>
    <row r="38" spans="1:8" s="14" customFormat="1" x14ac:dyDescent="0.2">
      <c r="A38" s="177">
        <v>15834</v>
      </c>
      <c r="B38" s="178" t="s">
        <v>345</v>
      </c>
      <c r="C38" s="174">
        <v>3750</v>
      </c>
      <c r="D38" s="179"/>
      <c r="E38" s="174" t="s">
        <v>171</v>
      </c>
      <c r="F38" s="175">
        <v>4604.6369999999997</v>
      </c>
      <c r="G38" s="176">
        <v>0</v>
      </c>
      <c r="H38" s="176">
        <v>0</v>
      </c>
    </row>
    <row r="39" spans="1:8" s="14" customFormat="1" x14ac:dyDescent="0.2">
      <c r="A39" s="177">
        <v>15836</v>
      </c>
      <c r="B39" s="178" t="s">
        <v>347</v>
      </c>
      <c r="C39" s="174">
        <v>700</v>
      </c>
      <c r="D39" s="179"/>
      <c r="E39" s="174" t="s">
        <v>171</v>
      </c>
      <c r="F39" s="175">
        <v>4604.6369999999997</v>
      </c>
      <c r="G39" s="176">
        <v>0</v>
      </c>
      <c r="H39" s="176">
        <v>0</v>
      </c>
    </row>
    <row r="40" spans="1:8" s="14" customFormat="1" x14ac:dyDescent="0.2">
      <c r="A40" s="180">
        <v>21803</v>
      </c>
      <c r="B40" s="179" t="s">
        <v>83</v>
      </c>
      <c r="C40" s="174">
        <v>500</v>
      </c>
      <c r="D40" s="179"/>
      <c r="E40" s="174" t="s">
        <v>170</v>
      </c>
      <c r="F40" s="175">
        <v>4809.3500000000004</v>
      </c>
      <c r="G40" s="176">
        <v>49454</v>
      </c>
      <c r="H40" s="176">
        <v>14077</v>
      </c>
    </row>
    <row r="41" spans="1:8" s="14" customFormat="1" x14ac:dyDescent="0.2">
      <c r="A41" s="180">
        <v>21805</v>
      </c>
      <c r="B41" s="179" t="s">
        <v>253</v>
      </c>
      <c r="C41" s="174">
        <v>1000</v>
      </c>
      <c r="D41" s="179"/>
      <c r="E41" s="174" t="s">
        <v>171</v>
      </c>
      <c r="F41" s="175">
        <v>4604.6369999999997</v>
      </c>
      <c r="G41" s="176">
        <v>0</v>
      </c>
      <c r="H41" s="176">
        <v>0</v>
      </c>
    </row>
    <row r="42" spans="1:8" s="14" customFormat="1" x14ac:dyDescent="0.2">
      <c r="A42" s="180">
        <v>31803</v>
      </c>
      <c r="B42" s="179" t="s">
        <v>38</v>
      </c>
      <c r="C42" s="174">
        <v>900</v>
      </c>
      <c r="D42" s="179"/>
      <c r="E42" s="174" t="s">
        <v>170</v>
      </c>
      <c r="F42" s="175">
        <v>4714.8670000000002</v>
      </c>
      <c r="G42" s="176">
        <v>0</v>
      </c>
      <c r="H42" s="176">
        <v>8563</v>
      </c>
    </row>
    <row r="43" spans="1:8" s="14" customFormat="1" x14ac:dyDescent="0.2">
      <c r="A43" s="180">
        <v>43801</v>
      </c>
      <c r="B43" s="179" t="s">
        <v>382</v>
      </c>
      <c r="C43" s="174">
        <v>1300</v>
      </c>
      <c r="D43" s="179"/>
      <c r="E43" s="174" t="s">
        <v>171</v>
      </c>
      <c r="F43" s="175">
        <v>4604.6369999999997</v>
      </c>
      <c r="G43" s="176">
        <v>0</v>
      </c>
      <c r="H43" s="176">
        <v>0</v>
      </c>
    </row>
    <row r="44" spans="1:8" s="14" customFormat="1" x14ac:dyDescent="0.2">
      <c r="A44" s="180">
        <v>46802</v>
      </c>
      <c r="B44" s="179" t="s">
        <v>84</v>
      </c>
      <c r="C44" s="174">
        <v>400</v>
      </c>
      <c r="D44" s="179"/>
      <c r="E44" s="174" t="s">
        <v>170</v>
      </c>
      <c r="F44" s="175">
        <v>4715.7929999999997</v>
      </c>
      <c r="G44" s="176">
        <v>0</v>
      </c>
      <c r="H44" s="176">
        <v>26007</v>
      </c>
    </row>
    <row r="45" spans="1:8" s="14" customFormat="1" x14ac:dyDescent="0.2">
      <c r="A45" s="180">
        <v>57802</v>
      </c>
      <c r="B45" s="179" t="s">
        <v>43</v>
      </c>
      <c r="C45" s="174">
        <v>1000</v>
      </c>
      <c r="D45" s="179"/>
      <c r="E45" s="174" t="s">
        <v>170</v>
      </c>
      <c r="F45" s="175">
        <v>4965.8940000000002</v>
      </c>
      <c r="G45" s="176">
        <v>0</v>
      </c>
      <c r="H45" s="176">
        <v>15527</v>
      </c>
    </row>
    <row r="46" spans="1:8" s="14" customFormat="1" x14ac:dyDescent="0.2">
      <c r="A46" s="180">
        <v>57803</v>
      </c>
      <c r="B46" s="174" t="s">
        <v>287</v>
      </c>
      <c r="C46" s="174">
        <v>5000</v>
      </c>
      <c r="D46" s="179"/>
      <c r="E46" s="174" t="s">
        <v>170</v>
      </c>
      <c r="F46" s="175">
        <v>4964.9679999999998</v>
      </c>
      <c r="G46" s="176">
        <v>0</v>
      </c>
      <c r="H46" s="176">
        <v>35199</v>
      </c>
    </row>
    <row r="47" spans="1:8" s="14" customFormat="1" x14ac:dyDescent="0.2">
      <c r="A47" s="180">
        <v>57804</v>
      </c>
      <c r="B47" s="174" t="s">
        <v>85</v>
      </c>
      <c r="C47" s="174">
        <v>3050</v>
      </c>
      <c r="D47" s="179"/>
      <c r="E47" s="174" t="s">
        <v>171</v>
      </c>
      <c r="F47" s="175">
        <v>4946.8999999999996</v>
      </c>
      <c r="G47" s="176">
        <v>413599</v>
      </c>
      <c r="H47" s="176">
        <v>64453</v>
      </c>
    </row>
    <row r="48" spans="1:8" s="14" customFormat="1" x14ac:dyDescent="0.2">
      <c r="A48" s="180">
        <v>57805</v>
      </c>
      <c r="B48" s="179" t="s">
        <v>86</v>
      </c>
      <c r="C48" s="174">
        <v>450</v>
      </c>
      <c r="D48" s="179"/>
      <c r="E48" s="174" t="s">
        <v>171</v>
      </c>
      <c r="F48" s="175">
        <v>4801.0129999999999</v>
      </c>
      <c r="G48" s="176">
        <v>0</v>
      </c>
      <c r="H48" s="176">
        <v>4467</v>
      </c>
    </row>
    <row r="49" spans="1:8" s="14" customFormat="1" x14ac:dyDescent="0.2">
      <c r="A49" s="180">
        <v>57806</v>
      </c>
      <c r="B49" s="179" t="s">
        <v>44</v>
      </c>
      <c r="C49" s="174">
        <v>3000</v>
      </c>
      <c r="D49" s="179"/>
      <c r="E49" s="174" t="s">
        <v>170</v>
      </c>
      <c r="F49" s="175">
        <v>4770.4449999999997</v>
      </c>
      <c r="G49" s="176">
        <v>0</v>
      </c>
      <c r="H49" s="176">
        <v>45560</v>
      </c>
    </row>
    <row r="50" spans="1:8" s="14" customFormat="1" x14ac:dyDescent="0.2">
      <c r="A50" s="180">
        <v>57807</v>
      </c>
      <c r="B50" s="179" t="s">
        <v>45</v>
      </c>
      <c r="C50" s="174">
        <v>10000</v>
      </c>
      <c r="D50" s="179"/>
      <c r="E50" s="174" t="s">
        <v>171</v>
      </c>
      <c r="F50" s="175">
        <v>4736.1719999999996</v>
      </c>
      <c r="G50" s="176">
        <v>0</v>
      </c>
      <c r="H50" s="176">
        <v>97141</v>
      </c>
    </row>
    <row r="51" spans="1:8" s="14" customFormat="1" x14ac:dyDescent="0.2">
      <c r="A51" s="180">
        <v>57808</v>
      </c>
      <c r="B51" s="179" t="s">
        <v>87</v>
      </c>
      <c r="C51" s="174">
        <v>3000</v>
      </c>
      <c r="D51" s="179"/>
      <c r="E51" s="174" t="s">
        <v>170</v>
      </c>
      <c r="F51" s="175">
        <v>4872.3379999999997</v>
      </c>
      <c r="G51" s="176">
        <v>68530</v>
      </c>
      <c r="H51" s="176">
        <v>42070</v>
      </c>
    </row>
    <row r="52" spans="1:8" s="14" customFormat="1" x14ac:dyDescent="0.2">
      <c r="A52" s="180">
        <v>57809</v>
      </c>
      <c r="B52" s="179" t="s">
        <v>46</v>
      </c>
      <c r="C52" s="174">
        <v>500</v>
      </c>
      <c r="D52" s="179"/>
      <c r="E52" s="174" t="s">
        <v>170</v>
      </c>
      <c r="F52" s="175">
        <v>4860.2960000000003</v>
      </c>
      <c r="G52" s="176">
        <v>0</v>
      </c>
      <c r="H52" s="176">
        <v>6421</v>
      </c>
    </row>
    <row r="53" spans="1:8" s="14" customFormat="1" x14ac:dyDescent="0.2">
      <c r="A53" s="180">
        <v>57810</v>
      </c>
      <c r="B53" s="179" t="s">
        <v>47</v>
      </c>
      <c r="C53" s="174">
        <v>1000</v>
      </c>
      <c r="D53" s="179"/>
      <c r="E53" s="174" t="s">
        <v>171</v>
      </c>
      <c r="F53" s="175">
        <v>4820.4650000000001</v>
      </c>
      <c r="G53" s="176">
        <v>0</v>
      </c>
      <c r="H53" s="176">
        <v>14307</v>
      </c>
    </row>
    <row r="54" spans="1:8" s="14" customFormat="1" x14ac:dyDescent="0.2">
      <c r="A54" s="185">
        <v>57811</v>
      </c>
      <c r="B54" s="186" t="s">
        <v>88</v>
      </c>
      <c r="C54" s="232">
        <v>900</v>
      </c>
      <c r="D54" s="186"/>
      <c r="E54" s="232" t="s">
        <v>170</v>
      </c>
      <c r="F54" s="233">
        <v>4725.0563000000002</v>
      </c>
      <c r="G54" s="234">
        <v>65580</v>
      </c>
      <c r="H54" s="234">
        <v>8702</v>
      </c>
    </row>
    <row r="55" spans="1:8" s="14" customFormat="1" x14ac:dyDescent="0.2">
      <c r="A55" s="180">
        <v>57813</v>
      </c>
      <c r="B55" s="174" t="s">
        <v>48</v>
      </c>
      <c r="C55" s="174">
        <v>2500</v>
      </c>
      <c r="D55" s="179"/>
      <c r="E55" s="174" t="s">
        <v>170</v>
      </c>
      <c r="F55" s="175">
        <v>4860.24</v>
      </c>
      <c r="G55" s="176">
        <v>0</v>
      </c>
      <c r="H55" s="176">
        <v>17937</v>
      </c>
    </row>
    <row r="56" spans="1:8" s="14" customFormat="1" x14ac:dyDescent="0.2">
      <c r="A56" s="180">
        <v>57814</v>
      </c>
      <c r="B56" s="179" t="s">
        <v>89</v>
      </c>
      <c r="C56" s="174">
        <v>900</v>
      </c>
      <c r="D56" s="179"/>
      <c r="E56" s="174" t="s">
        <v>171</v>
      </c>
      <c r="F56" s="175">
        <v>5007.5780000000004</v>
      </c>
      <c r="G56" s="176">
        <v>147575</v>
      </c>
      <c r="H56" s="176">
        <v>22847</v>
      </c>
    </row>
    <row r="57" spans="1:8" s="14" customFormat="1" x14ac:dyDescent="0.2">
      <c r="A57" s="180">
        <v>57815</v>
      </c>
      <c r="B57" s="179" t="s">
        <v>90</v>
      </c>
      <c r="C57" s="174">
        <v>2500</v>
      </c>
      <c r="D57" s="179"/>
      <c r="E57" s="174" t="s">
        <v>170</v>
      </c>
      <c r="F57" s="175">
        <v>4877.8959999999997</v>
      </c>
      <c r="G57" s="176">
        <v>0</v>
      </c>
      <c r="H57" s="176">
        <v>38802</v>
      </c>
    </row>
    <row r="58" spans="1:8" s="14" customFormat="1" x14ac:dyDescent="0.2">
      <c r="A58" s="180">
        <v>57816</v>
      </c>
      <c r="B58" s="174" t="s">
        <v>270</v>
      </c>
      <c r="C58" s="174">
        <v>1860</v>
      </c>
      <c r="D58" s="179"/>
      <c r="E58" s="174" t="s">
        <v>170</v>
      </c>
      <c r="F58" s="175">
        <v>4722.277</v>
      </c>
      <c r="G58" s="176">
        <v>0</v>
      </c>
      <c r="H58" s="176">
        <v>37189</v>
      </c>
    </row>
    <row r="59" spans="1:8" s="14" customFormat="1" x14ac:dyDescent="0.2">
      <c r="A59" s="180">
        <v>57817</v>
      </c>
      <c r="B59" s="179" t="s">
        <v>91</v>
      </c>
      <c r="C59" s="174">
        <v>1075</v>
      </c>
      <c r="D59" s="179"/>
      <c r="E59" s="174" t="s">
        <v>170</v>
      </c>
      <c r="F59" s="175">
        <v>4776.9290000000001</v>
      </c>
      <c r="G59" s="176">
        <v>19793</v>
      </c>
      <c r="H59" s="176">
        <v>15277</v>
      </c>
    </row>
    <row r="60" spans="1:8" s="14" customFormat="1" x14ac:dyDescent="0.2">
      <c r="A60" s="180">
        <v>57819</v>
      </c>
      <c r="B60" s="179" t="s">
        <v>92</v>
      </c>
      <c r="C60" s="174">
        <v>200</v>
      </c>
      <c r="D60" s="179"/>
      <c r="E60" s="174" t="s">
        <v>170</v>
      </c>
      <c r="F60" s="175">
        <v>5248.4160000000002</v>
      </c>
      <c r="G60" s="176">
        <v>96198</v>
      </c>
      <c r="H60" s="176">
        <v>3056</v>
      </c>
    </row>
    <row r="61" spans="1:8" s="14" customFormat="1" x14ac:dyDescent="0.2">
      <c r="A61" s="180">
        <v>57825</v>
      </c>
      <c r="B61" s="179" t="s">
        <v>93</v>
      </c>
      <c r="C61" s="174">
        <v>2200</v>
      </c>
      <c r="D61" s="179"/>
      <c r="E61" s="174" t="s">
        <v>170</v>
      </c>
      <c r="F61" s="175">
        <v>5078.9030000000002</v>
      </c>
      <c r="G61" s="176">
        <v>381145</v>
      </c>
      <c r="H61" s="176">
        <v>30117</v>
      </c>
    </row>
    <row r="62" spans="1:8" s="14" customFormat="1" x14ac:dyDescent="0.2">
      <c r="A62" s="180">
        <v>57827</v>
      </c>
      <c r="B62" s="179" t="s">
        <v>49</v>
      </c>
      <c r="C62" s="174">
        <v>1000</v>
      </c>
      <c r="D62" s="179"/>
      <c r="E62" s="174" t="s">
        <v>170</v>
      </c>
      <c r="F62" s="175">
        <v>4845.4750000000004</v>
      </c>
      <c r="G62" s="176">
        <v>0</v>
      </c>
      <c r="H62" s="176">
        <v>9041</v>
      </c>
    </row>
    <row r="63" spans="1:8" s="14" customFormat="1" x14ac:dyDescent="0.2">
      <c r="A63" s="180">
        <v>57828</v>
      </c>
      <c r="B63" s="179" t="s">
        <v>215</v>
      </c>
      <c r="C63" s="174">
        <v>3000</v>
      </c>
      <c r="D63" s="179"/>
      <c r="E63" s="174" t="s">
        <v>171</v>
      </c>
      <c r="F63" s="175">
        <v>4864.9279999999999</v>
      </c>
      <c r="G63" s="176">
        <v>0</v>
      </c>
      <c r="H63" s="176">
        <v>52841</v>
      </c>
    </row>
    <row r="64" spans="1:8" s="14" customFormat="1" x14ac:dyDescent="0.2">
      <c r="A64" s="180">
        <v>57829</v>
      </c>
      <c r="B64" s="179" t="s">
        <v>94</v>
      </c>
      <c r="C64" s="174">
        <v>1750</v>
      </c>
      <c r="D64" s="179"/>
      <c r="E64" s="174" t="s">
        <v>170</v>
      </c>
      <c r="F64" s="175">
        <v>4852.8860000000004</v>
      </c>
      <c r="G64" s="176">
        <v>0</v>
      </c>
      <c r="H64" s="176">
        <v>31387</v>
      </c>
    </row>
    <row r="65" spans="1:8" s="14" customFormat="1" x14ac:dyDescent="0.2">
      <c r="A65" s="180">
        <v>57830</v>
      </c>
      <c r="B65" s="179" t="s">
        <v>95</v>
      </c>
      <c r="C65" s="174">
        <v>1500</v>
      </c>
      <c r="D65" s="179"/>
      <c r="E65" s="174" t="s">
        <v>170</v>
      </c>
      <c r="F65" s="175">
        <v>4840.8440000000001</v>
      </c>
      <c r="G65" s="176">
        <v>0</v>
      </c>
      <c r="H65" s="176">
        <v>27510</v>
      </c>
    </row>
    <row r="66" spans="1:8" s="14" customFormat="1" x14ac:dyDescent="0.2">
      <c r="A66" s="180">
        <v>57831</v>
      </c>
      <c r="B66" s="179" t="s">
        <v>96</v>
      </c>
      <c r="C66" s="174">
        <v>1200</v>
      </c>
      <c r="D66" s="179"/>
      <c r="E66" s="174" t="s">
        <v>170</v>
      </c>
      <c r="F66" s="175">
        <v>4917.7269999999999</v>
      </c>
      <c r="G66" s="176">
        <v>52168</v>
      </c>
      <c r="H66" s="176">
        <v>22155</v>
      </c>
    </row>
    <row r="67" spans="1:8" s="14" customFormat="1" x14ac:dyDescent="0.2">
      <c r="A67" s="180">
        <v>57832</v>
      </c>
      <c r="B67" s="179" t="s">
        <v>97</v>
      </c>
      <c r="C67" s="174">
        <v>400</v>
      </c>
      <c r="D67" s="179"/>
      <c r="E67" s="174" t="s">
        <v>170</v>
      </c>
      <c r="F67" s="175">
        <v>4813.0550000000003</v>
      </c>
      <c r="G67" s="176">
        <v>0</v>
      </c>
      <c r="H67" s="176">
        <v>6912</v>
      </c>
    </row>
    <row r="68" spans="1:8" s="14" customFormat="1" x14ac:dyDescent="0.2">
      <c r="A68" s="180">
        <v>57833</v>
      </c>
      <c r="B68" s="179" t="s">
        <v>98</v>
      </c>
      <c r="C68" s="174">
        <v>500</v>
      </c>
      <c r="D68" s="179"/>
      <c r="E68" s="174" t="s">
        <v>170</v>
      </c>
      <c r="F68" s="175">
        <v>4692.6360000000004</v>
      </c>
      <c r="G68" s="176">
        <v>0</v>
      </c>
      <c r="H68" s="176">
        <v>4430</v>
      </c>
    </row>
    <row r="69" spans="1:8" s="14" customFormat="1" x14ac:dyDescent="0.2">
      <c r="A69" s="180">
        <v>57834</v>
      </c>
      <c r="B69" s="179" t="s">
        <v>50</v>
      </c>
      <c r="C69" s="174">
        <v>1200</v>
      </c>
      <c r="D69" s="179"/>
      <c r="E69" s="174" t="s">
        <v>170</v>
      </c>
      <c r="F69" s="175">
        <v>5026.1040000000003</v>
      </c>
      <c r="G69" s="176">
        <v>83263</v>
      </c>
      <c r="H69" s="176">
        <v>11209</v>
      </c>
    </row>
    <row r="70" spans="1:8" s="14" customFormat="1" x14ac:dyDescent="0.2">
      <c r="A70" s="180">
        <v>57835</v>
      </c>
      <c r="B70" s="179" t="s">
        <v>99</v>
      </c>
      <c r="C70" s="174">
        <v>2000</v>
      </c>
      <c r="D70" s="179"/>
      <c r="E70" s="174" t="s">
        <v>171</v>
      </c>
      <c r="F70" s="175">
        <v>4690.7830000000004</v>
      </c>
      <c r="G70" s="176">
        <v>0</v>
      </c>
      <c r="H70" s="176">
        <v>19509</v>
      </c>
    </row>
    <row r="71" spans="1:8" s="14" customFormat="1" x14ac:dyDescent="0.2">
      <c r="A71" s="180">
        <v>57836</v>
      </c>
      <c r="B71" s="179" t="s">
        <v>51</v>
      </c>
      <c r="C71" s="174">
        <v>500</v>
      </c>
      <c r="D71" s="179"/>
      <c r="E71" s="174" t="s">
        <v>170</v>
      </c>
      <c r="F71" s="175">
        <v>4715.7929999999997</v>
      </c>
      <c r="G71" s="176">
        <v>0</v>
      </c>
      <c r="H71" s="176">
        <v>7894</v>
      </c>
    </row>
    <row r="72" spans="1:8" s="14" customFormat="1" x14ac:dyDescent="0.2">
      <c r="A72" s="180">
        <v>57837</v>
      </c>
      <c r="B72" s="179" t="s">
        <v>100</v>
      </c>
      <c r="C72" s="174">
        <v>1440</v>
      </c>
      <c r="D72" s="179"/>
      <c r="E72" s="174" t="s">
        <v>171</v>
      </c>
      <c r="F72" s="175">
        <v>4693.5619999999999</v>
      </c>
      <c r="G72" s="176">
        <v>15258</v>
      </c>
      <c r="H72" s="176">
        <v>7844</v>
      </c>
    </row>
    <row r="73" spans="1:8" s="14" customFormat="1" x14ac:dyDescent="0.2">
      <c r="A73" s="180">
        <v>57838</v>
      </c>
      <c r="B73" s="174" t="s">
        <v>288</v>
      </c>
      <c r="C73" s="174">
        <v>4000</v>
      </c>
      <c r="D73" s="179"/>
      <c r="E73" s="174" t="s">
        <v>170</v>
      </c>
      <c r="F73" s="175">
        <v>4765.8140000000003</v>
      </c>
      <c r="G73" s="176">
        <v>0</v>
      </c>
      <c r="H73" s="176">
        <v>27271</v>
      </c>
    </row>
    <row r="74" spans="1:8" s="14" customFormat="1" x14ac:dyDescent="0.2">
      <c r="A74" s="180">
        <v>57839</v>
      </c>
      <c r="B74" s="179" t="s">
        <v>152</v>
      </c>
      <c r="C74" s="174">
        <v>1550</v>
      </c>
      <c r="D74" s="179"/>
      <c r="E74" s="174" t="s">
        <v>171</v>
      </c>
      <c r="F74" s="175">
        <v>4604.6369999999997</v>
      </c>
      <c r="G74" s="176">
        <v>0</v>
      </c>
      <c r="H74" s="176">
        <v>12424</v>
      </c>
    </row>
    <row r="75" spans="1:8" s="14" customFormat="1" x14ac:dyDescent="0.2">
      <c r="A75" s="180">
        <v>57840</v>
      </c>
      <c r="B75" s="179" t="s">
        <v>52</v>
      </c>
      <c r="C75" s="174">
        <v>900</v>
      </c>
      <c r="D75" s="179"/>
      <c r="E75" s="174" t="s">
        <v>171</v>
      </c>
      <c r="F75" s="175">
        <v>4818.6130000000003</v>
      </c>
      <c r="G75" s="176">
        <v>11762</v>
      </c>
      <c r="H75" s="176">
        <v>9629</v>
      </c>
    </row>
    <row r="76" spans="1:8" s="14" customFormat="1" x14ac:dyDescent="0.2">
      <c r="A76" s="180">
        <v>57841</v>
      </c>
      <c r="B76" s="179" t="s">
        <v>39</v>
      </c>
      <c r="C76" s="174">
        <v>500</v>
      </c>
      <c r="D76" s="179"/>
      <c r="E76" s="174" t="s">
        <v>171</v>
      </c>
      <c r="F76" s="175">
        <v>4604.6369999999997</v>
      </c>
      <c r="G76" s="176">
        <v>0</v>
      </c>
      <c r="H76" s="176">
        <v>2890</v>
      </c>
    </row>
    <row r="77" spans="1:8" s="14" customFormat="1" x14ac:dyDescent="0.2">
      <c r="A77" s="180">
        <v>57842</v>
      </c>
      <c r="B77" s="174" t="s">
        <v>289</v>
      </c>
      <c r="C77" s="174">
        <v>4000</v>
      </c>
      <c r="D77" s="179"/>
      <c r="E77" s="174" t="s">
        <v>170</v>
      </c>
      <c r="F77" s="175">
        <v>4763.0349999999999</v>
      </c>
      <c r="G77" s="176">
        <v>0</v>
      </c>
      <c r="H77" s="176">
        <v>16098</v>
      </c>
    </row>
    <row r="78" spans="1:8" s="14" customFormat="1" x14ac:dyDescent="0.2">
      <c r="A78" s="180">
        <v>57843</v>
      </c>
      <c r="B78" s="174" t="s">
        <v>286</v>
      </c>
      <c r="C78" s="174">
        <v>2400</v>
      </c>
      <c r="D78" s="179"/>
      <c r="E78" s="174" t="s">
        <v>170</v>
      </c>
      <c r="F78" s="175">
        <v>4782.4870000000001</v>
      </c>
      <c r="G78" s="176">
        <v>0</v>
      </c>
      <c r="H78" s="176">
        <v>11829</v>
      </c>
    </row>
    <row r="79" spans="1:8" s="14" customFormat="1" x14ac:dyDescent="0.2">
      <c r="A79" s="180">
        <v>57844</v>
      </c>
      <c r="B79" s="179" t="s">
        <v>117</v>
      </c>
      <c r="C79" s="174">
        <v>1000</v>
      </c>
      <c r="D79" s="179"/>
      <c r="E79" s="174" t="s">
        <v>171</v>
      </c>
      <c r="F79" s="175">
        <v>4699.12</v>
      </c>
      <c r="G79" s="176">
        <v>34641</v>
      </c>
      <c r="H79" s="176">
        <v>0</v>
      </c>
    </row>
    <row r="80" spans="1:8" s="14" customFormat="1" x14ac:dyDescent="0.2">
      <c r="A80" s="180">
        <v>57845</v>
      </c>
      <c r="B80" s="179" t="s">
        <v>317</v>
      </c>
      <c r="C80" s="174">
        <v>540</v>
      </c>
      <c r="D80" s="179"/>
      <c r="E80" s="174" t="s">
        <v>171</v>
      </c>
      <c r="F80" s="175">
        <v>4604.6369999999997</v>
      </c>
      <c r="G80" s="176">
        <v>0</v>
      </c>
      <c r="H80" s="176">
        <v>0</v>
      </c>
    </row>
    <row r="81" spans="1:8" s="14" customFormat="1" x14ac:dyDescent="0.2">
      <c r="A81" s="180">
        <v>57846</v>
      </c>
      <c r="B81" s="179" t="s">
        <v>318</v>
      </c>
      <c r="C81" s="174">
        <v>2600</v>
      </c>
      <c r="D81" s="179"/>
      <c r="E81" s="174" t="s">
        <v>171</v>
      </c>
      <c r="F81" s="175">
        <v>4604.6369999999997</v>
      </c>
      <c r="G81" s="176">
        <v>0</v>
      </c>
      <c r="H81" s="176">
        <v>0</v>
      </c>
    </row>
    <row r="82" spans="1:8" s="14" customFormat="1" x14ac:dyDescent="0.2">
      <c r="A82" s="177">
        <v>57847</v>
      </c>
      <c r="B82" s="178" t="s">
        <v>348</v>
      </c>
      <c r="C82" s="174">
        <v>1040</v>
      </c>
      <c r="D82" s="179"/>
      <c r="E82" s="174" t="s">
        <v>171</v>
      </c>
      <c r="F82" s="175">
        <v>4604.6369999999997</v>
      </c>
      <c r="G82" s="176">
        <v>0</v>
      </c>
      <c r="H82" s="176">
        <v>0</v>
      </c>
    </row>
    <row r="83" spans="1:8" s="14" customFormat="1" x14ac:dyDescent="0.2">
      <c r="A83" s="177">
        <v>57848</v>
      </c>
      <c r="B83" s="178" t="s">
        <v>349</v>
      </c>
      <c r="C83" s="174">
        <v>6192</v>
      </c>
      <c r="D83" s="179"/>
      <c r="E83" s="174" t="s">
        <v>171</v>
      </c>
      <c r="F83" s="175">
        <v>4604.6369999999997</v>
      </c>
      <c r="G83" s="176">
        <v>0</v>
      </c>
      <c r="H83" s="176">
        <v>0</v>
      </c>
    </row>
    <row r="84" spans="1:8" s="14" customFormat="1" x14ac:dyDescent="0.2">
      <c r="A84" s="180">
        <v>61802</v>
      </c>
      <c r="B84" s="174" t="s">
        <v>284</v>
      </c>
      <c r="C84" s="174">
        <v>1200</v>
      </c>
      <c r="D84" s="179"/>
      <c r="E84" s="174" t="s">
        <v>170</v>
      </c>
      <c r="F84" s="175">
        <v>4894.5690000000004</v>
      </c>
      <c r="G84" s="176">
        <v>63454</v>
      </c>
      <c r="H84" s="176">
        <v>23597</v>
      </c>
    </row>
    <row r="85" spans="1:8" s="14" customFormat="1" x14ac:dyDescent="0.2">
      <c r="A85" s="180">
        <v>61804</v>
      </c>
      <c r="B85" s="179" t="s">
        <v>254</v>
      </c>
      <c r="C85" s="174">
        <v>650</v>
      </c>
      <c r="D85" s="179"/>
      <c r="E85" s="174" t="s">
        <v>171</v>
      </c>
      <c r="F85" s="175">
        <v>4604.6369999999997</v>
      </c>
      <c r="G85" s="176">
        <v>0</v>
      </c>
      <c r="H85" s="176">
        <v>0</v>
      </c>
    </row>
    <row r="86" spans="1:8" s="14" customFormat="1" x14ac:dyDescent="0.2">
      <c r="A86" s="180">
        <v>68801</v>
      </c>
      <c r="B86" s="179" t="s">
        <v>159</v>
      </c>
      <c r="C86" s="174">
        <v>1500</v>
      </c>
      <c r="D86" s="179"/>
      <c r="E86" s="174" t="s">
        <v>171</v>
      </c>
      <c r="F86" s="175">
        <v>4835.2860000000001</v>
      </c>
      <c r="G86" s="176">
        <v>0</v>
      </c>
      <c r="H86" s="176">
        <v>15903</v>
      </c>
    </row>
    <row r="87" spans="1:8" s="14" customFormat="1" x14ac:dyDescent="0.2">
      <c r="A87" s="180">
        <v>68802</v>
      </c>
      <c r="B87" s="179" t="s">
        <v>255</v>
      </c>
      <c r="C87" s="174">
        <v>764</v>
      </c>
      <c r="D87" s="179"/>
      <c r="E87" s="174" t="s">
        <v>171</v>
      </c>
      <c r="F87" s="175">
        <v>4604.6369999999997</v>
      </c>
      <c r="G87" s="176">
        <v>0</v>
      </c>
      <c r="H87" s="176">
        <v>0</v>
      </c>
    </row>
    <row r="88" spans="1:8" s="14" customFormat="1" x14ac:dyDescent="0.2">
      <c r="A88" s="180">
        <v>70801</v>
      </c>
      <c r="B88" s="179" t="s">
        <v>101</v>
      </c>
      <c r="C88" s="174">
        <v>1500</v>
      </c>
      <c r="D88" s="179"/>
      <c r="E88" s="174" t="s">
        <v>170</v>
      </c>
      <c r="F88" s="175">
        <v>4771.3710000000001</v>
      </c>
      <c r="G88" s="176">
        <v>0</v>
      </c>
      <c r="H88" s="176">
        <v>7938</v>
      </c>
    </row>
    <row r="89" spans="1:8" s="14" customFormat="1" x14ac:dyDescent="0.2">
      <c r="A89" s="180">
        <v>71801</v>
      </c>
      <c r="B89" s="179" t="s">
        <v>216</v>
      </c>
      <c r="C89" s="174">
        <v>1300</v>
      </c>
      <c r="D89" s="179"/>
      <c r="E89" s="174" t="s">
        <v>170</v>
      </c>
      <c r="F89" s="175">
        <v>4661.1419999999998</v>
      </c>
      <c r="G89" s="176">
        <v>0</v>
      </c>
      <c r="H89" s="176">
        <v>19953</v>
      </c>
    </row>
    <row r="90" spans="1:8" s="14" customFormat="1" x14ac:dyDescent="0.2">
      <c r="A90" s="180">
        <v>71803</v>
      </c>
      <c r="B90" s="179" t="s">
        <v>53</v>
      </c>
      <c r="C90" s="174">
        <v>800</v>
      </c>
      <c r="D90" s="179"/>
      <c r="E90" s="174" t="s">
        <v>170</v>
      </c>
      <c r="F90" s="175">
        <v>4736.1719999999996</v>
      </c>
      <c r="G90" s="176">
        <v>0</v>
      </c>
      <c r="H90" s="176">
        <v>7493</v>
      </c>
    </row>
    <row r="91" spans="1:8" s="14" customFormat="1" x14ac:dyDescent="0.2">
      <c r="A91" s="180">
        <v>71804</v>
      </c>
      <c r="B91" s="179" t="s">
        <v>54</v>
      </c>
      <c r="C91" s="174">
        <v>500</v>
      </c>
      <c r="D91" s="179"/>
      <c r="E91" s="174" t="s">
        <v>170</v>
      </c>
      <c r="F91" s="175">
        <v>4776.9290000000001</v>
      </c>
      <c r="G91" s="176">
        <v>0</v>
      </c>
      <c r="H91" s="176">
        <v>14655</v>
      </c>
    </row>
    <row r="92" spans="1:8" s="14" customFormat="1" x14ac:dyDescent="0.2">
      <c r="A92" s="180">
        <v>71806</v>
      </c>
      <c r="B92" s="179" t="s">
        <v>55</v>
      </c>
      <c r="C92" s="174">
        <v>3600</v>
      </c>
      <c r="D92" s="179"/>
      <c r="E92" s="174" t="s">
        <v>170</v>
      </c>
      <c r="F92" s="175">
        <v>4725.0559999999996</v>
      </c>
      <c r="G92" s="176">
        <v>0</v>
      </c>
      <c r="H92" s="176">
        <v>19021</v>
      </c>
    </row>
    <row r="93" spans="1:8" s="14" customFormat="1" x14ac:dyDescent="0.2">
      <c r="A93" s="180">
        <v>71807</v>
      </c>
      <c r="B93" s="179" t="s">
        <v>164</v>
      </c>
      <c r="C93" s="174">
        <v>672</v>
      </c>
      <c r="D93" s="179"/>
      <c r="E93" s="174" t="s">
        <v>171</v>
      </c>
      <c r="F93" s="175">
        <v>4604.6369999999997</v>
      </c>
      <c r="G93" s="176">
        <v>0</v>
      </c>
      <c r="H93" s="176">
        <v>3806</v>
      </c>
    </row>
    <row r="94" spans="1:8" s="14" customFormat="1" x14ac:dyDescent="0.2">
      <c r="A94" s="180">
        <v>71809</v>
      </c>
      <c r="B94" s="179" t="s">
        <v>0</v>
      </c>
      <c r="C94" s="174">
        <v>1240</v>
      </c>
      <c r="D94" s="179"/>
      <c r="E94" s="174" t="s">
        <v>170</v>
      </c>
      <c r="F94" s="175">
        <v>4604.6369999999997</v>
      </c>
      <c r="G94" s="176">
        <v>0</v>
      </c>
      <c r="H94" s="176">
        <v>0</v>
      </c>
    </row>
    <row r="95" spans="1:8" s="14" customFormat="1" x14ac:dyDescent="0.2">
      <c r="A95" s="180">
        <v>72801</v>
      </c>
      <c r="B95" s="174" t="s">
        <v>279</v>
      </c>
      <c r="C95" s="174">
        <v>10000</v>
      </c>
      <c r="D95" s="179"/>
      <c r="E95" s="174" t="s">
        <v>170</v>
      </c>
      <c r="F95" s="175">
        <v>4767.6660000000002</v>
      </c>
      <c r="G95" s="176">
        <v>0</v>
      </c>
      <c r="H95" s="176">
        <v>8036</v>
      </c>
    </row>
    <row r="96" spans="1:8" s="14" customFormat="1" x14ac:dyDescent="0.2">
      <c r="A96" s="180">
        <v>72802</v>
      </c>
      <c r="B96" s="179" t="s">
        <v>56</v>
      </c>
      <c r="C96" s="174">
        <v>600</v>
      </c>
      <c r="D96" s="179"/>
      <c r="E96" s="174" t="s">
        <v>170</v>
      </c>
      <c r="F96" s="175">
        <v>4797.308</v>
      </c>
      <c r="G96" s="176">
        <v>0</v>
      </c>
      <c r="H96" s="176">
        <v>6316</v>
      </c>
    </row>
    <row r="97" spans="1:8" s="14" customFormat="1" x14ac:dyDescent="0.2">
      <c r="A97" s="180">
        <v>84801</v>
      </c>
      <c r="B97" s="179" t="s">
        <v>102</v>
      </c>
      <c r="C97" s="174">
        <v>700</v>
      </c>
      <c r="D97" s="179"/>
      <c r="E97" s="174" t="s">
        <v>171</v>
      </c>
      <c r="F97" s="175">
        <v>4827.8760000000002</v>
      </c>
      <c r="G97" s="176">
        <v>0</v>
      </c>
      <c r="H97" s="176">
        <v>14642</v>
      </c>
    </row>
    <row r="98" spans="1:8" s="14" customFormat="1" x14ac:dyDescent="0.2">
      <c r="A98" s="180">
        <v>84802</v>
      </c>
      <c r="B98" s="179" t="s">
        <v>57</v>
      </c>
      <c r="C98" s="174">
        <v>2000</v>
      </c>
      <c r="D98" s="179"/>
      <c r="E98" s="174" t="s">
        <v>170</v>
      </c>
      <c r="F98" s="175">
        <v>4924.2110000000002</v>
      </c>
      <c r="G98" s="176">
        <v>0</v>
      </c>
      <c r="H98" s="176">
        <v>11477</v>
      </c>
    </row>
    <row r="99" spans="1:8" s="14" customFormat="1" x14ac:dyDescent="0.2">
      <c r="A99" s="180">
        <v>84804</v>
      </c>
      <c r="B99" s="179" t="s">
        <v>165</v>
      </c>
      <c r="C99" s="174">
        <v>600</v>
      </c>
      <c r="D99" s="179"/>
      <c r="E99" s="174" t="s">
        <v>171</v>
      </c>
      <c r="F99" s="175">
        <v>4604.6369999999997</v>
      </c>
      <c r="G99" s="176">
        <v>0</v>
      </c>
      <c r="H99" s="176">
        <v>4559</v>
      </c>
    </row>
    <row r="100" spans="1:8" s="14" customFormat="1" x14ac:dyDescent="0.2">
      <c r="A100" s="180">
        <v>84805</v>
      </c>
      <c r="B100" s="179" t="s">
        <v>256</v>
      </c>
      <c r="C100" s="174">
        <v>700</v>
      </c>
      <c r="D100" s="179"/>
      <c r="E100" s="174" t="s">
        <v>171</v>
      </c>
      <c r="F100" s="175">
        <v>4604.6369999999997</v>
      </c>
      <c r="G100" s="176">
        <v>0</v>
      </c>
      <c r="H100" s="176">
        <v>0</v>
      </c>
    </row>
    <row r="101" spans="1:8" s="14" customFormat="1" x14ac:dyDescent="0.2">
      <c r="A101" s="180">
        <v>92801</v>
      </c>
      <c r="B101" s="179" t="s">
        <v>58</v>
      </c>
      <c r="C101" s="174">
        <v>500</v>
      </c>
      <c r="D101" s="179"/>
      <c r="E101" s="174" t="s">
        <v>170</v>
      </c>
      <c r="F101" s="175">
        <v>4838.991</v>
      </c>
      <c r="G101" s="176">
        <v>0</v>
      </c>
      <c r="H101" s="176">
        <v>4981</v>
      </c>
    </row>
    <row r="102" spans="1:8" s="14" customFormat="1" x14ac:dyDescent="0.2">
      <c r="A102" s="180">
        <v>101801</v>
      </c>
      <c r="B102" s="179" t="s">
        <v>103</v>
      </c>
      <c r="C102" s="174">
        <v>620</v>
      </c>
      <c r="D102" s="179"/>
      <c r="E102" s="174" t="s">
        <v>171</v>
      </c>
      <c r="F102" s="175">
        <v>4627.7950000000001</v>
      </c>
      <c r="G102" s="176">
        <v>0</v>
      </c>
      <c r="H102" s="176">
        <v>6867</v>
      </c>
    </row>
    <row r="103" spans="1:8" s="14" customFormat="1" x14ac:dyDescent="0.2">
      <c r="A103" s="180">
        <v>101802</v>
      </c>
      <c r="B103" s="179" t="s">
        <v>104</v>
      </c>
      <c r="C103" s="174">
        <v>1500</v>
      </c>
      <c r="D103" s="179"/>
      <c r="E103" s="174" t="s">
        <v>171</v>
      </c>
      <c r="F103" s="175">
        <v>4767.6660000000002</v>
      </c>
      <c r="G103" s="176">
        <v>0</v>
      </c>
      <c r="H103" s="176">
        <v>19678</v>
      </c>
    </row>
    <row r="104" spans="1:8" s="14" customFormat="1" x14ac:dyDescent="0.2">
      <c r="A104" s="180">
        <v>101803</v>
      </c>
      <c r="B104" s="174" t="s">
        <v>271</v>
      </c>
      <c r="C104" s="174">
        <v>440</v>
      </c>
      <c r="D104" s="179"/>
      <c r="E104" s="174" t="s">
        <v>170</v>
      </c>
      <c r="F104" s="175">
        <v>4706.53</v>
      </c>
      <c r="G104" s="176">
        <v>0</v>
      </c>
      <c r="H104" s="176">
        <v>8781</v>
      </c>
    </row>
    <row r="105" spans="1:8" s="14" customFormat="1" x14ac:dyDescent="0.2">
      <c r="A105" s="180">
        <v>101804</v>
      </c>
      <c r="B105" s="179" t="s">
        <v>24</v>
      </c>
      <c r="C105" s="174">
        <v>1450</v>
      </c>
      <c r="D105" s="179"/>
      <c r="E105" s="174" t="s">
        <v>171</v>
      </c>
      <c r="F105" s="175">
        <v>4891.79</v>
      </c>
      <c r="G105" s="176">
        <v>18469</v>
      </c>
      <c r="H105" s="176">
        <v>20194</v>
      </c>
    </row>
    <row r="106" spans="1:8" s="14" customFormat="1" x14ac:dyDescent="0.2">
      <c r="A106" s="180">
        <v>101805</v>
      </c>
      <c r="B106" s="174" t="s">
        <v>274</v>
      </c>
      <c r="C106" s="174">
        <v>1500</v>
      </c>
      <c r="D106" s="179"/>
      <c r="E106" s="174" t="s">
        <v>170</v>
      </c>
      <c r="F106" s="175">
        <v>4820.4650000000001</v>
      </c>
      <c r="G106" s="176">
        <v>0</v>
      </c>
      <c r="H106" s="176">
        <v>24521</v>
      </c>
    </row>
    <row r="107" spans="1:8" s="14" customFormat="1" x14ac:dyDescent="0.2">
      <c r="A107" s="180">
        <v>101806</v>
      </c>
      <c r="B107" s="179" t="s">
        <v>107</v>
      </c>
      <c r="C107" s="174">
        <v>1330</v>
      </c>
      <c r="D107" s="179"/>
      <c r="E107" s="174" t="s">
        <v>170</v>
      </c>
      <c r="F107" s="175">
        <v>4772.2979999999998</v>
      </c>
      <c r="G107" s="176">
        <v>48529</v>
      </c>
      <c r="H107" s="176">
        <v>31473</v>
      </c>
    </row>
    <row r="108" spans="1:8" s="14" customFormat="1" ht="15" x14ac:dyDescent="0.25">
      <c r="A108" s="185">
        <v>101807</v>
      </c>
      <c r="B108" s="187" t="s">
        <v>25</v>
      </c>
      <c r="C108" s="174">
        <v>138</v>
      </c>
      <c r="D108" s="179"/>
      <c r="E108" s="174" t="s">
        <v>171</v>
      </c>
      <c r="F108" s="175">
        <v>4822.3180000000002</v>
      </c>
      <c r="G108" s="176">
        <v>0</v>
      </c>
      <c r="H108" s="176">
        <v>3816</v>
      </c>
    </row>
    <row r="109" spans="1:8" s="14" customFormat="1" x14ac:dyDescent="0.2">
      <c r="A109" s="180">
        <v>101809</v>
      </c>
      <c r="B109" s="179" t="s">
        <v>108</v>
      </c>
      <c r="C109" s="174">
        <v>1000</v>
      </c>
      <c r="D109" s="179"/>
      <c r="E109" s="174" t="s">
        <v>170</v>
      </c>
      <c r="F109" s="175">
        <v>4826.9489999999996</v>
      </c>
      <c r="G109" s="176">
        <v>0</v>
      </c>
      <c r="H109" s="176">
        <v>9165</v>
      </c>
    </row>
    <row r="110" spans="1:8" s="14" customFormat="1" x14ac:dyDescent="0.2">
      <c r="A110" s="180">
        <v>101810</v>
      </c>
      <c r="B110" s="179" t="s">
        <v>109</v>
      </c>
      <c r="C110" s="174">
        <v>750</v>
      </c>
      <c r="D110" s="179"/>
      <c r="E110" s="174" t="s">
        <v>170</v>
      </c>
      <c r="F110" s="175">
        <v>4791.75</v>
      </c>
      <c r="G110" s="176">
        <v>0</v>
      </c>
      <c r="H110" s="176">
        <v>15800</v>
      </c>
    </row>
    <row r="111" spans="1:8" s="14" customFormat="1" x14ac:dyDescent="0.2">
      <c r="A111" s="180">
        <v>101811</v>
      </c>
      <c r="B111" s="179" t="s">
        <v>110</v>
      </c>
      <c r="C111" s="174">
        <v>1000</v>
      </c>
      <c r="D111" s="182"/>
      <c r="E111" s="174" t="s">
        <v>171</v>
      </c>
      <c r="F111" s="175">
        <v>4743.5820000000003</v>
      </c>
      <c r="G111" s="176">
        <v>0</v>
      </c>
      <c r="H111" s="176">
        <v>26765</v>
      </c>
    </row>
    <row r="112" spans="1:8" s="14" customFormat="1" x14ac:dyDescent="0.2">
      <c r="A112" s="180">
        <v>101813</v>
      </c>
      <c r="B112" s="179" t="s">
        <v>111</v>
      </c>
      <c r="C112" s="174">
        <v>17900</v>
      </c>
      <c r="D112" s="179"/>
      <c r="E112" s="174" t="s">
        <v>171</v>
      </c>
      <c r="F112" s="175">
        <v>4758.9970000000003</v>
      </c>
      <c r="G112" s="176">
        <v>359292</v>
      </c>
      <c r="H112" s="176">
        <v>91829</v>
      </c>
    </row>
    <row r="113" spans="1:8" s="14" customFormat="1" x14ac:dyDescent="0.2">
      <c r="A113" s="180">
        <v>101814</v>
      </c>
      <c r="B113" s="179" t="s">
        <v>112</v>
      </c>
      <c r="C113" s="174">
        <v>2500</v>
      </c>
      <c r="D113" s="179"/>
      <c r="E113" s="174" t="s">
        <v>170</v>
      </c>
      <c r="F113" s="175">
        <v>4730.6139999999996</v>
      </c>
      <c r="G113" s="176">
        <v>119565</v>
      </c>
      <c r="H113" s="176">
        <v>43740</v>
      </c>
    </row>
    <row r="114" spans="1:8" s="14" customFormat="1" x14ac:dyDescent="0.2">
      <c r="A114" s="180">
        <v>101815</v>
      </c>
      <c r="B114" s="179" t="s">
        <v>113</v>
      </c>
      <c r="C114" s="174">
        <v>350</v>
      </c>
      <c r="D114" s="179"/>
      <c r="E114" s="174" t="s">
        <v>170</v>
      </c>
      <c r="F114" s="175">
        <v>4608.3429999999998</v>
      </c>
      <c r="G114" s="176">
        <v>0</v>
      </c>
      <c r="H114" s="176">
        <v>6218</v>
      </c>
    </row>
    <row r="115" spans="1:8" s="14" customFormat="1" x14ac:dyDescent="0.2">
      <c r="A115" s="180">
        <v>101819</v>
      </c>
      <c r="B115" s="179" t="s">
        <v>26</v>
      </c>
      <c r="C115" s="174">
        <v>1500</v>
      </c>
      <c r="D115" s="179"/>
      <c r="E115" s="174" t="s">
        <v>171</v>
      </c>
      <c r="F115" s="175">
        <v>4748.2139999999999</v>
      </c>
      <c r="G115" s="176">
        <v>0</v>
      </c>
      <c r="H115" s="176">
        <v>15602</v>
      </c>
    </row>
    <row r="116" spans="1:8" s="55" customFormat="1" x14ac:dyDescent="0.2">
      <c r="A116" s="180">
        <v>101821</v>
      </c>
      <c r="B116" s="179" t="s">
        <v>27</v>
      </c>
      <c r="C116" s="174">
        <v>450</v>
      </c>
      <c r="D116" s="179"/>
      <c r="E116" s="174" t="s">
        <v>171</v>
      </c>
      <c r="F116" s="175">
        <v>4824.17</v>
      </c>
      <c r="G116" s="176">
        <v>0</v>
      </c>
      <c r="H116" s="176">
        <v>7250</v>
      </c>
    </row>
    <row r="117" spans="1:8" s="14" customFormat="1" x14ac:dyDescent="0.2">
      <c r="A117" s="180">
        <v>101822</v>
      </c>
      <c r="B117" s="179" t="s">
        <v>115</v>
      </c>
      <c r="C117" s="174">
        <v>400</v>
      </c>
      <c r="D117" s="179"/>
      <c r="E117" s="174" t="s">
        <v>170</v>
      </c>
      <c r="F117" s="175">
        <v>4836.2120000000004</v>
      </c>
      <c r="G117" s="176">
        <v>43613</v>
      </c>
      <c r="H117" s="176">
        <v>5682</v>
      </c>
    </row>
    <row r="118" spans="1:8" s="14" customFormat="1" x14ac:dyDescent="0.2">
      <c r="A118" s="180">
        <v>101828</v>
      </c>
      <c r="B118" s="179" t="s">
        <v>28</v>
      </c>
      <c r="C118" s="174">
        <v>2400</v>
      </c>
      <c r="D118" s="179"/>
      <c r="E118" s="174" t="s">
        <v>171</v>
      </c>
      <c r="F118" s="175">
        <v>4763.9610000000002</v>
      </c>
      <c r="G118" s="176">
        <v>0</v>
      </c>
      <c r="H118" s="176">
        <v>24455</v>
      </c>
    </row>
    <row r="119" spans="1:8" s="14" customFormat="1" x14ac:dyDescent="0.2">
      <c r="A119" s="180">
        <v>101829</v>
      </c>
      <c r="B119" s="179" t="s">
        <v>59</v>
      </c>
      <c r="C119" s="174">
        <v>400</v>
      </c>
      <c r="D119" s="179"/>
      <c r="E119" s="174" t="s">
        <v>170</v>
      </c>
      <c r="F119" s="175">
        <v>4789.8969999999999</v>
      </c>
      <c r="G119" s="176">
        <v>0</v>
      </c>
      <c r="H119" s="176">
        <v>3557</v>
      </c>
    </row>
    <row r="120" spans="1:8" s="14" customFormat="1" x14ac:dyDescent="0.2">
      <c r="A120" s="180">
        <v>101833</v>
      </c>
      <c r="B120" s="179" t="s">
        <v>60</v>
      </c>
      <c r="C120" s="174">
        <v>600</v>
      </c>
      <c r="D120" s="179"/>
      <c r="E120" s="174" t="s">
        <v>170</v>
      </c>
      <c r="F120" s="175">
        <v>4723.2039999999997</v>
      </c>
      <c r="G120" s="176">
        <v>0</v>
      </c>
      <c r="H120" s="176">
        <v>6104</v>
      </c>
    </row>
    <row r="121" spans="1:8" s="14" customFormat="1" x14ac:dyDescent="0.2">
      <c r="A121" s="180">
        <v>101837</v>
      </c>
      <c r="B121" s="179" t="s">
        <v>32</v>
      </c>
      <c r="C121" s="174">
        <v>750</v>
      </c>
      <c r="D121" s="179"/>
      <c r="E121" s="174" t="s">
        <v>170</v>
      </c>
      <c r="F121" s="175">
        <v>4851.9589999999998</v>
      </c>
      <c r="G121" s="176">
        <v>31476</v>
      </c>
      <c r="H121" s="176">
        <v>9088</v>
      </c>
    </row>
    <row r="122" spans="1:8" s="14" customFormat="1" x14ac:dyDescent="0.2">
      <c r="A122" s="180">
        <v>101838</v>
      </c>
      <c r="B122" s="179" t="s">
        <v>33</v>
      </c>
      <c r="C122" s="174">
        <v>4250</v>
      </c>
      <c r="D122" s="179"/>
      <c r="E122" s="174" t="s">
        <v>171</v>
      </c>
      <c r="F122" s="175">
        <v>4786.192</v>
      </c>
      <c r="G122" s="176">
        <v>0</v>
      </c>
      <c r="H122" s="176">
        <v>32090</v>
      </c>
    </row>
    <row r="123" spans="1:8" s="14" customFormat="1" x14ac:dyDescent="0.2">
      <c r="A123" s="180">
        <v>101840</v>
      </c>
      <c r="B123" s="179" t="s">
        <v>61</v>
      </c>
      <c r="C123" s="174">
        <v>700</v>
      </c>
      <c r="D123" s="179"/>
      <c r="E123" s="174" t="s">
        <v>170</v>
      </c>
      <c r="F123" s="175">
        <v>4604.6369999999997</v>
      </c>
      <c r="G123" s="176">
        <v>0</v>
      </c>
      <c r="H123" s="176">
        <v>12974</v>
      </c>
    </row>
    <row r="124" spans="1:8" s="14" customFormat="1" x14ac:dyDescent="0.2">
      <c r="A124" s="180">
        <v>101842</v>
      </c>
      <c r="B124" s="179" t="s">
        <v>62</v>
      </c>
      <c r="C124" s="174">
        <v>700</v>
      </c>
      <c r="D124" s="179"/>
      <c r="E124" s="174" t="s">
        <v>170</v>
      </c>
      <c r="F124" s="175">
        <v>4914.0219999999999</v>
      </c>
      <c r="G124" s="176">
        <v>0</v>
      </c>
      <c r="H124" s="176">
        <v>2818</v>
      </c>
    </row>
    <row r="125" spans="1:8" s="14" customFormat="1" x14ac:dyDescent="0.2">
      <c r="A125" s="180">
        <v>101845</v>
      </c>
      <c r="B125" s="174" t="s">
        <v>291</v>
      </c>
      <c r="C125" s="174">
        <v>10000</v>
      </c>
      <c r="D125" s="179"/>
      <c r="E125" s="174" t="s">
        <v>170</v>
      </c>
      <c r="F125" s="175">
        <v>4903.8320000000003</v>
      </c>
      <c r="G125" s="176">
        <v>466563</v>
      </c>
      <c r="H125" s="176">
        <v>84870</v>
      </c>
    </row>
    <row r="126" spans="1:8" s="14" customFormat="1" x14ac:dyDescent="0.2">
      <c r="A126" s="180">
        <v>101846</v>
      </c>
      <c r="B126" s="174" t="s">
        <v>64</v>
      </c>
      <c r="C126" s="174">
        <v>7000</v>
      </c>
      <c r="D126" s="179"/>
      <c r="E126" s="174" t="s">
        <v>170</v>
      </c>
      <c r="F126" s="175">
        <v>4773.18</v>
      </c>
      <c r="G126" s="176">
        <v>0</v>
      </c>
      <c r="H126" s="176">
        <v>46024</v>
      </c>
    </row>
    <row r="127" spans="1:8" s="55" customFormat="1" x14ac:dyDescent="0.2">
      <c r="A127" s="180">
        <v>101847</v>
      </c>
      <c r="B127" s="179" t="s">
        <v>65</v>
      </c>
      <c r="C127" s="174">
        <v>650</v>
      </c>
      <c r="D127" s="179"/>
      <c r="E127" s="174" t="s">
        <v>170</v>
      </c>
      <c r="F127" s="175">
        <v>4687.0780000000004</v>
      </c>
      <c r="G127" s="176">
        <v>0</v>
      </c>
      <c r="H127" s="176">
        <v>12838</v>
      </c>
    </row>
    <row r="128" spans="1:8" s="14" customFormat="1" x14ac:dyDescent="0.2">
      <c r="A128" s="180">
        <v>101848</v>
      </c>
      <c r="B128" s="179" t="s">
        <v>66</v>
      </c>
      <c r="C128" s="174">
        <v>500</v>
      </c>
      <c r="D128" s="179"/>
      <c r="E128" s="174" t="s">
        <v>170</v>
      </c>
      <c r="F128" s="175">
        <v>4893.643</v>
      </c>
      <c r="G128" s="176">
        <v>39619</v>
      </c>
      <c r="H128" s="176">
        <v>12500</v>
      </c>
    </row>
    <row r="129" spans="1:8" s="14" customFormat="1" x14ac:dyDescent="0.2">
      <c r="A129" s="180">
        <v>101849</v>
      </c>
      <c r="B129" s="179" t="s">
        <v>34</v>
      </c>
      <c r="C129" s="174">
        <v>1300</v>
      </c>
      <c r="D129" s="179"/>
      <c r="E129" s="174" t="s">
        <v>170</v>
      </c>
      <c r="F129" s="175">
        <v>4765.8140000000003</v>
      </c>
      <c r="G129" s="176">
        <v>26516</v>
      </c>
      <c r="H129" s="176">
        <v>17296</v>
      </c>
    </row>
    <row r="130" spans="1:8" s="14" customFormat="1" x14ac:dyDescent="0.2">
      <c r="A130" s="180">
        <v>101850</v>
      </c>
      <c r="B130" s="179" t="s">
        <v>35</v>
      </c>
      <c r="C130" s="174">
        <v>1000</v>
      </c>
      <c r="D130" s="179"/>
      <c r="E130" s="174" t="s">
        <v>170</v>
      </c>
      <c r="F130" s="175">
        <v>4806.5709999999999</v>
      </c>
      <c r="G130" s="176">
        <v>64608</v>
      </c>
      <c r="H130" s="176">
        <v>15295</v>
      </c>
    </row>
    <row r="131" spans="1:8" s="14" customFormat="1" x14ac:dyDescent="0.2">
      <c r="A131" s="180">
        <v>101853</v>
      </c>
      <c r="B131" s="174" t="s">
        <v>280</v>
      </c>
      <c r="C131" s="174">
        <v>2500</v>
      </c>
      <c r="D131" s="179"/>
      <c r="E131" s="174" t="s">
        <v>171</v>
      </c>
      <c r="F131" s="175">
        <v>4694.4880000000003</v>
      </c>
      <c r="G131" s="176">
        <v>0</v>
      </c>
      <c r="H131" s="176">
        <v>32243</v>
      </c>
    </row>
    <row r="132" spans="1:8" s="14" customFormat="1" x14ac:dyDescent="0.2">
      <c r="A132" s="180">
        <v>101855</v>
      </c>
      <c r="B132" s="179" t="s">
        <v>13</v>
      </c>
      <c r="C132" s="174">
        <v>500</v>
      </c>
      <c r="D132" s="179"/>
      <c r="E132" s="174" t="s">
        <v>171</v>
      </c>
      <c r="F132" s="175">
        <v>4734.3190000000004</v>
      </c>
      <c r="G132" s="176">
        <v>11565</v>
      </c>
      <c r="H132" s="176">
        <v>5112</v>
      </c>
    </row>
    <row r="133" spans="1:8" s="72" customFormat="1" x14ac:dyDescent="0.2">
      <c r="A133" s="180">
        <v>101856</v>
      </c>
      <c r="B133" s="179" t="s">
        <v>67</v>
      </c>
      <c r="C133" s="174">
        <v>500</v>
      </c>
      <c r="D133" s="179"/>
      <c r="E133" s="174" t="s">
        <v>171</v>
      </c>
      <c r="F133" s="175">
        <v>4671.3310000000001</v>
      </c>
      <c r="G133" s="176">
        <v>0</v>
      </c>
      <c r="H133" s="176">
        <v>9296</v>
      </c>
    </row>
    <row r="134" spans="1:8" s="14" customFormat="1" x14ac:dyDescent="0.2">
      <c r="A134" s="180">
        <v>101858</v>
      </c>
      <c r="B134" s="174" t="s">
        <v>153</v>
      </c>
      <c r="C134" s="174">
        <v>7000</v>
      </c>
      <c r="D134" s="179"/>
      <c r="E134" s="174" t="s">
        <v>170</v>
      </c>
      <c r="F134" s="175">
        <v>4743.5820000000003</v>
      </c>
      <c r="G134" s="176">
        <v>0</v>
      </c>
      <c r="H134" s="176">
        <v>18083</v>
      </c>
    </row>
    <row r="135" spans="1:8" s="14" customFormat="1" x14ac:dyDescent="0.2">
      <c r="A135" s="180">
        <v>101859</v>
      </c>
      <c r="B135" s="179" t="s">
        <v>14</v>
      </c>
      <c r="C135" s="174">
        <v>440</v>
      </c>
      <c r="D135" s="179"/>
      <c r="E135" s="174" t="s">
        <v>171</v>
      </c>
      <c r="F135" s="175">
        <v>4604.6369999999997</v>
      </c>
      <c r="G135" s="176">
        <v>0</v>
      </c>
      <c r="H135" s="176">
        <v>6412</v>
      </c>
    </row>
    <row r="136" spans="1:8" s="14" customFormat="1" x14ac:dyDescent="0.2">
      <c r="A136" s="180">
        <v>101861</v>
      </c>
      <c r="B136" s="179" t="s">
        <v>169</v>
      </c>
      <c r="C136" s="174">
        <v>750</v>
      </c>
      <c r="D136" s="179"/>
      <c r="E136" s="174" t="s">
        <v>171</v>
      </c>
      <c r="F136" s="175">
        <v>4604.6369999999997</v>
      </c>
      <c r="G136" s="176">
        <v>0</v>
      </c>
      <c r="H136" s="176">
        <v>4393</v>
      </c>
    </row>
    <row r="137" spans="1:8" s="14" customFormat="1" x14ac:dyDescent="0.2">
      <c r="A137" s="180">
        <v>101862</v>
      </c>
      <c r="B137" s="179" t="s">
        <v>40</v>
      </c>
      <c r="C137" s="174">
        <v>1500</v>
      </c>
      <c r="D137" s="179"/>
      <c r="E137" s="174" t="s">
        <v>170</v>
      </c>
      <c r="F137" s="175">
        <v>4725.0559999999996</v>
      </c>
      <c r="G137" s="176">
        <v>0</v>
      </c>
      <c r="H137" s="176">
        <v>10856</v>
      </c>
    </row>
    <row r="138" spans="1:8" s="14" customFormat="1" x14ac:dyDescent="0.2">
      <c r="A138" s="180">
        <v>101863</v>
      </c>
      <c r="B138" s="179" t="s">
        <v>2</v>
      </c>
      <c r="C138" s="174">
        <v>425</v>
      </c>
      <c r="D138" s="179"/>
      <c r="E138" s="174" t="s">
        <v>171</v>
      </c>
      <c r="F138" s="175">
        <v>4604.6369999999997</v>
      </c>
      <c r="G138" s="176">
        <v>0</v>
      </c>
      <c r="H138" s="176">
        <v>0</v>
      </c>
    </row>
    <row r="139" spans="1:8" s="14" customFormat="1" x14ac:dyDescent="0.2">
      <c r="A139" s="180">
        <v>101864</v>
      </c>
      <c r="B139" s="174" t="s">
        <v>290</v>
      </c>
      <c r="C139" s="174">
        <v>1080</v>
      </c>
      <c r="D139" s="179"/>
      <c r="E139" s="174" t="s">
        <v>171</v>
      </c>
      <c r="F139" s="175">
        <v>4604.6369999999997</v>
      </c>
      <c r="G139" s="176">
        <v>0</v>
      </c>
      <c r="H139" s="176">
        <v>0</v>
      </c>
    </row>
    <row r="140" spans="1:8" s="14" customFormat="1" x14ac:dyDescent="0.2">
      <c r="A140" s="180">
        <v>101865</v>
      </c>
      <c r="B140" s="179" t="s">
        <v>252</v>
      </c>
      <c r="C140" s="174">
        <v>1500</v>
      </c>
      <c r="D140" s="179"/>
      <c r="E140" s="174" t="s">
        <v>171</v>
      </c>
      <c r="F140" s="175">
        <v>4604.6369999999997</v>
      </c>
      <c r="G140" s="176">
        <v>0</v>
      </c>
      <c r="H140" s="176">
        <v>0</v>
      </c>
    </row>
    <row r="141" spans="1:8" s="14" customFormat="1" x14ac:dyDescent="0.2">
      <c r="A141" s="177">
        <v>101866</v>
      </c>
      <c r="B141" s="178" t="s">
        <v>350</v>
      </c>
      <c r="C141" s="174">
        <v>500</v>
      </c>
      <c r="D141" s="179"/>
      <c r="E141" s="174" t="s">
        <v>171</v>
      </c>
      <c r="F141" s="175">
        <v>4604.6369999999997</v>
      </c>
      <c r="G141" s="176">
        <v>0</v>
      </c>
      <c r="H141" s="176">
        <v>0</v>
      </c>
    </row>
    <row r="142" spans="1:8" s="14" customFormat="1" x14ac:dyDescent="0.2">
      <c r="A142" s="183">
        <v>101867</v>
      </c>
      <c r="B142" s="184" t="s">
        <v>319</v>
      </c>
      <c r="C142" s="174">
        <v>1280</v>
      </c>
      <c r="D142" s="179"/>
      <c r="E142" s="174" t="s">
        <v>171</v>
      </c>
      <c r="F142" s="175">
        <v>4604.6369999999997</v>
      </c>
      <c r="G142" s="176">
        <v>0</v>
      </c>
      <c r="H142" s="176">
        <v>0</v>
      </c>
    </row>
    <row r="143" spans="1:8" s="14" customFormat="1" x14ac:dyDescent="0.2">
      <c r="A143" s="177">
        <v>101868</v>
      </c>
      <c r="B143" s="178" t="s">
        <v>351</v>
      </c>
      <c r="C143" s="174">
        <v>800</v>
      </c>
      <c r="D143" s="179"/>
      <c r="E143" s="174" t="s">
        <v>171</v>
      </c>
      <c r="F143" s="175">
        <v>4604.6369999999997</v>
      </c>
      <c r="G143" s="176">
        <v>0</v>
      </c>
      <c r="H143" s="176">
        <v>0</v>
      </c>
    </row>
    <row r="144" spans="1:8" s="14" customFormat="1" x14ac:dyDescent="0.2">
      <c r="A144" s="177">
        <v>101869</v>
      </c>
      <c r="B144" s="178" t="s">
        <v>352</v>
      </c>
      <c r="C144" s="174">
        <v>850</v>
      </c>
      <c r="D144" s="179"/>
      <c r="E144" s="174" t="s">
        <v>171</v>
      </c>
      <c r="F144" s="175">
        <v>4604.6369999999997</v>
      </c>
      <c r="G144" s="176">
        <v>0</v>
      </c>
      <c r="H144" s="176">
        <v>0</v>
      </c>
    </row>
    <row r="145" spans="1:8" s="14" customFormat="1" x14ac:dyDescent="0.2">
      <c r="A145" s="180">
        <v>105801</v>
      </c>
      <c r="B145" s="179" t="s">
        <v>68</v>
      </c>
      <c r="C145" s="174">
        <v>300</v>
      </c>
      <c r="D145" s="179"/>
      <c r="E145" s="174" t="s">
        <v>170</v>
      </c>
      <c r="F145" s="175">
        <v>5353.0879999999997</v>
      </c>
      <c r="G145" s="176">
        <v>44710</v>
      </c>
      <c r="H145" s="176">
        <v>3597</v>
      </c>
    </row>
    <row r="146" spans="1:8" s="14" customFormat="1" x14ac:dyDescent="0.2">
      <c r="A146" s="180">
        <v>105802</v>
      </c>
      <c r="B146" s="179" t="s">
        <v>15</v>
      </c>
      <c r="C146" s="174">
        <v>635</v>
      </c>
      <c r="D146" s="179"/>
      <c r="E146" s="174" t="s">
        <v>170</v>
      </c>
      <c r="F146" s="175">
        <v>4708.3829999999998</v>
      </c>
      <c r="G146" s="176">
        <v>0</v>
      </c>
      <c r="H146" s="176">
        <v>2925</v>
      </c>
    </row>
    <row r="147" spans="1:8" s="14" customFormat="1" x14ac:dyDescent="0.2">
      <c r="A147" s="180">
        <v>108801</v>
      </c>
      <c r="B147" s="174" t="s">
        <v>223</v>
      </c>
      <c r="C147" s="174">
        <v>1250</v>
      </c>
      <c r="D147" s="179"/>
      <c r="E147" s="174" t="s">
        <v>170</v>
      </c>
      <c r="F147" s="175">
        <v>4706.53</v>
      </c>
      <c r="G147" s="176">
        <v>0</v>
      </c>
      <c r="H147" s="176">
        <v>25472</v>
      </c>
    </row>
    <row r="148" spans="1:8" s="14" customFormat="1" x14ac:dyDescent="0.2">
      <c r="A148" s="180">
        <v>108802</v>
      </c>
      <c r="B148" s="174" t="s">
        <v>283</v>
      </c>
      <c r="C148" s="174">
        <v>2000</v>
      </c>
      <c r="D148" s="179"/>
      <c r="E148" s="174" t="s">
        <v>170</v>
      </c>
      <c r="F148" s="175">
        <v>4611.1210000000001</v>
      </c>
      <c r="G148" s="176">
        <v>0</v>
      </c>
      <c r="H148" s="176">
        <v>16256</v>
      </c>
    </row>
    <row r="149" spans="1:8" s="14" customFormat="1" x14ac:dyDescent="0.2">
      <c r="A149" s="180">
        <v>108804</v>
      </c>
      <c r="B149" s="179" t="s">
        <v>224</v>
      </c>
      <c r="C149" s="174">
        <v>700</v>
      </c>
      <c r="D149" s="179"/>
      <c r="E149" s="174" t="s">
        <v>170</v>
      </c>
      <c r="F149" s="175">
        <v>4773.2240000000002</v>
      </c>
      <c r="G149" s="176">
        <v>0</v>
      </c>
      <c r="H149" s="176">
        <v>9199</v>
      </c>
    </row>
    <row r="150" spans="1:8" s="14" customFormat="1" x14ac:dyDescent="0.2">
      <c r="A150" s="180">
        <v>108807</v>
      </c>
      <c r="B150" s="174" t="s">
        <v>276</v>
      </c>
      <c r="C150" s="174">
        <v>30000</v>
      </c>
      <c r="D150" s="179"/>
      <c r="E150" s="174" t="s">
        <v>170</v>
      </c>
      <c r="F150" s="175">
        <v>4697.2669999999998</v>
      </c>
      <c r="G150" s="176">
        <v>563496</v>
      </c>
      <c r="H150" s="176">
        <v>120568</v>
      </c>
    </row>
    <row r="151" spans="1:8" s="14" customFormat="1" x14ac:dyDescent="0.2">
      <c r="A151" s="180">
        <v>108808</v>
      </c>
      <c r="B151" s="179" t="s">
        <v>225</v>
      </c>
      <c r="C151" s="174">
        <v>2000</v>
      </c>
      <c r="D151" s="179"/>
      <c r="E151" s="174" t="s">
        <v>171</v>
      </c>
      <c r="F151" s="175">
        <v>4604.6369999999997</v>
      </c>
      <c r="G151" s="176">
        <v>0</v>
      </c>
      <c r="H151" s="176">
        <v>19656</v>
      </c>
    </row>
    <row r="152" spans="1:8" s="14" customFormat="1" x14ac:dyDescent="0.2">
      <c r="A152" s="180">
        <v>108809</v>
      </c>
      <c r="B152" s="174" t="s">
        <v>320</v>
      </c>
      <c r="C152" s="174">
        <v>600</v>
      </c>
      <c r="D152" s="179"/>
      <c r="E152" s="174" t="s">
        <v>171</v>
      </c>
      <c r="F152" s="175">
        <v>4604.6369999999997</v>
      </c>
      <c r="G152" s="176">
        <v>0</v>
      </c>
      <c r="H152" s="176">
        <v>0</v>
      </c>
    </row>
    <row r="153" spans="1:8" s="14" customFormat="1" x14ac:dyDescent="0.2">
      <c r="A153" s="180">
        <v>116801</v>
      </c>
      <c r="B153" s="179" t="s">
        <v>16</v>
      </c>
      <c r="C153" s="174">
        <v>800</v>
      </c>
      <c r="D153" s="179"/>
      <c r="E153" s="174" t="s">
        <v>170</v>
      </c>
      <c r="F153" s="175">
        <v>4851.0330000000004</v>
      </c>
      <c r="G153" s="176">
        <v>0</v>
      </c>
      <c r="H153" s="176">
        <v>15438</v>
      </c>
    </row>
    <row r="154" spans="1:8" s="14" customFormat="1" x14ac:dyDescent="0.2">
      <c r="A154" s="180">
        <v>123803</v>
      </c>
      <c r="B154" s="179" t="s">
        <v>17</v>
      </c>
      <c r="C154" s="174">
        <v>1500</v>
      </c>
      <c r="D154" s="179"/>
      <c r="E154" s="174" t="s">
        <v>170</v>
      </c>
      <c r="F154" s="175">
        <v>4978.8630000000003</v>
      </c>
      <c r="G154" s="176">
        <v>44080</v>
      </c>
      <c r="H154" s="176">
        <v>12000</v>
      </c>
    </row>
    <row r="155" spans="1:8" s="14" customFormat="1" x14ac:dyDescent="0.2">
      <c r="A155" s="180">
        <v>123805</v>
      </c>
      <c r="B155" s="179" t="s">
        <v>18</v>
      </c>
      <c r="C155" s="174">
        <v>500</v>
      </c>
      <c r="D155" s="179"/>
      <c r="E155" s="174" t="s">
        <v>170</v>
      </c>
      <c r="F155" s="175">
        <v>4794.5290000000005</v>
      </c>
      <c r="G155" s="176">
        <v>0</v>
      </c>
      <c r="H155" s="176">
        <v>6273</v>
      </c>
    </row>
    <row r="156" spans="1:8" s="14" customFormat="1" x14ac:dyDescent="0.2">
      <c r="A156" s="180">
        <v>123807</v>
      </c>
      <c r="B156" s="179" t="s">
        <v>1</v>
      </c>
      <c r="C156" s="174">
        <v>250</v>
      </c>
      <c r="D156" s="179"/>
      <c r="E156" s="174" t="s">
        <v>171</v>
      </c>
      <c r="F156" s="175">
        <v>4604.6369999999997</v>
      </c>
      <c r="G156" s="176">
        <v>0</v>
      </c>
      <c r="H156" s="176">
        <v>0</v>
      </c>
    </row>
    <row r="157" spans="1:8" s="14" customFormat="1" x14ac:dyDescent="0.2">
      <c r="A157" s="180">
        <v>130801</v>
      </c>
      <c r="B157" s="179" t="s">
        <v>9</v>
      </c>
      <c r="C157" s="174">
        <v>240</v>
      </c>
      <c r="D157" s="179"/>
      <c r="E157" s="174" t="s">
        <v>171</v>
      </c>
      <c r="F157" s="175">
        <v>4651.8789999999999</v>
      </c>
      <c r="G157" s="176">
        <v>0</v>
      </c>
      <c r="H157" s="176">
        <v>2399</v>
      </c>
    </row>
    <row r="158" spans="1:8" s="14" customFormat="1" x14ac:dyDescent="0.2">
      <c r="A158" s="180">
        <v>152802</v>
      </c>
      <c r="B158" s="179" t="s">
        <v>226</v>
      </c>
      <c r="C158" s="174">
        <v>250</v>
      </c>
      <c r="D158" s="179"/>
      <c r="E158" s="174" t="s">
        <v>170</v>
      </c>
      <c r="F158" s="175">
        <v>4605.5640000000003</v>
      </c>
      <c r="G158" s="176">
        <v>0</v>
      </c>
      <c r="H158" s="176">
        <v>6719</v>
      </c>
    </row>
    <row r="159" spans="1:8" s="14" customFormat="1" x14ac:dyDescent="0.2">
      <c r="A159" s="180">
        <v>152803</v>
      </c>
      <c r="B159" s="179" t="s">
        <v>19</v>
      </c>
      <c r="C159" s="174">
        <v>400</v>
      </c>
      <c r="D159" s="179"/>
      <c r="E159" s="174" t="s">
        <v>170</v>
      </c>
      <c r="F159" s="175">
        <v>4728.7619999999997</v>
      </c>
      <c r="G159" s="176">
        <v>0</v>
      </c>
      <c r="H159" s="176">
        <v>4357</v>
      </c>
    </row>
    <row r="160" spans="1:8" s="14" customFormat="1" x14ac:dyDescent="0.2">
      <c r="A160" s="180">
        <v>152805</v>
      </c>
      <c r="B160" s="179" t="s">
        <v>166</v>
      </c>
      <c r="C160" s="174">
        <v>2000</v>
      </c>
      <c r="D160" s="179"/>
      <c r="E160" s="174" t="s">
        <v>170</v>
      </c>
      <c r="F160" s="175">
        <v>4755.6239999999998</v>
      </c>
      <c r="G160" s="176">
        <v>0</v>
      </c>
      <c r="H160" s="176">
        <v>8424</v>
      </c>
    </row>
    <row r="161" spans="1:8" s="14" customFormat="1" x14ac:dyDescent="0.2">
      <c r="A161" s="180">
        <v>161801</v>
      </c>
      <c r="B161" s="179" t="s">
        <v>20</v>
      </c>
      <c r="C161" s="174">
        <v>360</v>
      </c>
      <c r="D161" s="179"/>
      <c r="E161" s="174" t="s">
        <v>171</v>
      </c>
      <c r="F161" s="175">
        <v>4604.6369999999997</v>
      </c>
      <c r="G161" s="176">
        <v>0</v>
      </c>
      <c r="H161" s="176">
        <v>5949</v>
      </c>
    </row>
    <row r="162" spans="1:8" s="14" customFormat="1" x14ac:dyDescent="0.2">
      <c r="A162" s="180">
        <v>161802</v>
      </c>
      <c r="B162" s="179" t="s">
        <v>21</v>
      </c>
      <c r="C162" s="174">
        <v>950</v>
      </c>
      <c r="D162" s="179"/>
      <c r="E162" s="174" t="s">
        <v>171</v>
      </c>
      <c r="F162" s="175">
        <v>4799.16</v>
      </c>
      <c r="G162" s="176">
        <v>0</v>
      </c>
      <c r="H162" s="176">
        <v>11424</v>
      </c>
    </row>
    <row r="163" spans="1:8" s="14" customFormat="1" x14ac:dyDescent="0.2">
      <c r="A163" s="180">
        <v>161807</v>
      </c>
      <c r="B163" s="179" t="s">
        <v>168</v>
      </c>
      <c r="C163" s="174">
        <v>7000</v>
      </c>
      <c r="D163" s="179"/>
      <c r="E163" s="174" t="s">
        <v>170</v>
      </c>
      <c r="F163" s="175">
        <v>4737.098</v>
      </c>
      <c r="G163" s="176">
        <v>0</v>
      </c>
      <c r="H163" s="176">
        <v>11682</v>
      </c>
    </row>
    <row r="164" spans="1:8" s="14" customFormat="1" x14ac:dyDescent="0.2">
      <c r="A164" s="180">
        <v>165802</v>
      </c>
      <c r="B164" s="179" t="s">
        <v>227</v>
      </c>
      <c r="C164" s="174">
        <v>1170</v>
      </c>
      <c r="D164" s="179"/>
      <c r="E164" s="174" t="s">
        <v>170</v>
      </c>
      <c r="F164" s="175">
        <v>4730.6139999999996</v>
      </c>
      <c r="G164" s="176">
        <v>0</v>
      </c>
      <c r="H164" s="176">
        <v>15234</v>
      </c>
    </row>
    <row r="165" spans="1:8" s="14" customFormat="1" x14ac:dyDescent="0.2">
      <c r="A165" s="180">
        <v>170801</v>
      </c>
      <c r="B165" s="179" t="s">
        <v>191</v>
      </c>
      <c r="C165" s="174">
        <v>400</v>
      </c>
      <c r="D165" s="179"/>
      <c r="E165" s="174" t="s">
        <v>170</v>
      </c>
      <c r="F165" s="175">
        <v>4738.951</v>
      </c>
      <c r="G165" s="176">
        <v>43177</v>
      </c>
      <c r="H165" s="176">
        <v>11276</v>
      </c>
    </row>
    <row r="166" spans="1:8" s="14" customFormat="1" x14ac:dyDescent="0.2">
      <c r="A166" s="185">
        <v>174801</v>
      </c>
      <c r="B166" s="186" t="s">
        <v>10</v>
      </c>
      <c r="C166" s="174">
        <v>320</v>
      </c>
      <c r="D166" s="179"/>
      <c r="E166" s="174" t="s">
        <v>171</v>
      </c>
      <c r="F166" s="175">
        <v>4604.6369999999997</v>
      </c>
      <c r="G166" s="176">
        <v>0</v>
      </c>
      <c r="H166" s="176">
        <v>4602</v>
      </c>
    </row>
    <row r="167" spans="1:8" s="14" customFormat="1" x14ac:dyDescent="0.2">
      <c r="A167" s="180">
        <v>178801</v>
      </c>
      <c r="B167" s="174" t="s">
        <v>273</v>
      </c>
      <c r="C167" s="174">
        <v>500</v>
      </c>
      <c r="D167" s="179"/>
      <c r="E167" s="174" t="s">
        <v>170</v>
      </c>
      <c r="F167" s="175">
        <v>4688.9309999999996</v>
      </c>
      <c r="G167" s="176">
        <v>0</v>
      </c>
      <c r="H167" s="176">
        <v>7574</v>
      </c>
    </row>
    <row r="168" spans="1:8" s="14" customFormat="1" x14ac:dyDescent="0.2">
      <c r="A168" s="180">
        <v>178804</v>
      </c>
      <c r="B168" s="179" t="s">
        <v>23</v>
      </c>
      <c r="C168" s="174">
        <v>300</v>
      </c>
      <c r="D168" s="179"/>
      <c r="E168" s="174" t="s">
        <v>171</v>
      </c>
      <c r="F168" s="175">
        <v>4737.098</v>
      </c>
      <c r="G168" s="176">
        <v>0</v>
      </c>
      <c r="H168" s="176">
        <v>7440</v>
      </c>
    </row>
    <row r="169" spans="1:8" s="14" customFormat="1" x14ac:dyDescent="0.2">
      <c r="A169" s="180">
        <v>178807</v>
      </c>
      <c r="B169" s="179" t="s">
        <v>175</v>
      </c>
      <c r="C169" s="174">
        <v>300</v>
      </c>
      <c r="D169" s="179"/>
      <c r="E169" s="174" t="s">
        <v>171</v>
      </c>
      <c r="F169" s="175">
        <v>4678.741</v>
      </c>
      <c r="G169" s="176">
        <v>0</v>
      </c>
      <c r="H169" s="176">
        <v>4804</v>
      </c>
    </row>
    <row r="170" spans="1:8" s="14" customFormat="1" x14ac:dyDescent="0.2">
      <c r="A170" s="180">
        <v>178808</v>
      </c>
      <c r="B170" s="174" t="s">
        <v>282</v>
      </c>
      <c r="C170" s="174">
        <v>600</v>
      </c>
      <c r="D170" s="179"/>
      <c r="E170" s="174" t="s">
        <v>171</v>
      </c>
      <c r="F170" s="175">
        <v>4699.8249999999998</v>
      </c>
      <c r="G170" s="176">
        <v>0</v>
      </c>
      <c r="H170" s="176">
        <v>3679</v>
      </c>
    </row>
    <row r="171" spans="1:8" s="14" customFormat="1" x14ac:dyDescent="0.2">
      <c r="A171" s="180">
        <v>183801</v>
      </c>
      <c r="B171" s="179" t="s">
        <v>192</v>
      </c>
      <c r="C171" s="174">
        <v>600</v>
      </c>
      <c r="D171" s="179"/>
      <c r="E171" s="174" t="s">
        <v>170</v>
      </c>
      <c r="F171" s="175">
        <v>5003.8729999999996</v>
      </c>
      <c r="G171" s="176">
        <v>0</v>
      </c>
      <c r="H171" s="176">
        <v>4530</v>
      </c>
    </row>
    <row r="172" spans="1:8" s="14" customFormat="1" x14ac:dyDescent="0.2">
      <c r="A172" s="180">
        <v>184801</v>
      </c>
      <c r="B172" s="179" t="s">
        <v>22</v>
      </c>
      <c r="C172" s="174">
        <v>350</v>
      </c>
      <c r="D172" s="179"/>
      <c r="E172" s="174" t="s">
        <v>170</v>
      </c>
      <c r="F172" s="175">
        <v>4895.4960000000001</v>
      </c>
      <c r="G172" s="176">
        <v>0</v>
      </c>
      <c r="H172" s="176">
        <v>4613</v>
      </c>
    </row>
    <row r="173" spans="1:8" s="14" customFormat="1" x14ac:dyDescent="0.2">
      <c r="A173" s="180">
        <v>188801</v>
      </c>
      <c r="B173" s="179" t="s">
        <v>193</v>
      </c>
      <c r="C173" s="174">
        <v>300</v>
      </c>
      <c r="D173" s="179"/>
      <c r="E173" s="174" t="s">
        <v>171</v>
      </c>
      <c r="F173" s="175">
        <v>4710.2359999999999</v>
      </c>
      <c r="G173" s="176">
        <v>0</v>
      </c>
      <c r="H173" s="176">
        <v>6308</v>
      </c>
    </row>
    <row r="174" spans="1:8" s="14" customFormat="1" x14ac:dyDescent="0.2">
      <c r="A174" s="180">
        <v>193801</v>
      </c>
      <c r="B174" s="179" t="s">
        <v>194</v>
      </c>
      <c r="C174" s="174">
        <v>250</v>
      </c>
      <c r="D174" s="179"/>
      <c r="E174" s="174" t="s">
        <v>170</v>
      </c>
      <c r="F174" s="175">
        <v>4713.9409999999998</v>
      </c>
      <c r="G174" s="176">
        <v>4162</v>
      </c>
      <c r="H174" s="176">
        <v>12523</v>
      </c>
    </row>
    <row r="175" spans="1:8" s="14" customFormat="1" x14ac:dyDescent="0.2">
      <c r="A175" s="180">
        <v>212801</v>
      </c>
      <c r="B175" s="179" t="s">
        <v>195</v>
      </c>
      <c r="C175" s="174">
        <v>600</v>
      </c>
      <c r="D175" s="179"/>
      <c r="E175" s="174" t="s">
        <v>170</v>
      </c>
      <c r="F175" s="175">
        <v>4668.5519999999997</v>
      </c>
      <c r="G175" s="176">
        <v>0</v>
      </c>
      <c r="H175" s="176">
        <v>7142</v>
      </c>
    </row>
    <row r="176" spans="1:8" s="14" customFormat="1" x14ac:dyDescent="0.2">
      <c r="A176" s="180">
        <v>212803</v>
      </c>
      <c r="B176" s="179" t="s">
        <v>196</v>
      </c>
      <c r="C176" s="174">
        <v>500</v>
      </c>
      <c r="D176" s="179"/>
      <c r="E176" s="174" t="s">
        <v>171</v>
      </c>
      <c r="F176" s="175">
        <v>4647.2470000000003</v>
      </c>
      <c r="G176" s="176">
        <v>0</v>
      </c>
      <c r="H176" s="176">
        <v>9838</v>
      </c>
    </row>
    <row r="177" spans="1:8" s="14" customFormat="1" x14ac:dyDescent="0.2">
      <c r="A177" s="185">
        <v>212804</v>
      </c>
      <c r="B177" s="186" t="s">
        <v>321</v>
      </c>
      <c r="C177" s="174">
        <v>2400</v>
      </c>
      <c r="D177" s="179"/>
      <c r="E177" s="174" t="s">
        <v>171</v>
      </c>
      <c r="F177" s="175">
        <v>4604.6369999999997</v>
      </c>
      <c r="G177" s="176">
        <v>0</v>
      </c>
      <c r="H177" s="176">
        <v>0</v>
      </c>
    </row>
    <row r="178" spans="1:8" s="14" customFormat="1" x14ac:dyDescent="0.2">
      <c r="A178" s="180">
        <v>213801</v>
      </c>
      <c r="B178" s="179" t="s">
        <v>197</v>
      </c>
      <c r="C178" s="174">
        <v>350</v>
      </c>
      <c r="D178" s="179"/>
      <c r="E178" s="174" t="s">
        <v>170</v>
      </c>
      <c r="F178" s="175">
        <v>4864.0010000000002</v>
      </c>
      <c r="G178" s="176">
        <v>0</v>
      </c>
      <c r="H178" s="176">
        <v>4711</v>
      </c>
    </row>
    <row r="179" spans="1:8" s="14" customFormat="1" x14ac:dyDescent="0.2">
      <c r="A179" s="180">
        <v>220801</v>
      </c>
      <c r="B179" s="179" t="s">
        <v>198</v>
      </c>
      <c r="C179" s="174">
        <v>480</v>
      </c>
      <c r="D179" s="179"/>
      <c r="E179" s="174" t="s">
        <v>170</v>
      </c>
      <c r="F179" s="175">
        <v>4739.8770000000004</v>
      </c>
      <c r="G179" s="176">
        <v>0</v>
      </c>
      <c r="H179" s="176">
        <v>9574</v>
      </c>
    </row>
    <row r="180" spans="1:8" s="14" customFormat="1" x14ac:dyDescent="0.2">
      <c r="A180" s="180">
        <v>220802</v>
      </c>
      <c r="B180" s="179" t="s">
        <v>199</v>
      </c>
      <c r="C180" s="174">
        <v>2000</v>
      </c>
      <c r="D180" s="179"/>
      <c r="E180" s="174" t="s">
        <v>170</v>
      </c>
      <c r="F180" s="175">
        <v>4637.9840000000004</v>
      </c>
      <c r="G180" s="176">
        <v>0</v>
      </c>
      <c r="H180" s="176">
        <v>12730</v>
      </c>
    </row>
    <row r="181" spans="1:8" s="14" customFormat="1" x14ac:dyDescent="0.2">
      <c r="A181" s="180">
        <v>220809</v>
      </c>
      <c r="B181" s="179" t="s">
        <v>200</v>
      </c>
      <c r="C181" s="174">
        <v>1000</v>
      </c>
      <c r="D181" s="179"/>
      <c r="E181" s="174" t="s">
        <v>170</v>
      </c>
      <c r="F181" s="175">
        <v>4788.0450000000001</v>
      </c>
      <c r="G181" s="176">
        <v>0</v>
      </c>
      <c r="H181" s="176">
        <v>10852</v>
      </c>
    </row>
    <row r="182" spans="1:8" s="14" customFormat="1" x14ac:dyDescent="0.2">
      <c r="A182" s="180">
        <v>220810</v>
      </c>
      <c r="B182" s="179" t="s">
        <v>4</v>
      </c>
      <c r="C182" s="174">
        <v>1450</v>
      </c>
      <c r="D182" s="179"/>
      <c r="E182" s="174" t="s">
        <v>171</v>
      </c>
      <c r="F182" s="175">
        <v>4781.5609999999997</v>
      </c>
      <c r="G182" s="176">
        <v>0</v>
      </c>
      <c r="H182" s="176">
        <v>12422</v>
      </c>
    </row>
    <row r="183" spans="1:8" s="14" customFormat="1" x14ac:dyDescent="0.2">
      <c r="A183" s="180">
        <v>220811</v>
      </c>
      <c r="B183" s="179" t="s">
        <v>160</v>
      </c>
      <c r="C183" s="174">
        <v>800</v>
      </c>
      <c r="D183" s="179"/>
      <c r="E183" s="174" t="s">
        <v>170</v>
      </c>
      <c r="F183" s="175">
        <v>4738.0249999999996</v>
      </c>
      <c r="G183" s="176">
        <v>0</v>
      </c>
      <c r="H183" s="176">
        <v>9033</v>
      </c>
    </row>
    <row r="184" spans="1:8" s="14" customFormat="1" x14ac:dyDescent="0.2">
      <c r="A184" s="180">
        <v>220812</v>
      </c>
      <c r="B184" s="174" t="s">
        <v>161</v>
      </c>
      <c r="C184" s="174">
        <v>1000</v>
      </c>
      <c r="D184" s="179"/>
      <c r="E184" s="174" t="s">
        <v>171</v>
      </c>
      <c r="F184" s="175">
        <v>4846.402</v>
      </c>
      <c r="G184" s="176">
        <v>0</v>
      </c>
      <c r="H184" s="176">
        <v>6059</v>
      </c>
    </row>
    <row r="185" spans="1:8" s="55" customFormat="1" x14ac:dyDescent="0.2">
      <c r="A185" s="180">
        <v>220813</v>
      </c>
      <c r="B185" s="179" t="s">
        <v>5</v>
      </c>
      <c r="C185" s="174">
        <v>7000</v>
      </c>
      <c r="D185" s="179"/>
      <c r="E185" s="174" t="s">
        <v>170</v>
      </c>
      <c r="F185" s="175">
        <v>4735.2460000000001</v>
      </c>
      <c r="G185" s="176">
        <v>0</v>
      </c>
      <c r="H185" s="176">
        <v>27452</v>
      </c>
    </row>
    <row r="186" spans="1:8" s="14" customFormat="1" x14ac:dyDescent="0.2">
      <c r="A186" s="180">
        <v>220814</v>
      </c>
      <c r="B186" s="179" t="s">
        <v>167</v>
      </c>
      <c r="C186" s="174">
        <v>750</v>
      </c>
      <c r="D186" s="179"/>
      <c r="E186" s="174" t="s">
        <v>170</v>
      </c>
      <c r="F186" s="175">
        <v>4765.8140000000003</v>
      </c>
      <c r="G186" s="176">
        <v>0</v>
      </c>
      <c r="H186" s="176">
        <v>4560</v>
      </c>
    </row>
    <row r="187" spans="1:8" s="14" customFormat="1" x14ac:dyDescent="0.2">
      <c r="A187" s="180">
        <v>220815</v>
      </c>
      <c r="B187" s="179" t="s">
        <v>11</v>
      </c>
      <c r="C187" s="174">
        <v>520</v>
      </c>
      <c r="D187" s="179"/>
      <c r="E187" s="174" t="s">
        <v>171</v>
      </c>
      <c r="F187" s="175">
        <v>4604.6369999999997</v>
      </c>
      <c r="G187" s="176">
        <v>0</v>
      </c>
      <c r="H187" s="176">
        <v>3931</v>
      </c>
    </row>
    <row r="188" spans="1:8" s="14" customFormat="1" x14ac:dyDescent="0.2">
      <c r="A188" s="180">
        <v>220816</v>
      </c>
      <c r="B188" s="179" t="s">
        <v>12</v>
      </c>
      <c r="C188" s="174">
        <v>4000</v>
      </c>
      <c r="D188" s="179"/>
      <c r="E188" s="174" t="s">
        <v>170</v>
      </c>
      <c r="F188" s="175">
        <v>4745.4350000000004</v>
      </c>
      <c r="G188" s="176">
        <v>0</v>
      </c>
      <c r="H188" s="176">
        <v>17436</v>
      </c>
    </row>
    <row r="189" spans="1:8" s="14" customFormat="1" x14ac:dyDescent="0.2">
      <c r="A189" s="180">
        <v>220817</v>
      </c>
      <c r="B189" s="179" t="s">
        <v>261</v>
      </c>
      <c r="C189" s="174">
        <v>1000</v>
      </c>
      <c r="D189" s="179"/>
      <c r="E189" s="174" t="s">
        <v>171</v>
      </c>
      <c r="F189" s="175">
        <v>4604.6369999999997</v>
      </c>
      <c r="G189" s="176">
        <v>0</v>
      </c>
      <c r="H189" s="176">
        <v>0</v>
      </c>
    </row>
    <row r="190" spans="1:8" s="14" customFormat="1" x14ac:dyDescent="0.2">
      <c r="A190" s="180">
        <v>220818</v>
      </c>
      <c r="B190" s="179" t="s">
        <v>322</v>
      </c>
      <c r="C190" s="174">
        <v>2000</v>
      </c>
      <c r="D190" s="179"/>
      <c r="E190" s="174" t="s">
        <v>171</v>
      </c>
      <c r="F190" s="175">
        <v>4604.6369999999997</v>
      </c>
      <c r="G190" s="176">
        <v>0</v>
      </c>
      <c r="H190" s="176">
        <v>0</v>
      </c>
    </row>
    <row r="191" spans="1:8" s="14" customFormat="1" x14ac:dyDescent="0.2">
      <c r="A191" s="180">
        <v>221801</v>
      </c>
      <c r="B191" s="179" t="s">
        <v>182</v>
      </c>
      <c r="C191" s="174">
        <v>15000</v>
      </c>
      <c r="D191" s="179"/>
      <c r="E191" s="174" t="s">
        <v>170</v>
      </c>
      <c r="F191" s="175">
        <v>4794.5290000000005</v>
      </c>
      <c r="G191" s="176">
        <v>45688</v>
      </c>
      <c r="H191" s="176">
        <v>116386</v>
      </c>
    </row>
    <row r="192" spans="1:8" s="14" customFormat="1" x14ac:dyDescent="0.2">
      <c r="A192" s="180">
        <v>226801</v>
      </c>
      <c r="B192" s="174" t="s">
        <v>285</v>
      </c>
      <c r="C192" s="174">
        <v>2250</v>
      </c>
      <c r="D192" s="179"/>
      <c r="E192" s="174" t="s">
        <v>171</v>
      </c>
      <c r="F192" s="175">
        <v>4629.6469999999999</v>
      </c>
      <c r="G192" s="176">
        <v>0</v>
      </c>
      <c r="H192" s="176">
        <v>0</v>
      </c>
    </row>
    <row r="193" spans="1:8" s="14" customFormat="1" x14ac:dyDescent="0.2">
      <c r="A193" s="180">
        <v>227801</v>
      </c>
      <c r="B193" s="179" t="s">
        <v>6</v>
      </c>
      <c r="C193" s="174">
        <v>750</v>
      </c>
      <c r="D193" s="179"/>
      <c r="E193" s="174" t="s">
        <v>171</v>
      </c>
      <c r="F193" s="175">
        <v>4963.1149999999998</v>
      </c>
      <c r="G193" s="176">
        <v>0</v>
      </c>
      <c r="H193" s="176">
        <v>8434</v>
      </c>
    </row>
    <row r="194" spans="1:8" s="14" customFormat="1" x14ac:dyDescent="0.2">
      <c r="A194" s="180">
        <v>227803</v>
      </c>
      <c r="B194" s="179" t="s">
        <v>201</v>
      </c>
      <c r="C194" s="174">
        <v>1500</v>
      </c>
      <c r="D194" s="179"/>
      <c r="E194" s="174" t="s">
        <v>170</v>
      </c>
      <c r="F194" s="175">
        <v>4853.8119999999999</v>
      </c>
      <c r="G194" s="176">
        <v>0</v>
      </c>
      <c r="H194" s="176">
        <v>5584</v>
      </c>
    </row>
    <row r="195" spans="1:8" s="47" customFormat="1" x14ac:dyDescent="0.2">
      <c r="A195" s="180">
        <v>227804</v>
      </c>
      <c r="B195" s="179" t="s">
        <v>202</v>
      </c>
      <c r="C195" s="174">
        <v>1000</v>
      </c>
      <c r="D195" s="179"/>
      <c r="E195" s="174" t="s">
        <v>171</v>
      </c>
      <c r="F195" s="175">
        <v>4821.3919999999998</v>
      </c>
      <c r="G195" s="176">
        <v>0</v>
      </c>
      <c r="H195" s="176">
        <v>20185</v>
      </c>
    </row>
    <row r="196" spans="1:8" s="47" customFormat="1" x14ac:dyDescent="0.2">
      <c r="A196" s="180">
        <v>227805</v>
      </c>
      <c r="B196" s="179" t="s">
        <v>203</v>
      </c>
      <c r="C196" s="174">
        <v>225</v>
      </c>
      <c r="D196" s="179"/>
      <c r="E196" s="174" t="s">
        <v>170</v>
      </c>
      <c r="F196" s="175">
        <v>4808.4229999999998</v>
      </c>
      <c r="G196" s="176">
        <v>0</v>
      </c>
      <c r="H196" s="176">
        <v>4692</v>
      </c>
    </row>
    <row r="197" spans="1:8" s="47" customFormat="1" x14ac:dyDescent="0.2">
      <c r="A197" s="185">
        <v>227806</v>
      </c>
      <c r="B197" s="186" t="s">
        <v>217</v>
      </c>
      <c r="C197" s="174">
        <v>2000</v>
      </c>
      <c r="D197" s="179"/>
      <c r="E197" s="174" t="s">
        <v>171</v>
      </c>
      <c r="F197" s="175">
        <v>4688.9309999999996</v>
      </c>
      <c r="G197" s="176">
        <v>0</v>
      </c>
      <c r="H197" s="176">
        <v>68817</v>
      </c>
    </row>
    <row r="198" spans="1:8" x14ac:dyDescent="0.2">
      <c r="A198" s="180">
        <v>227814</v>
      </c>
      <c r="B198" s="174" t="s">
        <v>272</v>
      </c>
      <c r="C198" s="174">
        <v>420</v>
      </c>
      <c r="D198" s="179"/>
      <c r="E198" s="174" t="s">
        <v>170</v>
      </c>
      <c r="F198" s="175">
        <v>4964.0420000000004</v>
      </c>
      <c r="G198" s="176">
        <v>0</v>
      </c>
      <c r="H198" s="176">
        <v>8117</v>
      </c>
    </row>
    <row r="199" spans="1:8" x14ac:dyDescent="0.2">
      <c r="A199" s="180">
        <v>227816</v>
      </c>
      <c r="B199" s="174" t="s">
        <v>218</v>
      </c>
      <c r="C199" s="174">
        <v>5000</v>
      </c>
      <c r="D199" s="179"/>
      <c r="E199" s="174" t="s">
        <v>170</v>
      </c>
      <c r="F199" s="175">
        <v>4757.3789999999999</v>
      </c>
      <c r="G199" s="176">
        <v>0</v>
      </c>
      <c r="H199" s="176">
        <v>13351</v>
      </c>
    </row>
    <row r="200" spans="1:8" x14ac:dyDescent="0.2">
      <c r="A200" s="180">
        <v>227817</v>
      </c>
      <c r="B200" s="179" t="s">
        <v>204</v>
      </c>
      <c r="C200" s="174">
        <v>1000</v>
      </c>
      <c r="D200" s="179"/>
      <c r="E200" s="174" t="s">
        <v>170</v>
      </c>
      <c r="F200" s="175">
        <v>4835.2860000000001</v>
      </c>
      <c r="G200" s="176">
        <v>0</v>
      </c>
      <c r="H200" s="176">
        <v>6252</v>
      </c>
    </row>
    <row r="201" spans="1:8" x14ac:dyDescent="0.2">
      <c r="A201" s="185">
        <v>227819</v>
      </c>
      <c r="B201" s="186" t="s">
        <v>219</v>
      </c>
      <c r="C201" s="174">
        <v>300</v>
      </c>
      <c r="D201" s="179"/>
      <c r="E201" s="174" t="s">
        <v>171</v>
      </c>
      <c r="F201" s="175">
        <v>4713.9409999999998</v>
      </c>
      <c r="G201" s="176">
        <v>7195</v>
      </c>
      <c r="H201" s="176">
        <v>8007</v>
      </c>
    </row>
    <row r="202" spans="1:8" x14ac:dyDescent="0.2">
      <c r="A202" s="180">
        <v>227820</v>
      </c>
      <c r="B202" s="179" t="s">
        <v>205</v>
      </c>
      <c r="C202" s="174">
        <v>5280</v>
      </c>
      <c r="D202" s="179"/>
      <c r="E202" s="174" t="s">
        <v>171</v>
      </c>
      <c r="F202" s="175">
        <v>4835.2860000000001</v>
      </c>
      <c r="G202" s="176">
        <v>87195</v>
      </c>
      <c r="H202" s="176">
        <v>16538</v>
      </c>
    </row>
    <row r="203" spans="1:8" x14ac:dyDescent="0.2">
      <c r="A203" s="180">
        <v>227821</v>
      </c>
      <c r="B203" s="179" t="s">
        <v>174</v>
      </c>
      <c r="C203" s="174">
        <v>440</v>
      </c>
      <c r="D203" s="179"/>
      <c r="E203" s="174" t="s">
        <v>170</v>
      </c>
      <c r="F203" s="175">
        <v>4791.75</v>
      </c>
      <c r="G203" s="176">
        <v>0</v>
      </c>
      <c r="H203" s="176">
        <v>7158</v>
      </c>
    </row>
    <row r="204" spans="1:8" x14ac:dyDescent="0.2">
      <c r="A204" s="180">
        <v>227824</v>
      </c>
      <c r="B204" s="179" t="s">
        <v>116</v>
      </c>
      <c r="C204" s="174">
        <v>1200</v>
      </c>
      <c r="D204" s="179"/>
      <c r="E204" s="174" t="s">
        <v>171</v>
      </c>
      <c r="F204" s="175">
        <v>4694.4880000000003</v>
      </c>
      <c r="G204" s="176">
        <v>13619</v>
      </c>
      <c r="H204" s="176">
        <v>0</v>
      </c>
    </row>
    <row r="205" spans="1:8" x14ac:dyDescent="0.2">
      <c r="A205" s="180">
        <v>227825</v>
      </c>
      <c r="B205" s="179" t="s">
        <v>323</v>
      </c>
      <c r="C205" s="174">
        <v>1050</v>
      </c>
      <c r="D205" s="179"/>
      <c r="E205" s="174" t="s">
        <v>171</v>
      </c>
      <c r="F205" s="175">
        <v>4604.6369999999997</v>
      </c>
      <c r="G205" s="176">
        <v>0</v>
      </c>
      <c r="H205" s="176">
        <v>0</v>
      </c>
    </row>
    <row r="206" spans="1:8" x14ac:dyDescent="0.2">
      <c r="A206" s="180">
        <v>234801</v>
      </c>
      <c r="B206" s="179" t="s">
        <v>206</v>
      </c>
      <c r="C206" s="174">
        <v>150</v>
      </c>
      <c r="D206" s="179"/>
      <c r="E206" s="174" t="s">
        <v>171</v>
      </c>
      <c r="F206" s="175">
        <v>4666.6989999999996</v>
      </c>
      <c r="G206" s="176">
        <v>0</v>
      </c>
      <c r="H206" s="176">
        <v>5287</v>
      </c>
    </row>
    <row r="207" spans="1:8" x14ac:dyDescent="0.2">
      <c r="A207" s="180">
        <v>236801</v>
      </c>
      <c r="B207" s="179" t="s">
        <v>207</v>
      </c>
      <c r="C207" s="174">
        <v>400</v>
      </c>
      <c r="D207" s="179"/>
      <c r="E207" s="174" t="s">
        <v>170</v>
      </c>
      <c r="F207" s="175">
        <v>4697.2669999999998</v>
      </c>
      <c r="G207" s="176">
        <v>0</v>
      </c>
      <c r="H207" s="176">
        <v>9226</v>
      </c>
    </row>
    <row r="208" spans="1:8" x14ac:dyDescent="0.2">
      <c r="A208" s="180">
        <v>240801</v>
      </c>
      <c r="B208" s="179" t="s">
        <v>220</v>
      </c>
      <c r="C208" s="174">
        <v>700</v>
      </c>
      <c r="D208" s="179"/>
      <c r="E208" s="174" t="s">
        <v>170</v>
      </c>
      <c r="F208" s="175">
        <v>4760.2560000000003</v>
      </c>
      <c r="G208" s="176">
        <v>0</v>
      </c>
      <c r="H208" s="176">
        <v>19097</v>
      </c>
    </row>
    <row r="209" spans="1:8" x14ac:dyDescent="0.2">
      <c r="A209" s="180">
        <v>243801</v>
      </c>
      <c r="B209" s="179" t="s">
        <v>208</v>
      </c>
      <c r="C209" s="174">
        <v>400</v>
      </c>
      <c r="D209" s="179"/>
      <c r="E209" s="174" t="s">
        <v>171</v>
      </c>
      <c r="F209" s="175">
        <v>4713.0140000000001</v>
      </c>
      <c r="G209" s="176">
        <v>0</v>
      </c>
      <c r="H209" s="176">
        <v>4884</v>
      </c>
    </row>
    <row r="210" spans="1:8" x14ac:dyDescent="0.2">
      <c r="A210" s="180">
        <v>246801</v>
      </c>
      <c r="B210" s="174" t="s">
        <v>278</v>
      </c>
      <c r="C210" s="174">
        <v>1300</v>
      </c>
      <c r="D210" s="179"/>
      <c r="E210" s="174" t="s">
        <v>171</v>
      </c>
      <c r="F210" s="175">
        <v>4604.6369999999997</v>
      </c>
      <c r="G210" s="176">
        <v>0</v>
      </c>
      <c r="H210" s="176">
        <v>0</v>
      </c>
    </row>
  </sheetData>
  <sheetProtection password="EE5D" sheet="1" objects="1" scenarios="1"/>
  <sortState ref="A2:F212">
    <sortCondition ref="A2:A212"/>
  </sortState>
  <phoneticPr fontId="3" type="noConversion"/>
  <printOptions horizontalCentered="1"/>
  <pageMargins left="0.75" right="0.75" top="1" bottom="1" header="0.5" footer="0.5"/>
  <pageSetup scale="70"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53"/>
  <sheetViews>
    <sheetView workbookViewId="0">
      <selection activeCell="B1" sqref="B1"/>
    </sheetView>
  </sheetViews>
  <sheetFormatPr defaultRowHeight="12.75" x14ac:dyDescent="0.2"/>
  <cols>
    <col min="1" max="1" width="3.5703125" customWidth="1"/>
    <col min="2" max="2" width="27.5703125" customWidth="1"/>
    <col min="3" max="3" width="24" customWidth="1"/>
    <col min="4" max="5" width="11.42578125" customWidth="1"/>
    <col min="6" max="7" width="12.7109375" customWidth="1"/>
    <col min="10" max="10" width="18.42578125" customWidth="1"/>
  </cols>
  <sheetData>
    <row r="1" spans="1:10" ht="23.25" x14ac:dyDescent="0.35">
      <c r="A1" s="195"/>
      <c r="B1" s="196" t="s">
        <v>230</v>
      </c>
      <c r="C1" s="241" t="str">
        <f>'Enrollment Data'!A2</f>
        <v>NEW TEXAS CHARTER SCHOOL</v>
      </c>
      <c r="D1" s="241"/>
      <c r="E1" s="241"/>
      <c r="F1" s="241"/>
      <c r="G1" s="241"/>
      <c r="H1" s="241"/>
      <c r="I1" s="241"/>
      <c r="J1" s="241"/>
    </row>
    <row r="2" spans="1:10" ht="20.25" x14ac:dyDescent="0.3">
      <c r="A2" s="195"/>
      <c r="B2" s="197" t="s">
        <v>231</v>
      </c>
      <c r="C2" s="198" t="s">
        <v>410</v>
      </c>
      <c r="D2" s="194"/>
      <c r="E2" s="199" t="s">
        <v>411</v>
      </c>
      <c r="F2" s="194"/>
      <c r="G2" s="200"/>
      <c r="H2" s="200"/>
      <c r="I2" s="200"/>
      <c r="J2" s="200"/>
    </row>
    <row r="3" spans="1:10" ht="20.25" x14ac:dyDescent="0.3">
      <c r="A3" s="195"/>
      <c r="B3" s="197" t="s">
        <v>412</v>
      </c>
      <c r="C3" s="201"/>
      <c r="D3" s="202"/>
      <c r="E3" s="203"/>
      <c r="F3" s="203"/>
      <c r="G3" s="200"/>
      <c r="H3" s="200"/>
      <c r="I3" s="200"/>
      <c r="J3" s="200"/>
    </row>
    <row r="4" spans="1:10" ht="21" thickBot="1" x14ac:dyDescent="0.35">
      <c r="A4" s="195"/>
      <c r="B4" s="202"/>
      <c r="C4" s="204"/>
      <c r="D4" s="202"/>
      <c r="E4" s="203"/>
      <c r="F4" s="203"/>
      <c r="G4" s="200"/>
      <c r="H4" s="200"/>
      <c r="I4" s="200"/>
      <c r="J4" s="200"/>
    </row>
    <row r="5" spans="1:10" x14ac:dyDescent="0.2">
      <c r="A5" s="205"/>
      <c r="B5" s="206" t="s">
        <v>245</v>
      </c>
      <c r="C5" s="207"/>
      <c r="D5" s="207"/>
      <c r="E5" s="207"/>
      <c r="F5" s="207"/>
      <c r="G5" s="207"/>
      <c r="H5" s="207"/>
      <c r="I5" s="207"/>
      <c r="J5" s="208"/>
    </row>
    <row r="6" spans="1:10" x14ac:dyDescent="0.2">
      <c r="A6" s="209"/>
      <c r="B6" s="210" t="s">
        <v>246</v>
      </c>
      <c r="C6" s="211"/>
      <c r="D6" s="211"/>
      <c r="E6" s="211"/>
      <c r="F6" s="211"/>
      <c r="G6" s="211"/>
      <c r="H6" s="211"/>
      <c r="I6" s="211"/>
      <c r="J6" s="212"/>
    </row>
    <row r="7" spans="1:10" x14ac:dyDescent="0.2">
      <c r="A7" s="209"/>
      <c r="B7" s="210" t="s">
        <v>247</v>
      </c>
      <c r="C7" s="211"/>
      <c r="D7" s="211"/>
      <c r="E7" s="211"/>
      <c r="F7" s="211"/>
      <c r="G7" s="211"/>
      <c r="H7" s="211"/>
      <c r="I7" s="211"/>
      <c r="J7" s="212"/>
    </row>
    <row r="8" spans="1:10" ht="13.5" thickBot="1" x14ac:dyDescent="0.25">
      <c r="A8" s="213"/>
      <c r="B8" s="214" t="s">
        <v>248</v>
      </c>
      <c r="C8" s="215"/>
      <c r="D8" s="215"/>
      <c r="E8" s="215"/>
      <c r="F8" s="215"/>
      <c r="G8" s="215"/>
      <c r="H8" s="215"/>
      <c r="I8" s="215"/>
      <c r="J8" s="216"/>
    </row>
    <row r="9" spans="1:10" x14ac:dyDescent="0.2">
      <c r="A9" s="203"/>
      <c r="B9" s="203" t="s">
        <v>249</v>
      </c>
      <c r="C9" s="203"/>
      <c r="D9" s="203"/>
      <c r="E9" s="203"/>
      <c r="F9" s="203"/>
      <c r="G9" s="203"/>
      <c r="H9" s="203"/>
      <c r="I9" s="203"/>
      <c r="J9" s="203"/>
    </row>
    <row r="10" spans="1:10" ht="51" x14ac:dyDescent="0.2">
      <c r="A10" s="203"/>
      <c r="B10" s="217"/>
      <c r="C10" s="218" t="s">
        <v>232</v>
      </c>
      <c r="D10" s="218" t="s">
        <v>233</v>
      </c>
      <c r="E10" s="218" t="s">
        <v>234</v>
      </c>
      <c r="F10" s="218" t="s">
        <v>235</v>
      </c>
      <c r="G10" s="219" t="s">
        <v>236</v>
      </c>
      <c r="H10" s="219" t="s">
        <v>237</v>
      </c>
      <c r="I10" s="219" t="s">
        <v>238</v>
      </c>
      <c r="J10" s="218" t="s">
        <v>239</v>
      </c>
    </row>
    <row r="11" spans="1:10" ht="26.25" x14ac:dyDescent="0.4">
      <c r="A11" s="203"/>
      <c r="B11" s="220" t="s">
        <v>240</v>
      </c>
      <c r="C11" s="221"/>
      <c r="D11" s="221" t="s">
        <v>241</v>
      </c>
      <c r="E11" s="221" t="s">
        <v>242</v>
      </c>
      <c r="F11" s="221" t="s">
        <v>243</v>
      </c>
      <c r="G11" s="221" t="s">
        <v>242</v>
      </c>
      <c r="H11" s="221" t="s">
        <v>243</v>
      </c>
      <c r="I11" s="221" t="s">
        <v>242</v>
      </c>
      <c r="J11" s="221" t="s">
        <v>243</v>
      </c>
    </row>
    <row r="12" spans="1:10" x14ac:dyDescent="0.2">
      <c r="A12">
        <v>1</v>
      </c>
      <c r="B12" s="58"/>
      <c r="C12" s="59">
        <v>0</v>
      </c>
      <c r="D12" s="59">
        <v>0</v>
      </c>
      <c r="E12" s="59">
        <v>0</v>
      </c>
      <c r="F12" s="61">
        <f>C12+D12-E12</f>
        <v>0</v>
      </c>
      <c r="G12" s="59">
        <v>0</v>
      </c>
      <c r="H12" s="61">
        <f>F12-G12</f>
        <v>0</v>
      </c>
      <c r="I12" s="59">
        <v>0</v>
      </c>
      <c r="J12" s="60">
        <f>H12-I12</f>
        <v>0</v>
      </c>
    </row>
    <row r="13" spans="1:10" x14ac:dyDescent="0.2">
      <c r="A13">
        <v>2</v>
      </c>
      <c r="B13" s="58"/>
      <c r="C13" s="61">
        <f>F12</f>
        <v>0</v>
      </c>
      <c r="D13" s="59">
        <v>0</v>
      </c>
      <c r="E13" s="59">
        <v>0</v>
      </c>
      <c r="F13" s="61">
        <f>C13+D13-E13</f>
        <v>0</v>
      </c>
      <c r="G13" s="59">
        <v>0</v>
      </c>
      <c r="H13" s="61">
        <f>F13-G13</f>
        <v>0</v>
      </c>
      <c r="I13" s="59">
        <v>0</v>
      </c>
      <c r="J13" s="60">
        <f>H13-I13</f>
        <v>0</v>
      </c>
    </row>
    <row r="14" spans="1:10" x14ac:dyDescent="0.2">
      <c r="A14">
        <v>3</v>
      </c>
      <c r="B14" s="58"/>
      <c r="C14" s="61">
        <f t="shared" ref="C14:C41" si="0">F13</f>
        <v>0</v>
      </c>
      <c r="D14" s="59">
        <v>0</v>
      </c>
      <c r="E14" s="59">
        <v>0</v>
      </c>
      <c r="F14" s="61">
        <f t="shared" ref="F14:F41" si="1">C14+D14-E14</f>
        <v>0</v>
      </c>
      <c r="G14" s="59">
        <v>0</v>
      </c>
      <c r="H14" s="61">
        <f t="shared" ref="H14:H41" si="2">F14-G14</f>
        <v>0</v>
      </c>
      <c r="I14" s="59">
        <v>0</v>
      </c>
      <c r="J14" s="60">
        <f t="shared" ref="J14:J41" si="3">H14-I14</f>
        <v>0</v>
      </c>
    </row>
    <row r="15" spans="1:10" x14ac:dyDescent="0.2">
      <c r="A15">
        <v>4</v>
      </c>
      <c r="B15" s="58"/>
      <c r="C15" s="61">
        <f t="shared" si="0"/>
        <v>0</v>
      </c>
      <c r="D15" s="59">
        <v>0</v>
      </c>
      <c r="E15" s="59">
        <v>0</v>
      </c>
      <c r="F15" s="61">
        <f t="shared" si="1"/>
        <v>0</v>
      </c>
      <c r="G15" s="59">
        <v>0</v>
      </c>
      <c r="H15" s="61">
        <f t="shared" si="2"/>
        <v>0</v>
      </c>
      <c r="I15" s="59">
        <v>0</v>
      </c>
      <c r="J15" s="60">
        <f t="shared" si="3"/>
        <v>0</v>
      </c>
    </row>
    <row r="16" spans="1:10" x14ac:dyDescent="0.2">
      <c r="A16">
        <v>5</v>
      </c>
      <c r="B16" s="58"/>
      <c r="C16" s="61">
        <f t="shared" si="0"/>
        <v>0</v>
      </c>
      <c r="D16" s="59">
        <v>0</v>
      </c>
      <c r="E16" s="59">
        <v>0</v>
      </c>
      <c r="F16" s="61">
        <f t="shared" si="1"/>
        <v>0</v>
      </c>
      <c r="G16" s="59">
        <v>0</v>
      </c>
      <c r="H16" s="61">
        <f t="shared" si="2"/>
        <v>0</v>
      </c>
      <c r="I16" s="59">
        <v>0</v>
      </c>
      <c r="J16" s="60">
        <f t="shared" si="3"/>
        <v>0</v>
      </c>
    </row>
    <row r="17" spans="1:10" x14ac:dyDescent="0.2">
      <c r="A17">
        <v>6</v>
      </c>
      <c r="B17" s="58"/>
      <c r="C17" s="61">
        <f t="shared" si="0"/>
        <v>0</v>
      </c>
      <c r="D17" s="59">
        <v>0</v>
      </c>
      <c r="E17" s="59">
        <v>0</v>
      </c>
      <c r="F17" s="61">
        <f t="shared" si="1"/>
        <v>0</v>
      </c>
      <c r="G17" s="59">
        <v>0</v>
      </c>
      <c r="H17" s="61">
        <f t="shared" si="2"/>
        <v>0</v>
      </c>
      <c r="I17" s="59">
        <v>0</v>
      </c>
      <c r="J17" s="60">
        <f t="shared" si="3"/>
        <v>0</v>
      </c>
    </row>
    <row r="18" spans="1:10" x14ac:dyDescent="0.2">
      <c r="A18">
        <v>7</v>
      </c>
      <c r="B18" s="58"/>
      <c r="C18" s="61">
        <f t="shared" si="0"/>
        <v>0</v>
      </c>
      <c r="D18" s="59">
        <v>0</v>
      </c>
      <c r="E18" s="59">
        <v>0</v>
      </c>
      <c r="F18" s="61">
        <f t="shared" si="1"/>
        <v>0</v>
      </c>
      <c r="G18" s="59">
        <v>0</v>
      </c>
      <c r="H18" s="61">
        <f t="shared" si="2"/>
        <v>0</v>
      </c>
      <c r="I18" s="59">
        <v>0</v>
      </c>
      <c r="J18" s="60">
        <f t="shared" si="3"/>
        <v>0</v>
      </c>
    </row>
    <row r="19" spans="1:10" x14ac:dyDescent="0.2">
      <c r="A19">
        <v>8</v>
      </c>
      <c r="B19" s="58"/>
      <c r="C19" s="61">
        <f t="shared" si="0"/>
        <v>0</v>
      </c>
      <c r="D19" s="59">
        <v>0</v>
      </c>
      <c r="E19" s="59">
        <v>0</v>
      </c>
      <c r="F19" s="61">
        <f t="shared" si="1"/>
        <v>0</v>
      </c>
      <c r="G19" s="59">
        <v>0</v>
      </c>
      <c r="H19" s="61">
        <f t="shared" si="2"/>
        <v>0</v>
      </c>
      <c r="I19" s="59">
        <v>0</v>
      </c>
      <c r="J19" s="60">
        <f t="shared" si="3"/>
        <v>0</v>
      </c>
    </row>
    <row r="20" spans="1:10" x14ac:dyDescent="0.2">
      <c r="A20">
        <v>9</v>
      </c>
      <c r="B20" s="58"/>
      <c r="C20" s="61">
        <f t="shared" si="0"/>
        <v>0</v>
      </c>
      <c r="D20" s="59">
        <v>0</v>
      </c>
      <c r="E20" s="59">
        <v>0</v>
      </c>
      <c r="F20" s="61">
        <f t="shared" si="1"/>
        <v>0</v>
      </c>
      <c r="G20" s="59">
        <v>0</v>
      </c>
      <c r="H20" s="61">
        <f t="shared" si="2"/>
        <v>0</v>
      </c>
      <c r="I20" s="59">
        <v>0</v>
      </c>
      <c r="J20" s="60">
        <f t="shared" si="3"/>
        <v>0</v>
      </c>
    </row>
    <row r="21" spans="1:10" x14ac:dyDescent="0.2">
      <c r="A21">
        <v>10</v>
      </c>
      <c r="B21" s="58"/>
      <c r="C21" s="61">
        <f t="shared" si="0"/>
        <v>0</v>
      </c>
      <c r="D21" s="59">
        <v>0</v>
      </c>
      <c r="E21" s="59">
        <v>0</v>
      </c>
      <c r="F21" s="61">
        <f t="shared" si="1"/>
        <v>0</v>
      </c>
      <c r="G21" s="59">
        <v>0</v>
      </c>
      <c r="H21" s="61">
        <f t="shared" si="2"/>
        <v>0</v>
      </c>
      <c r="I21" s="59">
        <v>0</v>
      </c>
      <c r="J21" s="60">
        <f t="shared" si="3"/>
        <v>0</v>
      </c>
    </row>
    <row r="22" spans="1:10" x14ac:dyDescent="0.2">
      <c r="A22">
        <v>11</v>
      </c>
      <c r="B22" s="58"/>
      <c r="C22" s="61">
        <f t="shared" si="0"/>
        <v>0</v>
      </c>
      <c r="D22" s="59">
        <v>0</v>
      </c>
      <c r="E22" s="59">
        <v>0</v>
      </c>
      <c r="F22" s="61">
        <f t="shared" si="1"/>
        <v>0</v>
      </c>
      <c r="G22" s="59">
        <v>0</v>
      </c>
      <c r="H22" s="61">
        <f t="shared" si="2"/>
        <v>0</v>
      </c>
      <c r="I22" s="59">
        <v>0</v>
      </c>
      <c r="J22" s="60">
        <f t="shared" si="3"/>
        <v>0</v>
      </c>
    </row>
    <row r="23" spans="1:10" x14ac:dyDescent="0.2">
      <c r="A23">
        <v>12</v>
      </c>
      <c r="B23" s="58"/>
      <c r="C23" s="61">
        <f t="shared" si="0"/>
        <v>0</v>
      </c>
      <c r="D23" s="59">
        <v>0</v>
      </c>
      <c r="E23" s="59">
        <v>0</v>
      </c>
      <c r="F23" s="61">
        <f t="shared" si="1"/>
        <v>0</v>
      </c>
      <c r="G23" s="59">
        <v>0</v>
      </c>
      <c r="H23" s="61">
        <f t="shared" si="2"/>
        <v>0</v>
      </c>
      <c r="I23" s="59">
        <v>0</v>
      </c>
      <c r="J23" s="60">
        <f t="shared" si="3"/>
        <v>0</v>
      </c>
    </row>
    <row r="24" spans="1:10" x14ac:dyDescent="0.2">
      <c r="A24">
        <v>13</v>
      </c>
      <c r="B24" s="58"/>
      <c r="C24" s="61">
        <f t="shared" si="0"/>
        <v>0</v>
      </c>
      <c r="D24" s="59">
        <v>0</v>
      </c>
      <c r="E24" s="59">
        <v>0</v>
      </c>
      <c r="F24" s="61">
        <f t="shared" si="1"/>
        <v>0</v>
      </c>
      <c r="G24" s="59">
        <v>0</v>
      </c>
      <c r="H24" s="61">
        <f t="shared" si="2"/>
        <v>0</v>
      </c>
      <c r="I24" s="59">
        <v>0</v>
      </c>
      <c r="J24" s="60">
        <f t="shared" si="3"/>
        <v>0</v>
      </c>
    </row>
    <row r="25" spans="1:10" x14ac:dyDescent="0.2">
      <c r="A25">
        <v>14</v>
      </c>
      <c r="B25" s="58"/>
      <c r="C25" s="61">
        <f t="shared" si="0"/>
        <v>0</v>
      </c>
      <c r="D25" s="59">
        <v>0</v>
      </c>
      <c r="E25" s="59">
        <v>0</v>
      </c>
      <c r="F25" s="61">
        <f t="shared" si="1"/>
        <v>0</v>
      </c>
      <c r="G25" s="59">
        <v>0</v>
      </c>
      <c r="H25" s="61">
        <f t="shared" si="2"/>
        <v>0</v>
      </c>
      <c r="I25" s="59">
        <v>0</v>
      </c>
      <c r="J25" s="60">
        <f t="shared" si="3"/>
        <v>0</v>
      </c>
    </row>
    <row r="26" spans="1:10" x14ac:dyDescent="0.2">
      <c r="A26">
        <v>15</v>
      </c>
      <c r="B26" s="58"/>
      <c r="C26" s="61">
        <f t="shared" si="0"/>
        <v>0</v>
      </c>
      <c r="D26" s="59">
        <v>0</v>
      </c>
      <c r="E26" s="59">
        <v>0</v>
      </c>
      <c r="F26" s="61">
        <f t="shared" si="1"/>
        <v>0</v>
      </c>
      <c r="G26" s="59">
        <v>0</v>
      </c>
      <c r="H26" s="61">
        <f t="shared" si="2"/>
        <v>0</v>
      </c>
      <c r="I26" s="59">
        <v>0</v>
      </c>
      <c r="J26" s="60">
        <f t="shared" si="3"/>
        <v>0</v>
      </c>
    </row>
    <row r="27" spans="1:10" x14ac:dyDescent="0.2">
      <c r="A27">
        <v>16</v>
      </c>
      <c r="C27" s="61">
        <f t="shared" si="0"/>
        <v>0</v>
      </c>
      <c r="D27" s="59">
        <v>0</v>
      </c>
      <c r="E27" s="59">
        <v>0</v>
      </c>
      <c r="F27" s="61">
        <f t="shared" si="1"/>
        <v>0</v>
      </c>
      <c r="G27" s="59">
        <v>0</v>
      </c>
      <c r="H27" s="61">
        <f t="shared" si="2"/>
        <v>0</v>
      </c>
      <c r="I27" s="59">
        <v>0</v>
      </c>
      <c r="J27" s="60">
        <f t="shared" si="3"/>
        <v>0</v>
      </c>
    </row>
    <row r="28" spans="1:10" x14ac:dyDescent="0.2">
      <c r="A28">
        <v>17</v>
      </c>
      <c r="B28" s="58"/>
      <c r="C28" s="61">
        <f t="shared" si="0"/>
        <v>0</v>
      </c>
      <c r="D28" s="59">
        <v>0</v>
      </c>
      <c r="E28" s="59">
        <v>0</v>
      </c>
      <c r="F28" s="61">
        <f t="shared" si="1"/>
        <v>0</v>
      </c>
      <c r="G28" s="59">
        <v>0</v>
      </c>
      <c r="H28" s="61">
        <f t="shared" si="2"/>
        <v>0</v>
      </c>
      <c r="I28" s="59">
        <v>0</v>
      </c>
      <c r="J28" s="60">
        <f t="shared" si="3"/>
        <v>0</v>
      </c>
    </row>
    <row r="29" spans="1:10" x14ac:dyDescent="0.2">
      <c r="A29">
        <v>18</v>
      </c>
      <c r="B29" s="58"/>
      <c r="C29" s="61">
        <f t="shared" si="0"/>
        <v>0</v>
      </c>
      <c r="D29" s="59">
        <v>0</v>
      </c>
      <c r="E29" s="59">
        <v>0</v>
      </c>
      <c r="F29" s="61">
        <f t="shared" si="1"/>
        <v>0</v>
      </c>
      <c r="G29" s="59">
        <v>0</v>
      </c>
      <c r="H29" s="61">
        <f t="shared" si="2"/>
        <v>0</v>
      </c>
      <c r="I29" s="59">
        <v>0</v>
      </c>
      <c r="J29" s="60">
        <f t="shared" si="3"/>
        <v>0</v>
      </c>
    </row>
    <row r="30" spans="1:10" x14ac:dyDescent="0.2">
      <c r="A30">
        <v>19</v>
      </c>
      <c r="B30" s="58"/>
      <c r="C30" s="61">
        <f t="shared" si="0"/>
        <v>0</v>
      </c>
      <c r="D30" s="59">
        <v>0</v>
      </c>
      <c r="E30" s="59">
        <v>0</v>
      </c>
      <c r="F30" s="61">
        <f t="shared" si="1"/>
        <v>0</v>
      </c>
      <c r="G30" s="59">
        <v>0</v>
      </c>
      <c r="H30" s="61">
        <f t="shared" si="2"/>
        <v>0</v>
      </c>
      <c r="I30" s="59">
        <v>0</v>
      </c>
      <c r="J30" s="60">
        <f t="shared" si="3"/>
        <v>0</v>
      </c>
    </row>
    <row r="31" spans="1:10" x14ac:dyDescent="0.2">
      <c r="A31">
        <v>20</v>
      </c>
      <c r="B31" s="58"/>
      <c r="C31" s="61">
        <f t="shared" si="0"/>
        <v>0</v>
      </c>
      <c r="D31" s="59">
        <v>0</v>
      </c>
      <c r="E31" s="59">
        <v>0</v>
      </c>
      <c r="F31" s="61">
        <f t="shared" si="1"/>
        <v>0</v>
      </c>
      <c r="G31" s="59">
        <v>0</v>
      </c>
      <c r="H31" s="61">
        <f t="shared" si="2"/>
        <v>0</v>
      </c>
      <c r="I31" s="59">
        <v>0</v>
      </c>
      <c r="J31" s="60">
        <f t="shared" si="3"/>
        <v>0</v>
      </c>
    </row>
    <row r="32" spans="1:10" x14ac:dyDescent="0.2">
      <c r="A32">
        <v>21</v>
      </c>
      <c r="B32" s="58"/>
      <c r="C32" s="61">
        <f t="shared" si="0"/>
        <v>0</v>
      </c>
      <c r="D32" s="59">
        <v>0</v>
      </c>
      <c r="E32" s="59">
        <v>0</v>
      </c>
      <c r="F32" s="61">
        <f t="shared" si="1"/>
        <v>0</v>
      </c>
      <c r="G32" s="59">
        <v>0</v>
      </c>
      <c r="H32" s="61">
        <f t="shared" si="2"/>
        <v>0</v>
      </c>
      <c r="I32" s="59">
        <v>0</v>
      </c>
      <c r="J32" s="60">
        <f t="shared" si="3"/>
        <v>0</v>
      </c>
    </row>
    <row r="33" spans="1:10" x14ac:dyDescent="0.2">
      <c r="A33">
        <v>22</v>
      </c>
      <c r="B33" s="58"/>
      <c r="C33" s="61">
        <f t="shared" si="0"/>
        <v>0</v>
      </c>
      <c r="D33" s="59">
        <v>0</v>
      </c>
      <c r="E33" s="59">
        <v>0</v>
      </c>
      <c r="F33" s="61">
        <f t="shared" si="1"/>
        <v>0</v>
      </c>
      <c r="G33" s="59">
        <v>0</v>
      </c>
      <c r="H33" s="61">
        <f t="shared" si="2"/>
        <v>0</v>
      </c>
      <c r="I33" s="59">
        <v>0</v>
      </c>
      <c r="J33" s="60">
        <f t="shared" si="3"/>
        <v>0</v>
      </c>
    </row>
    <row r="34" spans="1:10" x14ac:dyDescent="0.2">
      <c r="A34">
        <v>23</v>
      </c>
      <c r="B34" s="58"/>
      <c r="C34" s="61">
        <f>F33</f>
        <v>0</v>
      </c>
      <c r="D34" s="59">
        <v>0</v>
      </c>
      <c r="E34" s="59">
        <v>0</v>
      </c>
      <c r="F34" s="61">
        <f t="shared" si="1"/>
        <v>0</v>
      </c>
      <c r="G34" s="59">
        <v>0</v>
      </c>
      <c r="H34" s="61">
        <f t="shared" si="2"/>
        <v>0</v>
      </c>
      <c r="I34" s="59">
        <v>0</v>
      </c>
      <c r="J34" s="60">
        <f t="shared" si="3"/>
        <v>0</v>
      </c>
    </row>
    <row r="35" spans="1:10" x14ac:dyDescent="0.2">
      <c r="A35">
        <v>24</v>
      </c>
      <c r="B35" s="58"/>
      <c r="C35" s="61">
        <f t="shared" si="0"/>
        <v>0</v>
      </c>
      <c r="D35" s="59">
        <v>0</v>
      </c>
      <c r="E35" s="59">
        <v>0</v>
      </c>
      <c r="F35" s="61">
        <f t="shared" si="1"/>
        <v>0</v>
      </c>
      <c r="G35" s="59">
        <v>0</v>
      </c>
      <c r="H35" s="61">
        <f t="shared" si="2"/>
        <v>0</v>
      </c>
      <c r="I35" s="59">
        <v>0</v>
      </c>
      <c r="J35" s="60">
        <f t="shared" si="3"/>
        <v>0</v>
      </c>
    </row>
    <row r="36" spans="1:10" x14ac:dyDescent="0.2">
      <c r="A36">
        <v>25</v>
      </c>
      <c r="B36" s="58"/>
      <c r="C36" s="61">
        <f t="shared" si="0"/>
        <v>0</v>
      </c>
      <c r="D36" s="59">
        <v>0</v>
      </c>
      <c r="E36" s="59">
        <v>0</v>
      </c>
      <c r="F36" s="61">
        <f t="shared" si="1"/>
        <v>0</v>
      </c>
      <c r="G36" s="59">
        <v>0</v>
      </c>
      <c r="H36" s="61">
        <f t="shared" si="2"/>
        <v>0</v>
      </c>
      <c r="I36" s="59">
        <v>0</v>
      </c>
      <c r="J36" s="60">
        <f t="shared" si="3"/>
        <v>0</v>
      </c>
    </row>
    <row r="37" spans="1:10" x14ac:dyDescent="0.2">
      <c r="A37">
        <v>26</v>
      </c>
      <c r="B37" s="58"/>
      <c r="C37" s="61">
        <f t="shared" si="0"/>
        <v>0</v>
      </c>
      <c r="D37" s="59">
        <v>0</v>
      </c>
      <c r="E37" s="59">
        <v>0</v>
      </c>
      <c r="F37" s="61">
        <f t="shared" si="1"/>
        <v>0</v>
      </c>
      <c r="G37" s="59">
        <v>0</v>
      </c>
      <c r="H37" s="61">
        <f t="shared" si="2"/>
        <v>0</v>
      </c>
      <c r="I37" s="59">
        <v>0</v>
      </c>
      <c r="J37" s="60">
        <f t="shared" si="3"/>
        <v>0</v>
      </c>
    </row>
    <row r="38" spans="1:10" x14ac:dyDescent="0.2">
      <c r="A38">
        <v>27</v>
      </c>
      <c r="B38" s="58"/>
      <c r="C38" s="61">
        <f t="shared" si="0"/>
        <v>0</v>
      </c>
      <c r="D38" s="59">
        <v>0</v>
      </c>
      <c r="E38" s="59">
        <v>0</v>
      </c>
      <c r="F38" s="61">
        <f t="shared" si="1"/>
        <v>0</v>
      </c>
      <c r="G38" s="59">
        <v>0</v>
      </c>
      <c r="H38" s="61">
        <f t="shared" si="2"/>
        <v>0</v>
      </c>
      <c r="I38" s="59">
        <v>0</v>
      </c>
      <c r="J38" s="60">
        <f t="shared" si="3"/>
        <v>0</v>
      </c>
    </row>
    <row r="39" spans="1:10" x14ac:dyDescent="0.2">
      <c r="A39">
        <v>28</v>
      </c>
      <c r="B39" s="58"/>
      <c r="C39" s="61">
        <f>F38</f>
        <v>0</v>
      </c>
      <c r="D39" s="59">
        <v>0</v>
      </c>
      <c r="E39" s="59">
        <v>0</v>
      </c>
      <c r="F39" s="61">
        <f t="shared" si="1"/>
        <v>0</v>
      </c>
      <c r="G39" s="59">
        <v>0</v>
      </c>
      <c r="H39" s="61">
        <f t="shared" si="2"/>
        <v>0</v>
      </c>
      <c r="I39" s="59">
        <v>0</v>
      </c>
      <c r="J39" s="60">
        <f t="shared" si="3"/>
        <v>0</v>
      </c>
    </row>
    <row r="40" spans="1:10" x14ac:dyDescent="0.2">
      <c r="A40">
        <v>29</v>
      </c>
      <c r="B40" s="58"/>
      <c r="C40" s="61">
        <f t="shared" si="0"/>
        <v>0</v>
      </c>
      <c r="D40" s="59">
        <v>0</v>
      </c>
      <c r="E40" s="59">
        <v>0</v>
      </c>
      <c r="F40" s="61">
        <f t="shared" si="1"/>
        <v>0</v>
      </c>
      <c r="G40" s="59">
        <v>0</v>
      </c>
      <c r="H40" s="61">
        <f t="shared" si="2"/>
        <v>0</v>
      </c>
      <c r="I40" s="59">
        <v>0</v>
      </c>
      <c r="J40" s="60">
        <f t="shared" si="3"/>
        <v>0</v>
      </c>
    </row>
    <row r="41" spans="1:10" x14ac:dyDescent="0.2">
      <c r="A41">
        <v>30</v>
      </c>
      <c r="B41" s="58"/>
      <c r="C41" s="61">
        <f t="shared" si="0"/>
        <v>0</v>
      </c>
      <c r="D41" s="59">
        <v>0</v>
      </c>
      <c r="E41" s="59">
        <v>0</v>
      </c>
      <c r="F41" s="61">
        <f t="shared" si="1"/>
        <v>0</v>
      </c>
      <c r="G41" s="59">
        <v>0</v>
      </c>
      <c r="H41" s="61">
        <f t="shared" si="2"/>
        <v>0</v>
      </c>
      <c r="I41" s="59">
        <v>0</v>
      </c>
      <c r="J41" s="60">
        <f t="shared" si="3"/>
        <v>0</v>
      </c>
    </row>
    <row r="42" spans="1:10" s="193" customFormat="1" x14ac:dyDescent="0.2">
      <c r="A42" s="222"/>
      <c r="B42" s="62"/>
      <c r="C42" s="64"/>
      <c r="D42" s="63"/>
      <c r="E42" s="63"/>
      <c r="F42" s="64"/>
      <c r="G42" s="63"/>
      <c r="H42" s="64"/>
      <c r="I42" s="63"/>
      <c r="J42" s="64"/>
    </row>
    <row r="43" spans="1:10" s="193" customFormat="1" x14ac:dyDescent="0.2">
      <c r="A43" s="222"/>
      <c r="B43" s="62"/>
      <c r="C43" s="64"/>
      <c r="D43" s="63"/>
      <c r="E43" s="63"/>
      <c r="F43" s="64"/>
      <c r="G43" s="63"/>
      <c r="H43" s="64"/>
      <c r="I43" s="63"/>
      <c r="J43" s="64"/>
    </row>
    <row r="44" spans="1:10" s="193" customFormat="1" x14ac:dyDescent="0.2">
      <c r="A44" s="222"/>
      <c r="B44" s="62"/>
      <c r="C44" s="64"/>
      <c r="D44" s="63"/>
      <c r="E44" s="63"/>
      <c r="F44" s="64"/>
      <c r="G44" s="63"/>
      <c r="H44" s="64"/>
      <c r="I44" s="63"/>
      <c r="J44" s="64"/>
    </row>
    <row r="45" spans="1:10" s="193" customFormat="1" ht="13.5" thickBot="1" x14ac:dyDescent="0.25">
      <c r="A45" s="222"/>
      <c r="B45" s="62"/>
      <c r="C45" s="64"/>
      <c r="D45" s="63"/>
      <c r="E45" s="63"/>
      <c r="F45" s="64"/>
      <c r="G45" s="63"/>
      <c r="H45" s="64"/>
      <c r="I45" s="63"/>
      <c r="J45" s="64"/>
    </row>
    <row r="46" spans="1:10" s="193" customFormat="1" ht="14.25" thickTop="1" thickBot="1" x14ac:dyDescent="0.25">
      <c r="A46" s="223"/>
      <c r="B46" s="66" t="s">
        <v>119</v>
      </c>
      <c r="C46" s="67">
        <f>SUM(C12:C45)</f>
        <v>0</v>
      </c>
      <c r="D46" s="67">
        <f t="shared" ref="D46:J46" si="4">SUM(D12:D45)</f>
        <v>0</v>
      </c>
      <c r="E46" s="67">
        <f t="shared" si="4"/>
        <v>0</v>
      </c>
      <c r="F46" s="67">
        <f t="shared" si="4"/>
        <v>0</v>
      </c>
      <c r="G46" s="67">
        <f t="shared" si="4"/>
        <v>0</v>
      </c>
      <c r="H46" s="67">
        <f t="shared" si="4"/>
        <v>0</v>
      </c>
      <c r="I46" s="67">
        <f t="shared" si="4"/>
        <v>0</v>
      </c>
      <c r="J46" s="67">
        <f t="shared" si="4"/>
        <v>0</v>
      </c>
    </row>
    <row r="47" spans="1:10" s="193" customFormat="1" ht="14.25" thickTop="1" thickBot="1" x14ac:dyDescent="0.25">
      <c r="A47" s="223"/>
      <c r="B47" s="66" t="s">
        <v>244</v>
      </c>
      <c r="C47" s="68">
        <f>AVERAGE(C12:C45)</f>
        <v>0</v>
      </c>
      <c r="D47" s="68">
        <f t="shared" ref="D47:J47" si="5">AVERAGE(D12:D45)</f>
        <v>0</v>
      </c>
      <c r="E47" s="68">
        <f t="shared" si="5"/>
        <v>0</v>
      </c>
      <c r="F47" s="68">
        <f t="shared" si="5"/>
        <v>0</v>
      </c>
      <c r="G47" s="68">
        <f t="shared" si="5"/>
        <v>0</v>
      </c>
      <c r="H47" s="68">
        <f t="shared" si="5"/>
        <v>0</v>
      </c>
      <c r="I47" s="68">
        <f t="shared" si="5"/>
        <v>0</v>
      </c>
      <c r="J47" s="68">
        <f t="shared" si="5"/>
        <v>0</v>
      </c>
    </row>
    <row r="48" spans="1:10" ht="13.5" thickTop="1" x14ac:dyDescent="0.2"/>
    <row r="49" spans="2:5" x14ac:dyDescent="0.2">
      <c r="B49" s="69"/>
      <c r="C49" s="69"/>
      <c r="E49" s="69"/>
    </row>
    <row r="50" spans="2:5" x14ac:dyDescent="0.2">
      <c r="B50" s="65" t="s">
        <v>250</v>
      </c>
      <c r="C50" s="65"/>
      <c r="E50" s="65" t="s">
        <v>251</v>
      </c>
    </row>
    <row r="53" spans="2:5" x14ac:dyDescent="0.2">
      <c r="B53" s="70"/>
      <c r="C53" s="70"/>
    </row>
  </sheetData>
  <sheetProtection password="EE5D" sheet="1" objects="1" scenarios="1" insertRows="0" deleteRows="0"/>
  <mergeCells count="1">
    <mergeCell ref="C1:J1"/>
  </mergeCells>
  <printOptions horizontalCentered="1"/>
  <pageMargins left="0.3" right="0.3" top="0.5" bottom="0.5" header="0.3" footer="0.3"/>
  <pageSetup scale="7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Enrollment Data</vt:lpstr>
      <vt:lpstr>ADA Data - SOF</vt:lpstr>
      <vt:lpstr>SCE Worksheet</vt:lpstr>
      <vt:lpstr>Payment Formula</vt:lpstr>
      <vt:lpstr>Charter Data</vt:lpstr>
      <vt:lpstr>Membership Report</vt:lpstr>
      <vt:lpstr>Sheet1</vt:lpstr>
      <vt:lpstr>'ADA Data - SOF'!Print_Area</vt:lpstr>
      <vt:lpstr>'Charter Data'!Print_Area</vt:lpstr>
      <vt:lpstr>'Enrollment Data'!Print_Area</vt:lpstr>
      <vt:lpstr>'Membership Report'!Print_Area</vt:lpstr>
      <vt:lpstr>'Charter Data'!Print_Titles</vt:lpstr>
      <vt:lpstr>'Enrollment Data'!Print_Titles</vt:lpstr>
    </vt:vector>
  </TitlesOfParts>
  <Company>Texas Education Agency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Estimate of State Aid Entitlement Template</dc:title>
  <dc:creator>Division of State Funding</dc:creator>
  <cp:lastModifiedBy>nora rainey</cp:lastModifiedBy>
  <cp:lastPrinted>2014-05-12T18:44:23Z</cp:lastPrinted>
  <dcterms:created xsi:type="dcterms:W3CDTF">1998-05-05T01:54:51Z</dcterms:created>
  <dcterms:modified xsi:type="dcterms:W3CDTF">2014-09-18T12:25:44Z</dcterms:modified>
</cp:coreProperties>
</file>