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Charter Schools\2014-2015\"/>
    </mc:Choice>
  </mc:AlternateContent>
  <bookViews>
    <workbookView xWindow="375" yWindow="2100" windowWidth="18855" windowHeight="6885" tabRatio="769"/>
  </bookViews>
  <sheets>
    <sheet name="Enrollment Data" sheetId="16" r:id="rId1"/>
    <sheet name="ADA Data - SOF" sheetId="26" r:id="rId2"/>
    <sheet name="SCE Worksheet" sheetId="45" r:id="rId3"/>
    <sheet name="Payment Formula" sheetId="38" r:id="rId4"/>
    <sheet name="Charter Data" sheetId="20" state="hidden" r:id="rId5"/>
    <sheet name="Membership Report" sheetId="31" r:id="rId6"/>
    <sheet name="Sheet1" sheetId="46" r:id="rId7"/>
  </sheets>
  <definedNames>
    <definedName name="_cdn1">#REF!</definedName>
    <definedName name="_cdn10">#REF!</definedName>
    <definedName name="_cdn11">#REF!</definedName>
    <definedName name="_cdn12">#REF!</definedName>
    <definedName name="_cdn13">#REF!</definedName>
    <definedName name="_cdn14">#REF!</definedName>
    <definedName name="_cdn15">#REF!</definedName>
    <definedName name="_cdn16">#REF!</definedName>
    <definedName name="_cdn17">#REF!</definedName>
    <definedName name="_cdn18">#REF!</definedName>
    <definedName name="_cdn19">#REF!</definedName>
    <definedName name="_cdn2">#REF!</definedName>
    <definedName name="_cdn20">#REF!</definedName>
    <definedName name="_cdn21">#REF!</definedName>
    <definedName name="_cdn22">#REF!</definedName>
    <definedName name="_cdn23">#REF!</definedName>
    <definedName name="_cdn24">#REF!</definedName>
    <definedName name="_cdn25">#REF!</definedName>
    <definedName name="_cdn26">#REF!</definedName>
    <definedName name="_cdn27">#REF!</definedName>
    <definedName name="_cdn28">#REF!</definedName>
    <definedName name="_cdn29">#REF!</definedName>
    <definedName name="_cdn3">#REF!</definedName>
    <definedName name="_cdn30">#REF!</definedName>
    <definedName name="_cdn31">#REF!</definedName>
    <definedName name="_cdn32">#REF!</definedName>
    <definedName name="_cdn33">#REF!</definedName>
    <definedName name="_cdn34">#REF!</definedName>
    <definedName name="_cdn35">#REF!</definedName>
    <definedName name="_cdn36">#REF!</definedName>
    <definedName name="_cdn37">#REF!</definedName>
    <definedName name="_cdn38">#REF!</definedName>
    <definedName name="_cdn39">#REF!</definedName>
    <definedName name="_cdn4">#REF!</definedName>
    <definedName name="_cdn40">#REF!</definedName>
    <definedName name="_cdn5">#REF!</definedName>
    <definedName name="_cdn6">#REF!</definedName>
    <definedName name="_cdn7">#REF!</definedName>
    <definedName name="_cdn8">#REF!</definedName>
    <definedName name="_cdn9">#REF!</definedName>
    <definedName name="admin">#REF!</definedName>
    <definedName name="data">#REF!</definedName>
    <definedName name="data2">#REF!</definedName>
    <definedName name="data3">#REF!</definedName>
    <definedName name="data4">#REF!</definedName>
    <definedName name="data5">#REF!</definedName>
    <definedName name="isdcdn">#REF!</definedName>
    <definedName name="_xlnm.Print_Area" localSheetId="1">'ADA Data - SOF'!$A$1:$D$90</definedName>
    <definedName name="_xlnm.Print_Area" localSheetId="4">'Charter Data'!$A$1:$C$176</definedName>
    <definedName name="_xlnm.Print_Area" localSheetId="0">'Enrollment Data'!$A$2:$C$41</definedName>
    <definedName name="_xlnm.Print_Area" localSheetId="5">'Membership Report'!$A$1:$J$51</definedName>
    <definedName name="_xlnm.Print_Titles" localSheetId="4">'Charter Data'!$1:$4</definedName>
    <definedName name="_xlnm.Print_Titles" localSheetId="0">'Enrollment Data'!$A:$A,'Enrollment Data'!$2:$4</definedName>
    <definedName name="whatif">#REF!</definedName>
  </definedNames>
  <calcPr calcId="152511"/>
</workbook>
</file>

<file path=xl/calcChain.xml><?xml version="1.0" encoding="utf-8"?>
<calcChain xmlns="http://schemas.openxmlformats.org/spreadsheetml/2006/main">
  <c r="B55" i="26" l="1"/>
  <c r="B81" i="26" s="1"/>
  <c r="B57" i="26"/>
  <c r="B56" i="26"/>
  <c r="B5" i="26"/>
  <c r="B6" i="26"/>
  <c r="B28" i="26" l="1"/>
  <c r="B27" i="26"/>
  <c r="B23" i="26"/>
  <c r="B22" i="26"/>
  <c r="B21" i="26"/>
  <c r="B18" i="26"/>
  <c r="B17" i="26"/>
  <c r="B16" i="26"/>
  <c r="B15" i="26"/>
  <c r="B14" i="26"/>
  <c r="B13" i="26"/>
  <c r="B12" i="26"/>
  <c r="B11" i="26"/>
  <c r="B10" i="26"/>
  <c r="B9" i="26"/>
  <c r="B67" i="26"/>
  <c r="B25" i="26" l="1"/>
  <c r="B33" i="26" l="1"/>
  <c r="B32" i="26"/>
  <c r="A2" i="16"/>
  <c r="B26" i="26"/>
  <c r="C5" i="16"/>
  <c r="B35" i="16"/>
  <c r="B31" i="26" s="1"/>
  <c r="B68" i="26" s="1"/>
  <c r="C8" i="45"/>
  <c r="C9" i="45" s="1"/>
  <c r="C10" i="45" s="1"/>
  <c r="C11" i="45" s="1"/>
  <c r="C12" i="45" s="1"/>
  <c r="C13" i="45" s="1"/>
  <c r="C14" i="45" s="1"/>
  <c r="C15" i="45" s="1"/>
  <c r="C16" i="45" s="1"/>
  <c r="C17" i="45" s="1"/>
  <c r="C18" i="45" s="1"/>
  <c r="B8" i="45"/>
  <c r="B9" i="45" s="1"/>
  <c r="B10" i="45" s="1"/>
  <c r="B11" i="45" s="1"/>
  <c r="B12" i="45" s="1"/>
  <c r="B13" i="45" s="1"/>
  <c r="B14" i="45" s="1"/>
  <c r="B15" i="45" s="1"/>
  <c r="B16" i="45" s="1"/>
  <c r="B17" i="45" s="1"/>
  <c r="B18" i="45" s="1"/>
  <c r="C2" i="45"/>
  <c r="B26" i="45"/>
  <c r="B76" i="26"/>
  <c r="C1" i="45" l="1"/>
  <c r="C1" i="31"/>
  <c r="B21" i="45"/>
  <c r="B25" i="45"/>
  <c r="B23" i="45"/>
  <c r="B22" i="45"/>
  <c r="B24" i="45"/>
  <c r="B27" i="45" l="1"/>
  <c r="A2" i="26"/>
  <c r="A1" i="26" s="1"/>
  <c r="B82" i="26" l="1"/>
  <c r="B75" i="26"/>
  <c r="B85" i="26"/>
  <c r="B7" i="26"/>
  <c r="B73" i="26" l="1"/>
  <c r="B41" i="16"/>
  <c r="B6" i="38"/>
  <c r="A3" i="26"/>
  <c r="F12" i="31"/>
  <c r="H12" i="31" s="1"/>
  <c r="J12" i="31" s="1"/>
  <c r="D46" i="31"/>
  <c r="G46" i="31"/>
  <c r="I46" i="31"/>
  <c r="D47" i="31"/>
  <c r="G47" i="31"/>
  <c r="I47" i="31"/>
  <c r="B30" i="16"/>
  <c r="B31" i="16"/>
  <c r="E46" i="31"/>
  <c r="E47" i="31"/>
  <c r="C13" i="31" l="1"/>
  <c r="F13" i="31" s="1"/>
  <c r="H13" i="31" s="1"/>
  <c r="J13" i="31" s="1"/>
  <c r="B83" i="26"/>
  <c r="B59" i="26"/>
  <c r="C17" i="26"/>
  <c r="C15" i="26"/>
  <c r="C13" i="26"/>
  <c r="C11" i="26"/>
  <c r="C9" i="26"/>
  <c r="C18" i="26"/>
  <c r="C16" i="26"/>
  <c r="C14" i="26"/>
  <c r="C12" i="26"/>
  <c r="C10" i="26"/>
  <c r="B45" i="26"/>
  <c r="C14" i="31" l="1"/>
  <c r="F14" i="31" s="1"/>
  <c r="C15" i="31" s="1"/>
  <c r="F15" i="31" s="1"/>
  <c r="B44" i="26"/>
  <c r="B49" i="26"/>
  <c r="B53" i="26"/>
  <c r="B58" i="26"/>
  <c r="B29" i="26"/>
  <c r="B50" i="26"/>
  <c r="B51" i="26"/>
  <c r="B46" i="26"/>
  <c r="B20" i="26"/>
  <c r="B43" i="26" s="1"/>
  <c r="B52" i="26"/>
  <c r="C20" i="26"/>
  <c r="B47" i="26" s="1"/>
  <c r="C19" i="26"/>
  <c r="B19" i="26"/>
  <c r="H15" i="31" l="1"/>
  <c r="J15" i="31" s="1"/>
  <c r="C16" i="31"/>
  <c r="H14" i="31"/>
  <c r="J14" i="31" s="1"/>
  <c r="B48" i="26"/>
  <c r="F16" i="31"/>
  <c r="C17" i="31" l="1"/>
  <c r="H16" i="31"/>
  <c r="F17" i="31" l="1"/>
  <c r="J16" i="31"/>
  <c r="C18" i="31" l="1"/>
  <c r="H17" i="31"/>
  <c r="F18" i="31" l="1"/>
  <c r="J17" i="31"/>
  <c r="H18" i="31" l="1"/>
  <c r="C19" i="31"/>
  <c r="J18" i="31" l="1"/>
  <c r="F19" i="31"/>
  <c r="H19" i="31" l="1"/>
  <c r="C20" i="31"/>
  <c r="F20" i="31" s="1"/>
  <c r="J19" i="31" l="1"/>
  <c r="H20" i="31"/>
  <c r="J20" i="31" s="1"/>
  <c r="C21" i="31"/>
  <c r="F21" i="31" s="1"/>
  <c r="H21" i="31" l="1"/>
  <c r="J21" i="31" s="1"/>
  <c r="C22" i="31"/>
  <c r="F22" i="31" s="1"/>
  <c r="H22" i="31" l="1"/>
  <c r="J22" i="31" s="1"/>
  <c r="C23" i="31"/>
  <c r="F23" i="31" s="1"/>
  <c r="H23" i="31" l="1"/>
  <c r="J23" i="31" s="1"/>
  <c r="C24" i="31"/>
  <c r="F24" i="31" s="1"/>
  <c r="H24" i="31" l="1"/>
  <c r="J24" i="31" s="1"/>
  <c r="C25" i="31"/>
  <c r="F25" i="31" s="1"/>
  <c r="H25" i="31" l="1"/>
  <c r="J25" i="31" s="1"/>
  <c r="C26" i="31"/>
  <c r="F26" i="31" s="1"/>
  <c r="H26" i="31" l="1"/>
  <c r="J26" i="31" s="1"/>
  <c r="C27" i="31"/>
  <c r="F27" i="31" s="1"/>
  <c r="H27" i="31" l="1"/>
  <c r="J27" i="31" s="1"/>
  <c r="C28" i="31"/>
  <c r="F28" i="31" s="1"/>
  <c r="H28" i="31" l="1"/>
  <c r="J28" i="31" s="1"/>
  <c r="C29" i="31"/>
  <c r="F29" i="31" s="1"/>
  <c r="H29" i="31" l="1"/>
  <c r="J29" i="31" s="1"/>
  <c r="C30" i="31"/>
  <c r="F30" i="31" s="1"/>
  <c r="H30" i="31" l="1"/>
  <c r="J30" i="31" s="1"/>
  <c r="C31" i="31"/>
  <c r="F31" i="31" s="1"/>
  <c r="H31" i="31" l="1"/>
  <c r="J31" i="31" s="1"/>
  <c r="C32" i="31"/>
  <c r="F32" i="31" s="1"/>
  <c r="H32" i="31" l="1"/>
  <c r="J32" i="31" s="1"/>
  <c r="C33" i="31"/>
  <c r="F33" i="31" s="1"/>
  <c r="H33" i="31" l="1"/>
  <c r="J33" i="31" s="1"/>
  <c r="C34" i="31"/>
  <c r="F34" i="31" s="1"/>
  <c r="H34" i="31" l="1"/>
  <c r="J34" i="31" s="1"/>
  <c r="C35" i="31"/>
  <c r="F35" i="31" s="1"/>
  <c r="H35" i="31" l="1"/>
  <c r="J35" i="31" s="1"/>
  <c r="C36" i="31"/>
  <c r="F36" i="31" s="1"/>
  <c r="H36" i="31" l="1"/>
  <c r="J36" i="31" s="1"/>
  <c r="C37" i="31"/>
  <c r="F37" i="31" s="1"/>
  <c r="H37" i="31" l="1"/>
  <c r="J37" i="31" s="1"/>
  <c r="C38" i="31"/>
  <c r="F38" i="31" s="1"/>
  <c r="H38" i="31" l="1"/>
  <c r="J38" i="31" s="1"/>
  <c r="C39" i="31"/>
  <c r="F39" i="31" s="1"/>
  <c r="H39" i="31" l="1"/>
  <c r="J39" i="31" s="1"/>
  <c r="C40" i="31"/>
  <c r="F40" i="31" s="1"/>
  <c r="H40" i="31" l="1"/>
  <c r="J40" i="31" s="1"/>
  <c r="C41" i="31"/>
  <c r="F41" i="31" l="1"/>
  <c r="C47" i="31"/>
  <c r="C46" i="31"/>
  <c r="H41" i="31" l="1"/>
  <c r="F46" i="31"/>
  <c r="F47" i="31"/>
  <c r="J41" i="31" l="1"/>
  <c r="H46" i="31"/>
  <c r="H47" i="31"/>
  <c r="J47" i="31" l="1"/>
  <c r="J46" i="31"/>
  <c r="B24" i="26" l="1"/>
  <c r="B42" i="26" l="1"/>
  <c r="B30" i="26" l="1"/>
  <c r="B77" i="26" s="1"/>
  <c r="B60" i="26"/>
  <c r="B87" i="26" s="1"/>
  <c r="B62" i="26" l="1"/>
  <c r="B79" i="26"/>
  <c r="B78" i="26"/>
  <c r="B61" i="26"/>
  <c r="B63" i="26" l="1"/>
  <c r="B64" i="26" s="1"/>
  <c r="B80" i="26"/>
  <c r="B86" i="26" s="1"/>
  <c r="B88" i="26" s="1"/>
  <c r="B69" i="26" s="1"/>
  <c r="B70" i="26" s="1"/>
  <c r="B72" i="26" l="1"/>
  <c r="B74" i="26" s="1"/>
  <c r="B1" i="38" s="1"/>
  <c r="B89" i="26"/>
  <c r="B90" i="26" s="1"/>
  <c r="B4" i="38" l="1"/>
  <c r="B7" i="38" s="1"/>
</calcChain>
</file>

<file path=xl/comments1.xml><?xml version="1.0" encoding="utf-8"?>
<comments xmlns="http://schemas.openxmlformats.org/spreadsheetml/2006/main">
  <authors>
    <author>Nora Rainey</author>
    <author>nora rainey</author>
  </authors>
  <commentList>
    <comment ref="A1" authorId="0" shapeId="0">
      <text>
        <r>
          <rPr>
            <sz val="9"/>
            <color indexed="81"/>
            <rFont val="Arial"/>
            <family val="2"/>
          </rPr>
          <t xml:space="preserve">Enter the charter school's county district number (CDN) without using dashes or spaces.
</t>
        </r>
      </text>
    </comment>
    <comment ref="B5" authorId="0" shapeId="0">
      <text>
        <r>
          <rPr>
            <b/>
            <sz val="9"/>
            <color indexed="81"/>
            <rFont val="Arial"/>
            <family val="2"/>
          </rPr>
          <t>Enter the estimated average  number of students expected to be enrolled during the first six weeks attendance reporting period for all tracks.   (Please note that for FSP purposes, pre-kindergarten students only count for half a student.</t>
        </r>
        <r>
          <rPr>
            <b/>
            <sz val="9"/>
            <color indexed="10"/>
            <rFont val="Arial"/>
            <family val="2"/>
          </rPr>
          <t xml:space="preserve"> (Student Attendance Accounting Handbook, Section III).</t>
        </r>
        <r>
          <rPr>
            <sz val="9"/>
            <color indexed="81"/>
            <rFont val="Arial"/>
            <family val="2"/>
          </rPr>
          <t xml:space="preserve">
</t>
        </r>
      </text>
    </comment>
    <comment ref="B7" authorId="0" shapeId="0">
      <text>
        <r>
          <rPr>
            <b/>
            <sz val="9"/>
            <color indexed="81"/>
            <rFont val="Arial"/>
            <family val="2"/>
          </rPr>
          <t>Enter the charter school's estimated percentage rate of attendance.  If the charter school was in operation in the 2013-2014 school year, a good guide for estimating the percentage rate of attendance for the 2014-2015 school year is the  2013-2014 Edit + PRF7D010 Report, or the 2013-2014 FSP Track Projection of Approved Six-Week Reports.</t>
        </r>
        <r>
          <rPr>
            <sz val="9"/>
            <color indexed="81"/>
            <rFont val="Arial"/>
            <family val="2"/>
          </rPr>
          <t xml:space="preserve">
</t>
        </r>
      </text>
    </comment>
    <comment ref="B9" authorId="0" shapeId="0">
      <text>
        <r>
          <rPr>
            <b/>
            <sz val="9"/>
            <color indexed="81"/>
            <rFont val="Arial"/>
            <family val="2"/>
          </rPr>
          <t>Enter the estimated number of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C9" authorId="0" shapeId="0">
      <text>
        <r>
          <rPr>
            <b/>
            <sz val="9"/>
            <color indexed="81"/>
            <rFont val="Arial"/>
            <family val="2"/>
          </rPr>
          <t>Enter the estimated number of EYS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B10" authorId="0" shapeId="0">
      <text>
        <r>
          <rPr>
            <b/>
            <sz val="9"/>
            <color indexed="81"/>
            <rFont val="Arial"/>
            <family val="2"/>
          </rPr>
          <t>Enter the estimated number of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C10" authorId="0" shapeId="0">
      <text>
        <r>
          <rPr>
            <b/>
            <sz val="9"/>
            <color indexed="81"/>
            <rFont val="Arial"/>
            <family val="2"/>
          </rPr>
          <t>Enter the estimated number of EYS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B11" authorId="0" shapeId="0">
      <text>
        <r>
          <rPr>
            <b/>
            <sz val="9"/>
            <color indexed="81"/>
            <rFont val="Arial"/>
            <family val="2"/>
          </rPr>
          <t>Enter the estimated number of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C11" authorId="0" shapeId="0">
      <text>
        <r>
          <rPr>
            <b/>
            <sz val="9"/>
            <color indexed="81"/>
            <rFont val="Arial"/>
            <family val="2"/>
          </rPr>
          <t>Enter the estimated number of EYS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B12" authorId="0" shapeId="0">
      <text>
        <r>
          <rPr>
            <b/>
            <sz val="9"/>
            <color indexed="81"/>
            <rFont val="Arial"/>
            <family val="2"/>
          </rPr>
          <t>Enter the estimated number of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C12" authorId="0" shapeId="0">
      <text>
        <r>
          <rPr>
            <b/>
            <sz val="9"/>
            <color indexed="81"/>
            <rFont val="Arial"/>
            <family val="2"/>
          </rPr>
          <t>Enter the estimated number of EYS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B13" authorId="0" shapeId="0">
      <text>
        <r>
          <rPr>
            <b/>
            <sz val="9"/>
            <color indexed="81"/>
            <rFont val="Arial"/>
            <family val="2"/>
          </rPr>
          <t>Enter the estimated number of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C13" authorId="0" shapeId="0">
      <text>
        <r>
          <rPr>
            <b/>
            <sz val="9"/>
            <color indexed="81"/>
            <rFont val="Arial"/>
            <family val="2"/>
          </rPr>
          <t>Enter the estimated number of  EYS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B14" authorId="0" shape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C14" authorId="0" shapeId="0">
      <text>
        <r>
          <rPr>
            <b/>
            <sz val="9"/>
            <color indexed="81"/>
            <rFont val="Arial"/>
            <family val="2"/>
          </rPr>
          <t>Enter the estimated number of EYS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B15" authorId="0" shapeId="0">
      <text>
        <r>
          <rPr>
            <b/>
            <sz val="9"/>
            <color indexed="81"/>
            <rFont val="Arial"/>
            <family val="2"/>
          </rPr>
          <t>Enter the estimated number of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C15" authorId="0" shapeId="0">
      <text>
        <r>
          <rPr>
            <b/>
            <sz val="9"/>
            <color indexed="81"/>
            <rFont val="Arial"/>
            <family val="2"/>
          </rPr>
          <t>Enter the estimated number of EYS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B16" authorId="0" shapeId="0">
      <text>
        <r>
          <rPr>
            <b/>
            <sz val="9"/>
            <color indexed="81"/>
            <rFont val="Arial"/>
            <family val="2"/>
          </rPr>
          <t>Enter the estimated number of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C16" authorId="0" shapeId="0">
      <text>
        <r>
          <rPr>
            <b/>
            <sz val="9"/>
            <color indexed="81"/>
            <rFont val="Arial"/>
            <family val="2"/>
          </rPr>
          <t>Enter the estimated number of EYS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B17" authorId="0" shapeId="0">
      <text>
        <r>
          <rPr>
            <b/>
            <sz val="9"/>
            <color indexed="81"/>
            <rFont val="Arial"/>
            <family val="2"/>
          </rPr>
          <t>Enter the estimated number of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C17" authorId="0" shapeId="0">
      <text>
        <r>
          <rPr>
            <b/>
            <sz val="9"/>
            <color indexed="81"/>
            <rFont val="Arial"/>
            <family val="2"/>
          </rPr>
          <t>Enter the estimated number of EYS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B18" authorId="0" shapeId="0">
      <text>
        <r>
          <rPr>
            <b/>
            <sz val="9"/>
            <color indexed="81"/>
            <rFont val="Arial"/>
            <family val="2"/>
          </rPr>
          <t>Enter the estimated number of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C18" authorId="0" shapeId="0">
      <text>
        <r>
          <rPr>
            <b/>
            <sz val="9"/>
            <color indexed="81"/>
            <rFont val="Arial"/>
            <family val="2"/>
          </rPr>
          <t>Enter the estimated number of EYS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B19" authorId="0" shapeId="0">
      <text>
        <r>
          <rPr>
            <b/>
            <sz val="9"/>
            <color indexed="81"/>
            <rFont val="Arial"/>
            <family val="2"/>
          </rPr>
          <t>Enter the estimated number of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19" authorId="0" shapeId="0">
      <text>
        <r>
          <rPr>
            <b/>
            <sz val="9"/>
            <color indexed="81"/>
            <rFont val="Arial"/>
            <family val="2"/>
          </rPr>
          <t>Enter the estimated number of EYS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20" authorId="1" shapeId="0">
      <text>
        <r>
          <rPr>
            <sz val="9"/>
            <color indexed="81"/>
            <rFont val="Tahoma"/>
            <family val="2"/>
          </rPr>
          <t>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http://www.tea.state.tx.us/index2.aspx?id=2147487143.</t>
        </r>
      </text>
    </comment>
    <comment ref="B21" authorId="0" shape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C21" authorId="0" shape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B22" authorId="0" shape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C22" authorId="0" shape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3" authorId="0" shape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C23" authorId="0" shape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4" authorId="0" shape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C24" authorId="0" shape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5" authorId="0" shape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C25" authorId="0" shape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6" authorId="0" shape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C26" authorId="0" shape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7" authorId="0" shape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B28" authorId="0" shape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B29" authorId="0" shape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B30" authorId="0" shapeId="0">
      <text>
        <r>
          <rPr>
            <b/>
            <sz val="9"/>
            <color indexed="81"/>
            <rFont val="Arial"/>
            <family val="2"/>
          </rPr>
          <t>If the "Sped Total Error" is Displayed, then the sum of Students in Special Education Instructional Arrangements 01 though 98 is greater than the number of Students enrolled in row 7.  Please correct data before submitting. Estimates with Special Education enrollment errors will not be processed.</t>
        </r>
        <r>
          <rPr>
            <sz val="9"/>
            <color indexed="81"/>
            <rFont val="Arial"/>
            <family val="2"/>
          </rPr>
          <t xml:space="preserve">
</t>
        </r>
      </text>
    </comment>
    <comment ref="B31" authorId="0" shapeId="0">
      <text>
        <r>
          <rPr>
            <b/>
            <sz val="9"/>
            <color indexed="81"/>
            <rFont val="Arial"/>
            <family val="2"/>
          </rPr>
          <t>If the "CATE Total Error" is Displayed, then the sum of Students in Career and Technology Vocational Settings 1 though 6 is greater than the number of Students enrolled in row7.  Please correct data before submitting. Estimates with Career and Technology Education enrollment errors will not be processed.</t>
        </r>
        <r>
          <rPr>
            <sz val="9"/>
            <color indexed="81"/>
            <rFont val="Arial"/>
            <family val="2"/>
          </rPr>
          <t xml:space="preserve">
</t>
        </r>
      </text>
    </comment>
    <comment ref="B32" authorId="1" shapeId="0">
      <text>
        <r>
          <rPr>
            <b/>
            <sz val="9"/>
            <color indexed="81"/>
            <rFont val="Tahoma"/>
            <family val="2"/>
          </rPr>
          <t>nora rainey:</t>
        </r>
        <r>
          <rPr>
            <sz val="9"/>
            <color indexed="81"/>
            <rFont val="Tahoma"/>
            <family val="2"/>
          </rPr>
          <t xml:space="preserve">
</t>
        </r>
        <r>
          <rPr>
            <sz val="8"/>
            <color indexed="81"/>
            <rFont val="Tahoma"/>
            <family val="2"/>
          </rPr>
          <t>Preliminary data.  Actual data using the 2012 fall enrollment estimates will be updated in July 2013.</t>
        </r>
      </text>
    </comment>
  </commentList>
</comments>
</file>

<file path=xl/comments2.xml><?xml version="1.0" encoding="utf-8"?>
<comments xmlns="http://schemas.openxmlformats.org/spreadsheetml/2006/main">
  <authors>
    <author>nora rainey</author>
  </authors>
  <commentList>
    <comment ref="D6" authorId="0" shapeId="0">
      <text>
        <r>
          <rPr>
            <b/>
            <sz val="9"/>
            <color indexed="81"/>
            <rFont val="Tahoma"/>
            <family val="2"/>
          </rPr>
          <t>For assistance with determining the monthly counts, please use the 2013-2014 SCE Daily Membership worksheet.</t>
        </r>
      </text>
    </comment>
  </commentList>
</comments>
</file>

<file path=xl/comments3.xml><?xml version="1.0" encoding="utf-8"?>
<comments xmlns="http://schemas.openxmlformats.org/spreadsheetml/2006/main">
  <authors>
    <author>nora rainey</author>
  </authors>
  <commentList>
    <comment ref="C1" authorId="0" shapeId="0">
      <text>
        <r>
          <rPr>
            <b/>
            <sz val="9"/>
            <color indexed="81"/>
            <rFont val="Tahoma"/>
            <family val="2"/>
          </rPr>
          <t>nora rainey:</t>
        </r>
        <r>
          <rPr>
            <sz val="9"/>
            <color indexed="81"/>
            <rFont val="Tahoma"/>
            <family val="2"/>
          </rPr>
          <t xml:space="preserve">
Emailed from Melissa Geisberg in Charter Division.  </t>
        </r>
      </text>
    </comment>
    <comment ref="A4" authorId="0" shapeId="0">
      <text>
        <r>
          <rPr>
            <b/>
            <sz val="9"/>
            <color indexed="81"/>
            <rFont val="Tahoma"/>
            <family val="2"/>
          </rPr>
          <t>nora rainey:</t>
        </r>
        <r>
          <rPr>
            <sz val="9"/>
            <color indexed="81"/>
            <rFont val="Tahoma"/>
            <family val="2"/>
          </rPr>
          <t xml:space="preserve">
From: Alaniz, Arnoldo 
Sent: Wednesday, August 21, 2013 4:53 PM
To: Rainey, Nora
Cc: Gonzalez, Nina; Anderson, Valerie; Salvo, Rick
Subject: RE: Great Hearts Academy – San Antonio 015835 Status
</t>
        </r>
      </text>
    </comment>
  </commentList>
</comments>
</file>

<file path=xl/sharedStrings.xml><?xml version="1.0" encoding="utf-8"?>
<sst xmlns="http://schemas.openxmlformats.org/spreadsheetml/2006/main" count="658" uniqueCount="419">
  <si>
    <t>Vista del Furturo Charter School</t>
  </si>
  <si>
    <t>Bob Hope School</t>
  </si>
  <si>
    <t>Koinonia Community Learning Academy</t>
  </si>
  <si>
    <t>HS ADA</t>
  </si>
  <si>
    <t>WESTLAKE ACADEMY CHARTER SCHOOL</t>
  </si>
  <si>
    <t>HARMONY SCIENCE ACAD (FORT WORTH)</t>
  </si>
  <si>
    <t>AMERICAN YOUTHWORKS CHARTER SCHOOL</t>
  </si>
  <si>
    <t>ORENDA CHARTER SCHOOL</t>
  </si>
  <si>
    <t>Additional State Aid for Tax Reduction (ASATR)</t>
  </si>
  <si>
    <t>MeadowLand Charter School</t>
  </si>
  <si>
    <t>Stephen F. Austin State University Charter School</t>
  </si>
  <si>
    <t>Chapel Hill Academy</t>
  </si>
  <si>
    <t>Summit International Preparatory</t>
  </si>
  <si>
    <t>MEYERPARK ELEMENTARY</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</si>
  <si>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</si>
  <si>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</si>
  <si>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</si>
  <si>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</si>
  <si>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</si>
  <si>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</si>
  <si>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</si>
  <si>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</si>
  <si>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</si>
  <si>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</si>
  <si>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</si>
  <si>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</si>
  <si>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</si>
  <si>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</si>
  <si>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</si>
  <si>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</si>
  <si>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FOUNDATION</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</si>
  <si>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</si>
  <si>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</si>
  <si>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</si>
  <si>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</si>
  <si>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</si>
  <si>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</si>
  <si>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</si>
  <si>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</si>
  <si>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</si>
  <si>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</si>
  <si>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</si>
  <si>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</si>
  <si>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</si>
  <si>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</si>
  <si>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</si>
  <si>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</si>
  <si>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</si>
  <si>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</si>
  <si>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</si>
  <si>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</si>
  <si>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</si>
  <si>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</si>
  <si>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</si>
  <si>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</si>
  <si>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</si>
  <si>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</si>
  <si>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</si>
  <si>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</si>
  <si>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</si>
  <si>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</si>
  <si>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</si>
  <si>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</si>
  <si>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State Average Basic Allotment</t>
  </si>
  <si>
    <t>HARMONY SCIENCE ACADEMY</t>
  </si>
  <si>
    <t>BEATRICE MAYES INSTITUTE CHARTER SCHOOL</t>
  </si>
  <si>
    <t>NORTHWEST PREPARATORY</t>
  </si>
  <si>
    <t>DRAW ACADEMY</t>
  </si>
  <si>
    <t>KATHERINE ANNE PORTER SCHOOL</t>
  </si>
  <si>
    <t>CHARTER NAME</t>
  </si>
  <si>
    <t>RICHARD MILBURN ALTER HIGH SCHOOL (KILLEEN)</t>
  </si>
  <si>
    <t>TEMPLE EDUCATION CENTER</t>
  </si>
  <si>
    <t>POR VIDA ACADEMY</t>
  </si>
  <si>
    <t>HIGGS, CARTER, KING GIFTED &amp; TALENTED CHARTER ACAD</t>
  </si>
  <si>
    <t>JOHN H WOOD JR PUBLIC CHARTER DISTRICT</t>
  </si>
  <si>
    <t>BEXAR COUNTY ACADEMY</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</si>
  <si>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</si>
  <si>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</si>
  <si>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</si>
  <si>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</si>
  <si>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</si>
  <si>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</si>
  <si>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</si>
  <si>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</si>
  <si>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</si>
  <si>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</si>
  <si>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</si>
  <si>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</si>
  <si>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</si>
  <si>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</si>
  <si>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</si>
  <si>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</si>
  <si>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</si>
  <si>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</si>
  <si>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</si>
  <si>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</si>
  <si>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</si>
  <si>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</si>
  <si>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</si>
  <si>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</si>
  <si>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</si>
  <si>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</si>
  <si>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</si>
  <si>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</si>
  <si>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</si>
  <si>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HS Allotment</t>
  </si>
  <si>
    <t xml:space="preserve">Advanced Career &amp; Technology FTES </t>
  </si>
  <si>
    <t>RAUL YZAGUIRRE SCHOOL FOR SUCCESS</t>
  </si>
  <si>
    <t>BAY AREA CHARTER SCHOOL</t>
  </si>
  <si>
    <t>ACADEMY OF ACCELERATED LEARNING, INC</t>
  </si>
  <si>
    <t>HARRIS COUNTY JUVENILE JUSTICE CHARTER SCHOOL</t>
  </si>
  <si>
    <t>KIPP, INC CHARTER</t>
  </si>
  <si>
    <t>VARNETT CHARTER SCHOOL</t>
  </si>
  <si>
    <t>ALIEF MONTESSORI COMMUNITY SCHOOL</t>
  </si>
  <si>
    <t>Did Charter Holder Participate in TRS Active Care in 2005-06?</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</si>
  <si>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</si>
  <si>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</si>
  <si>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</si>
  <si>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</si>
  <si>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</si>
  <si>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</si>
  <si>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</si>
  <si>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</si>
  <si>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</si>
  <si>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</si>
  <si>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</si>
  <si>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</si>
  <si>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Career &amp; Technology Data:</t>
  </si>
  <si>
    <t>Special Education Error Check</t>
  </si>
  <si>
    <t>Career and Technology Error Check</t>
  </si>
  <si>
    <t>Compensatory Education Enrollment</t>
  </si>
  <si>
    <t>Number Enrolled in One-hour Class (Code V1)</t>
  </si>
  <si>
    <t>Number Enrolled in Two-hour Class (Code V2)</t>
  </si>
  <si>
    <t>Number Enrolled in Three-hour Class (Code V3)</t>
  </si>
  <si>
    <t>Number Enrolled in Four-hour Class (Code V4)</t>
  </si>
  <si>
    <t>Number Enrolled in Five-hour Class (Code V5)</t>
  </si>
  <si>
    <t>Number Enrolled in Six-hour Class (Code V6)</t>
  </si>
  <si>
    <t>Number Enrolled in Self-Contained Mild/Mod/Sev (Code 43 &amp; 44)</t>
  </si>
  <si>
    <t>Number Enrolled in Full-Time Early Childhood (Code 45)</t>
  </si>
  <si>
    <t>Number Enrolled in Off-Home Campus (Code 91-98)</t>
  </si>
  <si>
    <t>Homebound (Code 01)</t>
  </si>
  <si>
    <t>Hospital Class (Code 02)</t>
  </si>
  <si>
    <t>Speech Therapy (Code 00)</t>
  </si>
  <si>
    <t>Resource Room (Code 41&amp; 42)</t>
  </si>
  <si>
    <t>Self-contained Mild/Mod/Severe (Code 43 &amp; 44)</t>
  </si>
  <si>
    <t>Off-home Campus (Codes 91-98)</t>
  </si>
  <si>
    <t>VAC (Code 08)</t>
  </si>
  <si>
    <t>State School Students (Code 30)</t>
  </si>
  <si>
    <t>Residential Care &amp; Treatment (Code 81-89)</t>
  </si>
  <si>
    <t xml:space="preserve">Did this Charter Holder Participate in TRS Active Care in 2005-06? </t>
  </si>
  <si>
    <t>Percentage Rate of Attendance</t>
  </si>
  <si>
    <t>BROOKS ACADEMY OF SCIENCE AND ENGINEERING</t>
  </si>
  <si>
    <t>LA ACADEMIA DE ESTRELLAS</t>
  </si>
  <si>
    <t>HARMONY SCHOOL OF EXCELLENCE</t>
  </si>
  <si>
    <t>Full Time Early Childhood (Code 45)</t>
  </si>
  <si>
    <t>CDN</t>
  </si>
  <si>
    <t>Regular Program Block Grant</t>
  </si>
  <si>
    <t>State Share of Tier I</t>
  </si>
  <si>
    <t>LIGHTHOUSE CHARTER SCHOOL</t>
  </si>
  <si>
    <t>RICHARD MILBURN ACADEMY (ECTOR COUNTY)</t>
  </si>
  <si>
    <t>EAST FORT WORTH MONTESSORI ACADEMY</t>
  </si>
  <si>
    <t>RICHARD MILBURN ACADEMY (FORT WORTH)</t>
  </si>
  <si>
    <t>State Average Adjusted Basic Allotment</t>
  </si>
  <si>
    <t>Adjusted GYA</t>
  </si>
  <si>
    <t>LA FE PREPARATORY SCHOOL</t>
  </si>
  <si>
    <t>AMBASSADORS PREPARATORY ACADEMY</t>
  </si>
  <si>
    <t>HARMONY SCIENCE ACADEMY- LUBBOCK</t>
  </si>
  <si>
    <t>NORTH TEXAS ELEMENTARY SCHOOL OF THE ARTS</t>
  </si>
  <si>
    <t>Harmony Science Academy-Waco</t>
  </si>
  <si>
    <t>Rhodes School, The [Houston]</t>
  </si>
  <si>
    <t>YES</t>
  </si>
  <si>
    <t>NO</t>
  </si>
  <si>
    <t>Number Enrolled in Homebound (Code 01)</t>
  </si>
  <si>
    <t>Number Enrolled in Hospital Class (Code 02)</t>
  </si>
  <si>
    <t>AUSTIN DISCOVERY SCHOOL</t>
  </si>
  <si>
    <t>CORPUS CHRISTI MONTESSORI SCHOOL</t>
  </si>
  <si>
    <t>Number Enrolled in Speech Therapy (Code 00)</t>
  </si>
  <si>
    <t>Number Enrolled in Resource Room (Code 41 &amp; 42)</t>
  </si>
  <si>
    <t>Number Enrolled in VAC (Code 08)</t>
  </si>
  <si>
    <t>Number Enrolled from State Schools (Code 30)</t>
  </si>
  <si>
    <t>Number Enrolled in Residential Care &amp; Treatment (Code 81-89)</t>
  </si>
  <si>
    <t>Number Enrolled in Mainstream (Code 40)</t>
  </si>
  <si>
    <t>EAGLE ACADEMIES OF TEXAS</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</si>
  <si>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</si>
  <si>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</si>
  <si>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</si>
  <si>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</si>
  <si>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</si>
  <si>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</si>
  <si>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</si>
  <si>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</si>
  <si>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</si>
  <si>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</si>
  <si>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</si>
  <si>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</si>
  <si>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</si>
  <si>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</si>
  <si>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</si>
  <si>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</si>
  <si>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</si>
  <si>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ACADEMY OF FINE ARTS</t>
  </si>
  <si>
    <t>EDEN PARK ACADEMY</t>
  </si>
  <si>
    <t>NYOS CHARTER SCHOOL</t>
  </si>
  <si>
    <t>TEXAS EMPOWERMENT ACADEMY</t>
  </si>
  <si>
    <t>CEDARS INTERNATIONAL ACADEMY</t>
  </si>
  <si>
    <t>KIPP AUSTIN COLLEGE PREP</t>
  </si>
  <si>
    <t>RANCH ACADEMY</t>
  </si>
  <si>
    <t>RAVEN SCHOOL</t>
  </si>
  <si>
    <t>BRIGHT IDEAS CHARTER</t>
  </si>
  <si>
    <t xml:space="preserve">Number of Pregnancy Related Students </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</si>
  <si>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</si>
  <si>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</si>
  <si>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</si>
  <si>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</si>
  <si>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</si>
  <si>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</si>
  <si>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</si>
  <si>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</si>
  <si>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</si>
  <si>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</si>
  <si>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</si>
  <si>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Full-Time Staff (Does not include Administrators)</t>
  </si>
  <si>
    <t>Part-Time Staff  (Does not include Administrators)</t>
  </si>
  <si>
    <t>ONE STOP MULTISERVICE CHARTER SCHOOL</t>
  </si>
  <si>
    <t>MID-VALLEY ACADEMY</t>
  </si>
  <si>
    <t>VANGUARD ACADEMY</t>
  </si>
  <si>
    <t>RISE ACADEMY</t>
  </si>
  <si>
    <t>MIDLAND ACADEMY CHARTER SCHOOL</t>
  </si>
  <si>
    <t>TOTAL - All Grades</t>
  </si>
  <si>
    <t>Total Number of Students Enrolled (Average Membership)</t>
  </si>
  <si>
    <t>Charter School</t>
  </si>
  <si>
    <t>Reporting Period</t>
  </si>
  <si>
    <t>Beginning daily membership- (Number of students on current school roll)</t>
  </si>
  <si>
    <t>New Students</t>
  </si>
  <si>
    <t>Student Withdrawals</t>
  </si>
  <si>
    <t xml:space="preserve">Ending daily membership- </t>
  </si>
  <si>
    <t>Absences</t>
  </si>
  <si>
    <t>Days Present</t>
  </si>
  <si>
    <t>Total Ineligible Students Present</t>
  </si>
  <si>
    <t>Eligible Students</t>
  </si>
  <si>
    <t>Instruction Day</t>
  </si>
  <si>
    <t>+</t>
  </si>
  <si>
    <t>-</t>
  </si>
  <si>
    <t>=</t>
  </si>
  <si>
    <t>AVERAGE</t>
  </si>
  <si>
    <t xml:space="preserve">This spreadsheet was designed for a 30 day attendance reporting period. If the charter has more or less than 30 days taught, please </t>
  </si>
  <si>
    <t>delete or add rows as necessary to insure that the totals are accurately calculated. If adding rows, copy the last row with fomulas</t>
  </si>
  <si>
    <t>to all new rows and make sure that the total row incorporates the new rows in the formula.  Make sure to verify that all entries</t>
  </si>
  <si>
    <t>and calculations are correct prior to submission</t>
  </si>
  <si>
    <t xml:space="preserve">  </t>
  </si>
  <si>
    <t>Signature of Superintendent</t>
  </si>
  <si>
    <t>Date</t>
  </si>
  <si>
    <t>VICTORY PREP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</si>
  <si>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</si>
  <si>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</si>
  <si>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</si>
  <si>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</si>
  <si>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</si>
  <si>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</si>
  <si>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</si>
  <si>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</si>
  <si>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t>Newman International Academy of Arlington</t>
  </si>
  <si>
    <t>Staff Salary Allotment</t>
  </si>
  <si>
    <t>HS ADA from Last PEIMS submission</t>
  </si>
  <si>
    <r>
      <t xml:space="preserve">Special Education Block Grant </t>
    </r>
    <r>
      <rPr>
        <b/>
        <sz val="9"/>
        <color indexed="8"/>
        <rFont val="Arial Narrow"/>
        <family val="2"/>
      </rPr>
      <t>(Spend 52% of Amount as proposed)</t>
    </r>
  </si>
  <si>
    <r>
      <t>Regular Compensatory Ed</t>
    </r>
    <r>
      <rPr>
        <b/>
        <sz val="8"/>
        <color indexed="8"/>
        <rFont val="Arial Narrow"/>
        <family val="2"/>
      </rPr>
      <t xml:space="preserve"> (Spend 52% of Amount as proposed)</t>
    </r>
  </si>
  <si>
    <r>
      <t>Mainstream Special Education</t>
    </r>
    <r>
      <rPr>
        <b/>
        <sz val="9"/>
        <color indexed="8"/>
        <rFont val="Arial Narrow"/>
        <family val="2"/>
      </rPr>
      <t>(Spend 52% of Amount as proposed)</t>
    </r>
  </si>
  <si>
    <r>
      <t xml:space="preserve">Career &amp; Technology Grant </t>
    </r>
    <r>
      <rPr>
        <b/>
        <sz val="9"/>
        <color indexed="8"/>
        <rFont val="Arial Narrow"/>
        <family val="2"/>
      </rPr>
      <t>(Spend 58% of Amount as proposed)</t>
    </r>
  </si>
  <si>
    <r>
      <t xml:space="preserve">Pregnancy Related Services Allocation </t>
    </r>
    <r>
      <rPr>
        <b/>
        <sz val="8"/>
        <color indexed="8"/>
        <rFont val="Arial Narrow"/>
        <family val="2"/>
      </rPr>
      <t>(Spend 52% of Amount as proposed)</t>
    </r>
  </si>
  <si>
    <r>
      <t>Bilingual Education Block Grant</t>
    </r>
    <r>
      <rPr>
        <b/>
        <sz val="8"/>
        <color indexed="8"/>
        <rFont val="Arial Narrow"/>
        <family val="2"/>
      </rPr>
      <t xml:space="preserve"> (Spend 52% of Amount as proposed)</t>
    </r>
  </si>
  <si>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</si>
  <si>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</si>
  <si>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</si>
  <si>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</si>
  <si>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</si>
  <si>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</si>
  <si>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</si>
  <si>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</si>
  <si>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</si>
  <si>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</si>
  <si>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</si>
  <si>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</si>
  <si>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</si>
  <si>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</si>
  <si>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</si>
  <si>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</si>
  <si>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</si>
  <si>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</si>
  <si>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</si>
  <si>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</si>
  <si>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</si>
  <si>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</si>
  <si>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FSP Remaining Balance</t>
  </si>
  <si>
    <t>Number of Remaining FSP Payments</t>
  </si>
  <si>
    <t>Payment</t>
  </si>
  <si>
    <t>Remaining Balance to be Paid this Month</t>
  </si>
  <si>
    <t>Payment Month</t>
  </si>
  <si>
    <t>% of Unpaid Balance</t>
  </si>
  <si>
    <t>September</t>
  </si>
  <si>
    <t>October</t>
  </si>
  <si>
    <t>November</t>
  </si>
  <si>
    <t>December</t>
  </si>
  <si>
    <t>January</t>
  </si>
  <si>
    <t>February</t>
  </si>
  <si>
    <t>March</t>
  </si>
  <si>
    <t>April</t>
  </si>
  <si>
    <t>May</t>
  </si>
  <si>
    <t>June</t>
  </si>
  <si>
    <t>July</t>
  </si>
  <si>
    <t>August</t>
  </si>
  <si>
    <t>Remaining Payments</t>
  </si>
  <si>
    <t>Total FSP from latest Summary of Finances (SOF)</t>
  </si>
  <si>
    <t>EYS</t>
  </si>
  <si>
    <t>Advanced C&amp;T FTE</t>
  </si>
  <si>
    <r>
      <t xml:space="preserve">Gifted &amp; Talented Op Grant </t>
    </r>
    <r>
      <rPr>
        <b/>
        <sz val="8"/>
        <color indexed="8"/>
        <rFont val="Arial Narrow"/>
        <family val="2"/>
      </rPr>
      <t>(Spend 55% of Amount as proposed)</t>
    </r>
  </si>
  <si>
    <r>
      <t>Extended Year Services Special Education (EYS)  Grant</t>
    </r>
    <r>
      <rPr>
        <b/>
        <sz val="8"/>
        <color indexed="8"/>
        <rFont val="Arial Narrow"/>
        <family val="2"/>
      </rPr>
      <t xml:space="preserve"> (Spend 100% of Amount as proposed)</t>
    </r>
  </si>
  <si>
    <t>2009-2010 Transportation</t>
  </si>
  <si>
    <t>UME PREPARATORY ACADEMY</t>
  </si>
  <si>
    <t>LEGACY PREPARATORY</t>
  </si>
  <si>
    <t>FALLBROOK COLLEGE PREPARATORY ACADEMY</t>
  </si>
  <si>
    <t>EXCELLENCE IN LEADERSHIP ACADEMY</t>
  </si>
  <si>
    <t>UT TYLER INNOVATION ACADEMY</t>
  </si>
  <si>
    <t>PRIME PREP ACADEMY</t>
  </si>
  <si>
    <t>AUSTIN ACHIEVE PUBLIC SCHOOLS</t>
  </si>
  <si>
    <t>Status</t>
  </si>
  <si>
    <r>
      <t xml:space="preserve">Residential Care &amp; Treatment </t>
    </r>
    <r>
      <rPr>
        <b/>
        <sz val="9"/>
        <color indexed="8"/>
        <rFont val="Arial Narrow"/>
        <family val="2"/>
      </rPr>
      <t>(Spend 52% of Amount as proposed)</t>
    </r>
  </si>
  <si>
    <r>
      <t>State Schools</t>
    </r>
    <r>
      <rPr>
        <b/>
        <sz val="9"/>
        <color indexed="8"/>
        <rFont val="Arial Narrow"/>
        <family val="2"/>
      </rPr>
      <t xml:space="preserve"> (Spend 52% of Amount as proposed)</t>
    </r>
  </si>
  <si>
    <t>Tier II Level 1</t>
  </si>
  <si>
    <t>Tier II Level 2</t>
  </si>
  <si>
    <t>TOTAL SPECIAL EDUCATION</t>
  </si>
  <si>
    <t>TOTAL SPECIAL EDUCATION FTE</t>
  </si>
  <si>
    <t>TOTAL SPECIAL EDUCATION WEIGHTED FTE</t>
  </si>
  <si>
    <t>TOTAL WEIGHTED AVERAGE DAILY ATTENDANCE (WADA)</t>
  </si>
  <si>
    <t>SPECIAL EDUCATION FTE</t>
  </si>
  <si>
    <t>FUNDING BREAKDOWN BY PROGRAM</t>
  </si>
  <si>
    <t>TRANSPORTATION</t>
  </si>
  <si>
    <t>TOTAL TRANSPORTATION</t>
  </si>
  <si>
    <t>TOTAL TIER II</t>
  </si>
  <si>
    <t>TOTAL FOUNDATION SCHOOL FUND (FSF)</t>
  </si>
  <si>
    <t>TOTAL AVAILABLE SCHOOL FUND (ASF)</t>
  </si>
  <si>
    <t>Available School Fund Rate</t>
  </si>
  <si>
    <t>Available School Fund ADA</t>
  </si>
  <si>
    <t>2009-2010  HB1 Revenue Per WADA *0.9263</t>
  </si>
  <si>
    <t>2009-2010 State Average HB1 Revenue Per WADA*0.9263</t>
  </si>
  <si>
    <t>2008-2009 Educator Salary Increase ($23.63 x 2008-2009 WADA*0.9263)</t>
  </si>
  <si>
    <t>BASIS San Antonio</t>
  </si>
  <si>
    <t>Great Hearts Academy – San Antonio</t>
  </si>
  <si>
    <t xml:space="preserve">Eleanor Kolitz Hebrew Language Academy </t>
  </si>
  <si>
    <t>Village Tech Schools</t>
  </si>
  <si>
    <t>International Leadership of Texas (ILT)</t>
  </si>
  <si>
    <t>HOPE GLOBAL LEARNING VILLAGE</t>
  </si>
  <si>
    <t>The Pro-Vision Academy</t>
  </si>
  <si>
    <t>C.O.R.E. Academy</t>
  </si>
  <si>
    <t>2005-2006 TRS Active care status</t>
  </si>
  <si>
    <t>NEW TEXAS CHARTER SCHOOL</t>
  </si>
  <si>
    <t>TOTAL</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</si>
  <si>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</si>
  <si>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Month</t>
  </si>
  <si>
    <t>Year</t>
  </si>
  <si>
    <t>NSLBP</t>
  </si>
  <si>
    <t>RC&amp;T</t>
  </si>
  <si>
    <t>Contract</t>
  </si>
  <si>
    <t>Alt. BMC</t>
  </si>
  <si>
    <t>Average</t>
  </si>
  <si>
    <t>2014-2015 Transportation</t>
  </si>
  <si>
    <t>Transportation Adjustment (Line 81 minus Line 82)</t>
  </si>
  <si>
    <t>2014-2015 WADA</t>
  </si>
  <si>
    <t>2014-2015 Base Target Revenue (Greater of Line 75 x Line 77 or Line 76 x Line 77)</t>
  </si>
  <si>
    <t>2014-2015 HB3646 Minimum Increase (Line 77 x $120*0.9263)</t>
  </si>
  <si>
    <t>2014-2015 Minimum Revenue (Line 78 + Line 79)</t>
  </si>
  <si>
    <t>2014-2015 New Instructional Facility Allotment</t>
  </si>
  <si>
    <t xml:space="preserve">2014-2015 Tier I State Aid </t>
  </si>
  <si>
    <t>2014-2015 Adjusted Minimum Revenue (Line 80 + Line 83 + Line 84 + Line 85)</t>
  </si>
  <si>
    <t xml:space="preserve">Additional State Aid For Tax Reduction (If Line 87 &lt; Line 86 Then Line 86 - Line 87) </t>
  </si>
  <si>
    <t>2014-2015 Revenue @ Compressed Tax Rate/RACR (Line 87 + Line 88)</t>
  </si>
  <si>
    <t>2014-2015 Revenue per WADA @ Compressed Tax Rate (RACR/WADA) (Line 89/Line77)</t>
  </si>
  <si>
    <t xml:space="preserve">  MAX ENROLL 06_03_2013</t>
  </si>
  <si>
    <t>2014_2015 Adjusted HB1REV_WADA</t>
  </si>
  <si>
    <t>NEW</t>
  </si>
  <si>
    <t>Carpe Diem Schools</t>
  </si>
  <si>
    <t>El Paso Leadership Academy</t>
  </si>
  <si>
    <t>Montessori For All</t>
  </si>
  <si>
    <t xml:space="preserve">IMAGINE INTERNATIONAL ACADEMY OF NORTH TEXAS3               </t>
  </si>
  <si>
    <t xml:space="preserve">County District Number </t>
  </si>
  <si>
    <t>Highest Six Month's Average</t>
  </si>
  <si>
    <t>Funding School Year</t>
  </si>
  <si>
    <t>2014-2015</t>
  </si>
  <si>
    <t>Highest Six Months Average</t>
  </si>
  <si>
    <t>1st</t>
  </si>
  <si>
    <t>2nd</t>
  </si>
  <si>
    <t>3rd</t>
  </si>
  <si>
    <t>4th</t>
  </si>
  <si>
    <t>5th</t>
  </si>
  <si>
    <t>6th</t>
  </si>
  <si>
    <t>Superintendent Signature</t>
  </si>
  <si>
    <t>Year             (New Charter Only)</t>
  </si>
  <si>
    <t>Estimated                         Number of Approved SCE Funding Qualification Applications</t>
  </si>
  <si>
    <t>State Compensatory Education Estimate Worksheet</t>
  </si>
  <si>
    <r>
      <t xml:space="preserve">FUNDING DATA </t>
    </r>
    <r>
      <rPr>
        <b/>
        <sz val="12"/>
        <color rgb="FFFF0000"/>
        <rFont val="Arial Narrow"/>
        <family val="2"/>
      </rPr>
      <t>(As of April 15, 2014):</t>
    </r>
  </si>
  <si>
    <t>2014-2015 Estimate of State Aid Entitlement Template</t>
  </si>
  <si>
    <t xml:space="preserve">2008-2009 Educator Salary Increase </t>
  </si>
  <si>
    <r>
      <t xml:space="preserve">Prior Year Settle-Up or Audit Adjustments </t>
    </r>
    <r>
      <rPr>
        <i/>
        <sz val="10"/>
        <rFont val="Arial"/>
        <family val="2"/>
      </rPr>
      <t>(from FSP Ledger)</t>
    </r>
  </si>
  <si>
    <r>
      <t xml:space="preserve">Current Year FSP Payments Year to Date </t>
    </r>
    <r>
      <rPr>
        <i/>
        <sz val="10"/>
        <rFont val="Arial"/>
        <family val="2"/>
      </rPr>
      <t>(from FSP Ledger)</t>
    </r>
  </si>
  <si>
    <t xml:space="preserve">One-Time TRS Allotment (SB1458) </t>
  </si>
  <si>
    <t>Enter ADA from the latest 2013-2014 SOF Report or update estimate based on local calculations.</t>
  </si>
  <si>
    <t>Enter number from the latest 2013-2014 SOF Report or update estimate based on local calculations.</t>
  </si>
  <si>
    <t>Enter amount from the latest 2013-2014 SOF Report or update estimate based on local calculations.</t>
  </si>
  <si>
    <r>
      <t xml:space="preserve">Full-time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</si>
  <si>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r>
      <t xml:space="preserve">Part-time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</si>
  <si>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t>Enter enrollment from the latest 2013-2014 SOF Report or or update estimate based the 2013-2014 SCE Daily Membership worksheet.</t>
  </si>
  <si>
    <t>Start</t>
  </si>
  <si>
    <t>End</t>
  </si>
  <si>
    <t>Days Taught</t>
  </si>
  <si>
    <t>UTPB STEM Academy</t>
  </si>
  <si>
    <t>The Excel Center</t>
  </si>
  <si>
    <t>PRIOR YEAR ADA FOR AVAILABLE SCHOOL FUND (ASF) ALLOTMENT</t>
  </si>
  <si>
    <t>State Average DTR- Level 1</t>
  </si>
  <si>
    <t>State Average DTR- Level 2</t>
  </si>
  <si>
    <t>Updated 09/10/2014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</si>
</sst>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 numFmtId="172" formatCode="_(* #,##0_);_(* \(#,##0\);_(* &quot;-&quot;??_);_(@_)"/>
    <numFmt numFmtId="173" formatCode="_(* #,##0.00000_);_(* \(#,##0.00000\);_(* &quot;-&quot;??_);_(@_)"/>
    <numFmt numFmtId="174" formatCode="0.0"/>
  </numFmts>
  <fonts count="52" x14ac:knownFonts="1">
    <font>
      <sz val="10"/>
      <name val="Arial"/>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9"/>
      <name val="Arial"/>
      <family val="2"/>
    </font>
    <font>
      <b/>
      <sz val="12"/>
      <name val="Arial Narrow"/>
      <family val="2"/>
    </font>
    <font>
      <sz val="12"/>
      <name val="Arial Narrow"/>
      <family val="2"/>
    </font>
    <font>
      <b/>
      <sz val="12"/>
      <color indexed="8"/>
      <name val="Arial Narrow"/>
      <family val="2"/>
    </font>
    <font>
      <sz val="10"/>
      <color indexed="10"/>
      <name val="Arial"/>
      <family val="2"/>
    </font>
    <font>
      <b/>
      <sz val="10"/>
      <name val="Arial Narrow"/>
      <family val="2"/>
    </font>
    <font>
      <sz val="8"/>
      <color indexed="81"/>
      <name val="Tahoma"/>
      <family val="2"/>
    </font>
    <font>
      <b/>
      <sz val="9"/>
      <color indexed="8"/>
      <name val="Arial Narrow"/>
      <family val="2"/>
    </font>
    <font>
      <b/>
      <sz val="8"/>
      <color indexed="8"/>
      <name val="Arial Narrow"/>
      <family val="2"/>
    </font>
    <font>
      <b/>
      <sz val="11"/>
      <name val="Calibri"/>
      <family val="2"/>
    </font>
    <font>
      <b/>
      <sz val="10"/>
      <name val="Calibri"/>
      <family val="2"/>
    </font>
    <font>
      <b/>
      <sz val="8"/>
      <color indexed="10"/>
      <name val="Arial"/>
      <family val="2"/>
    </font>
    <font>
      <sz val="9"/>
      <color indexed="81"/>
      <name val="Arial"/>
      <family val="2"/>
    </font>
    <font>
      <b/>
      <sz val="9"/>
      <color indexed="81"/>
      <name val="Arial"/>
      <family val="2"/>
    </font>
    <font>
      <b/>
      <sz val="9"/>
      <color indexed="10"/>
      <name val="Arial"/>
      <family val="2"/>
    </font>
    <font>
      <sz val="16"/>
      <name val="Arial"/>
      <family val="2"/>
    </font>
    <font>
      <b/>
      <sz val="20"/>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8"/>
      <color rgb="FF000000"/>
      <name val="Verdana"/>
      <family val="2"/>
    </font>
    <font>
      <sz val="8"/>
      <color rgb="FF000000"/>
      <name val="Verdana"/>
      <family val="2"/>
    </font>
    <font>
      <b/>
      <sz val="10"/>
      <color indexed="8"/>
      <name val="Arial"/>
      <family val="2"/>
    </font>
    <font>
      <sz val="10"/>
      <color theme="0" tint="-0.14999847407452621"/>
      <name val="Arial"/>
      <family val="2"/>
    </font>
    <font>
      <b/>
      <sz val="11"/>
      <color theme="0"/>
      <name val="Calibri"/>
      <family val="2"/>
      <scheme val="minor"/>
    </font>
    <font>
      <b/>
      <sz val="11"/>
      <color theme="1"/>
      <name val="Calibri"/>
      <family val="2"/>
      <scheme val="minor"/>
    </font>
    <font>
      <b/>
      <sz val="8"/>
      <color theme="0"/>
      <name val="Arial"/>
      <family val="2"/>
    </font>
    <font>
      <b/>
      <sz val="12"/>
      <name val="Arial"/>
      <family val="2"/>
    </font>
    <font>
      <sz val="12"/>
      <color theme="1"/>
      <name val="Calibri"/>
      <family val="2"/>
      <scheme val="minor"/>
    </font>
    <font>
      <sz val="12"/>
      <name val="Arial"/>
      <family val="2"/>
    </font>
    <font>
      <b/>
      <u/>
      <sz val="12"/>
      <color theme="1"/>
      <name val="Calibri"/>
      <family val="2"/>
      <scheme val="minor"/>
    </font>
    <font>
      <b/>
      <sz val="12"/>
      <color rgb="FFFF0000"/>
      <name val="Arial Narrow"/>
      <family val="2"/>
    </font>
    <font>
      <i/>
      <sz val="10"/>
      <name val="Arial"/>
      <family val="2"/>
    </font>
    <font>
      <b/>
      <u/>
      <sz val="8"/>
      <color indexed="8"/>
      <name val="Arial"/>
      <family val="2"/>
    </font>
    <font>
      <sz val="8"/>
      <color theme="0"/>
      <name val="Arial"/>
      <family val="2"/>
    </font>
    <font>
      <sz val="11"/>
      <color theme="0"/>
      <name val="Arial"/>
      <family val="2"/>
    </font>
    <font>
      <sz val="12"/>
      <color theme="0"/>
      <name val="Times New Roman"/>
      <family val="1"/>
    </font>
    <font>
      <b/>
      <sz val="18"/>
      <name val="Arial"/>
      <family val="2"/>
    </font>
    <font>
      <sz val="10"/>
      <color theme="0"/>
      <name val="Arial"/>
      <family val="2"/>
    </font>
    <font>
      <b/>
      <sz val="10"/>
      <color theme="0"/>
      <name val="Arial"/>
      <family val="2"/>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rgb="FFECF3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555555"/>
      </left>
      <right style="medium">
        <color rgb="FF555555"/>
      </right>
      <top style="medium">
        <color rgb="FF555555"/>
      </top>
      <bottom style="medium">
        <color rgb="FF555555"/>
      </bottom>
      <diagonal/>
    </border>
    <border>
      <left style="medium">
        <color rgb="FFC4DAFF"/>
      </left>
      <right style="medium">
        <color rgb="FFC4DAFF"/>
      </right>
      <top style="medium">
        <color rgb="FFC4DAFF"/>
      </top>
      <bottom style="medium">
        <color rgb="FFC4DAFF"/>
      </bottom>
      <diagonal/>
    </border>
    <border>
      <left style="medium">
        <color rgb="FF555555"/>
      </left>
      <right style="medium">
        <color rgb="FFC4DAFF"/>
      </right>
      <top style="medium">
        <color rgb="FFC4DAFF"/>
      </top>
      <bottom style="medium">
        <color rgb="FFC4DAFF"/>
      </bottom>
      <diagonal/>
    </border>
    <border>
      <left style="medium">
        <color rgb="FFC4DAFF"/>
      </left>
      <right style="medium">
        <color rgb="FF555555"/>
      </right>
      <top style="medium">
        <color rgb="FFC4DAFF"/>
      </top>
      <bottom style="medium">
        <color rgb="FFC4DAFF"/>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42">
    <xf numFmtId="0" fontId="0" fillId="0" borderId="0" xfId="0"/>
    <xf numFmtId="0" fontId="0" fillId="0" borderId="0" xfId="0" applyFill="1"/>
    <xf numFmtId="166" fontId="0" fillId="0" borderId="0" xfId="2" applyNumberFormat="1" applyFont="1"/>
    <xf numFmtId="166" fontId="0" fillId="0" borderId="0" xfId="0" applyNumberFormat="1"/>
    <xf numFmtId="166" fontId="8" fillId="0" borderId="0" xfId="2" applyNumberFormat="1" applyFont="1"/>
    <xf numFmtId="166" fontId="8" fillId="0" borderId="0" xfId="0" applyNumberFormat="1" applyFont="1"/>
    <xf numFmtId="0" fontId="9" fillId="3" borderId="1" xfId="0" applyFont="1" applyFill="1" applyBorder="1" applyProtection="1"/>
    <xf numFmtId="0" fontId="9" fillId="3" borderId="1" xfId="0" applyFont="1" applyFill="1" applyBorder="1" applyAlignment="1" applyProtection="1">
      <alignment horizontal="left" indent="1"/>
    </xf>
    <xf numFmtId="0" fontId="9" fillId="0" borderId="1" xfId="0" applyFont="1" applyFill="1" applyBorder="1" applyProtection="1"/>
    <xf numFmtId="0" fontId="9" fillId="0" borderId="1" xfId="0" applyFont="1" applyFill="1" applyBorder="1" applyAlignment="1" applyProtection="1">
      <alignment horizontal="left"/>
    </xf>
    <xf numFmtId="0" fontId="11" fillId="0" borderId="1" xfId="0" applyNumberFormat="1" applyFont="1" applyFill="1" applyBorder="1" applyProtection="1"/>
    <xf numFmtId="0" fontId="11" fillId="0" borderId="1"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indent="1"/>
    </xf>
    <xf numFmtId="166" fontId="9" fillId="0" borderId="1" xfId="2" applyNumberFormat="1" applyFont="1" applyFill="1" applyBorder="1" applyProtection="1"/>
    <xf numFmtId="0" fontId="7" fillId="0" borderId="0" xfId="0" applyFont="1" applyFill="1"/>
    <xf numFmtId="0" fontId="2" fillId="0" borderId="0" xfId="0" applyFont="1" applyBorder="1" applyAlignment="1">
      <alignment horizontal="center" wrapText="1"/>
    </xf>
    <xf numFmtId="0" fontId="9" fillId="4" borderId="2" xfId="0" applyFont="1" applyFill="1" applyBorder="1" applyAlignment="1" applyProtection="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0" xfId="0" applyFont="1"/>
    <xf numFmtId="166" fontId="6" fillId="0" borderId="0" xfId="0" applyNumberFormat="1" applyFont="1" applyAlignment="1">
      <alignment horizontal="left"/>
    </xf>
    <xf numFmtId="166" fontId="6" fillId="0" borderId="0" xfId="2" applyNumberFormat="1" applyFont="1" applyAlignment="1">
      <alignment horizontal="center"/>
    </xf>
    <xf numFmtId="166" fontId="6" fillId="0" borderId="0" xfId="0" applyNumberFormat="1" applyFont="1" applyAlignment="1">
      <alignment horizontal="center"/>
    </xf>
    <xf numFmtId="166" fontId="6" fillId="0" borderId="0" xfId="0" applyNumberFormat="1" applyFont="1" applyFill="1" applyAlignment="1">
      <alignment horizontal="center"/>
    </xf>
    <xf numFmtId="0" fontId="4" fillId="0" borderId="1" xfId="0" applyNumberFormat="1" applyFont="1" applyFill="1" applyBorder="1" applyAlignment="1" applyProtection="1">
      <alignment vertical="center" wrapText="1"/>
    </xf>
    <xf numFmtId="0" fontId="5" fillId="3" borderId="1" xfId="0" applyFont="1" applyFill="1" applyBorder="1" applyProtection="1"/>
    <xf numFmtId="0" fontId="2" fillId="3" borderId="1" xfId="0" applyFont="1" applyFill="1" applyBorder="1" applyProtection="1"/>
    <xf numFmtId="0" fontId="5" fillId="3" borderId="1" xfId="0" applyFont="1" applyFill="1" applyBorder="1" applyAlignment="1" applyProtection="1">
      <alignment horizontal="left" indent="1"/>
    </xf>
    <xf numFmtId="0" fontId="5" fillId="3" borderId="1" xfId="0" applyFont="1" applyFill="1" applyBorder="1" applyAlignment="1" applyProtection="1">
      <alignment horizontal="left" wrapText="1" indent="1"/>
    </xf>
    <xf numFmtId="166" fontId="9" fillId="4" borderId="1" xfId="2" applyNumberFormat="1" applyFont="1" applyFill="1" applyBorder="1" applyProtection="1"/>
    <xf numFmtId="0" fontId="2" fillId="4" borderId="1" xfId="0" applyFont="1" applyFill="1" applyBorder="1" applyProtection="1"/>
    <xf numFmtId="10" fontId="2" fillId="4" borderId="1" xfId="0" applyNumberFormat="1" applyFont="1" applyFill="1" applyBorder="1" applyAlignment="1" applyProtection="1">
      <alignment horizontal="center" vertical="center" wrapText="1"/>
    </xf>
    <xf numFmtId="0" fontId="2" fillId="4" borderId="0" xfId="0" applyFont="1" applyFill="1" applyBorder="1" applyProtection="1"/>
    <xf numFmtId="0" fontId="6" fillId="0" borderId="0" xfId="0" quotePrefix="1" applyFont="1" applyAlignment="1">
      <alignment horizontal="left"/>
    </xf>
    <xf numFmtId="0" fontId="2" fillId="4" borderId="3" xfId="0" applyFont="1" applyFill="1" applyBorder="1" applyAlignment="1" applyProtection="1">
      <alignment horizontal="center" wrapText="1"/>
    </xf>
    <xf numFmtId="0" fontId="11" fillId="4" borderId="1" xfId="0" applyNumberFormat="1" applyFont="1" applyFill="1" applyBorder="1" applyAlignment="1" applyProtection="1">
      <alignment horizontal="center"/>
    </xf>
    <xf numFmtId="0" fontId="11" fillId="4" borderId="1" xfId="0" applyNumberFormat="1" applyFont="1" applyFill="1" applyBorder="1" applyAlignment="1" applyProtection="1">
      <alignment horizontal="left"/>
    </xf>
    <xf numFmtId="37" fontId="9" fillId="4" borderId="1" xfId="0" applyNumberFormat="1" applyFont="1" applyFill="1" applyBorder="1" applyProtection="1"/>
    <xf numFmtId="0" fontId="9" fillId="4" borderId="1" xfId="0" applyFont="1" applyFill="1" applyBorder="1" applyProtection="1"/>
    <xf numFmtId="164" fontId="9" fillId="4" borderId="1" xfId="0" applyNumberFormat="1" applyFont="1" applyFill="1" applyBorder="1" applyProtection="1">
      <protection locked="0"/>
    </xf>
    <xf numFmtId="0" fontId="10" fillId="4" borderId="1" xfId="0" applyFont="1" applyFill="1" applyBorder="1" applyProtection="1"/>
    <xf numFmtId="166" fontId="9" fillId="0" borderId="1" xfId="2" applyNumberFormat="1" applyFont="1" applyFill="1" applyBorder="1" applyProtection="1">
      <protection locked="0"/>
    </xf>
    <xf numFmtId="44" fontId="0" fillId="0" borderId="0" xfId="2" applyFont="1"/>
    <xf numFmtId="0" fontId="18" fillId="0" borderId="1" xfId="0" applyFont="1" applyBorder="1"/>
    <xf numFmtId="0" fontId="18" fillId="0" borderId="1" xfId="0" applyFont="1" applyBorder="1" applyAlignment="1">
      <alignment wrapText="1"/>
    </xf>
    <xf numFmtId="166" fontId="18" fillId="0" borderId="1" xfId="2" applyNumberFormat="1" applyFont="1" applyBorder="1" applyAlignment="1">
      <alignment wrapText="1"/>
    </xf>
    <xf numFmtId="166" fontId="17" fillId="0" borderId="1" xfId="2" applyNumberFormat="1" applyFont="1" applyFill="1" applyBorder="1"/>
    <xf numFmtId="0" fontId="19" fillId="0" borderId="0" xfId="0" applyFont="1" applyFill="1"/>
    <xf numFmtId="44" fontId="17" fillId="0" borderId="1" xfId="2" applyFont="1" applyFill="1" applyBorder="1"/>
    <xf numFmtId="166" fontId="17" fillId="0" borderId="1" xfId="0" applyNumberFormat="1" applyFont="1" applyFill="1" applyBorder="1"/>
    <xf numFmtId="166" fontId="17" fillId="0" borderId="1" xfId="2" quotePrefix="1" applyNumberFormat="1" applyFont="1" applyFill="1" applyBorder="1"/>
    <xf numFmtId="166" fontId="17" fillId="0" borderId="1" xfId="2" applyNumberFormat="1" applyFont="1" applyFill="1" applyBorder="1" applyAlignment="1"/>
    <xf numFmtId="9" fontId="2" fillId="3" borderId="1" xfId="4" applyFont="1" applyFill="1" applyBorder="1" applyProtection="1">
      <protection locked="0"/>
    </xf>
    <xf numFmtId="0" fontId="2" fillId="0" borderId="1" xfId="0" applyFont="1" applyBorder="1" applyProtection="1">
      <protection locked="0"/>
    </xf>
    <xf numFmtId="0" fontId="2" fillId="0" borderId="4" xfId="0" applyFont="1" applyBorder="1" applyProtection="1">
      <protection locked="0"/>
    </xf>
    <xf numFmtId="0" fontId="30" fillId="0" borderId="0" xfId="0" applyFont="1" applyFill="1"/>
    <xf numFmtId="0" fontId="18" fillId="0" borderId="1" xfId="0" applyFont="1" applyFill="1" applyBorder="1" applyAlignment="1">
      <alignment wrapText="1"/>
    </xf>
    <xf numFmtId="0" fontId="1" fillId="3" borderId="1" xfId="0" applyFont="1" applyFill="1" applyBorder="1" applyProtection="1"/>
    <xf numFmtId="169"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pplyProtection="1">
      <alignment horizontal="left"/>
    </xf>
    <xf numFmtId="169"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2" fillId="0" borderId="0" xfId="0" applyFont="1"/>
    <xf numFmtId="0" fontId="2" fillId="0" borderId="5" xfId="0" applyFont="1" applyBorder="1" applyProtection="1">
      <protection locked="0"/>
    </xf>
    <xf numFmtId="0" fontId="2" fillId="0" borderId="5" xfId="0" applyFont="1" applyBorder="1" applyAlignment="1" applyProtection="1">
      <alignment horizontal="left"/>
      <protection locked="0"/>
    </xf>
    <xf numFmtId="1" fontId="2" fillId="0" borderId="5" xfId="0" applyNumberFormat="1" applyFont="1" applyBorder="1" applyAlignment="1" applyProtection="1">
      <alignment horizontal="left"/>
      <protection locked="0"/>
    </xf>
    <xf numFmtId="0" fontId="0" fillId="0" borderId="13" xfId="0" applyBorder="1"/>
    <xf numFmtId="0" fontId="0" fillId="0" borderId="0" xfId="0" applyAlignment="1">
      <alignment horizontal="centerContinuous"/>
    </xf>
    <xf numFmtId="0" fontId="9" fillId="5" borderId="1" xfId="0" applyFont="1" applyFill="1" applyBorder="1" applyProtection="1"/>
    <xf numFmtId="0" fontId="3" fillId="0" borderId="0" xfId="0" applyFont="1" applyFill="1"/>
    <xf numFmtId="0" fontId="6" fillId="0" borderId="0" xfId="0" applyFont="1" applyFill="1" applyAlignment="1">
      <alignment wrapText="1"/>
    </xf>
    <xf numFmtId="0" fontId="2" fillId="0" borderId="1" xfId="0" applyFont="1" applyFill="1" applyBorder="1" applyProtection="1">
      <protection locked="0"/>
    </xf>
    <xf numFmtId="164" fontId="9" fillId="0" borderId="1" xfId="0" applyNumberFormat="1" applyFont="1" applyFill="1" applyBorder="1" applyProtection="1">
      <protection locked="0"/>
    </xf>
    <xf numFmtId="166" fontId="9" fillId="4" borderId="14" xfId="2" applyNumberFormat="1" applyFont="1" applyFill="1" applyBorder="1" applyProtection="1"/>
    <xf numFmtId="0" fontId="0" fillId="4" borderId="1" xfId="0" applyFill="1" applyBorder="1" applyAlignment="1" applyProtection="1">
      <alignment horizontal="right"/>
    </xf>
    <xf numFmtId="170" fontId="0" fillId="0" borderId="0" xfId="0" applyNumberFormat="1"/>
    <xf numFmtId="168" fontId="17" fillId="0" borderId="1" xfId="2" applyNumberFormat="1" applyFont="1" applyFill="1" applyBorder="1"/>
    <xf numFmtId="0" fontId="32" fillId="6" borderId="18" xfId="0" applyFont="1" applyFill="1" applyBorder="1" applyAlignment="1">
      <alignment horizontal="center" vertical="center" wrapText="1"/>
    </xf>
    <xf numFmtId="0" fontId="33" fillId="7" borderId="19" xfId="0" applyFont="1" applyFill="1" applyBorder="1" applyAlignment="1">
      <alignment wrapText="1"/>
    </xf>
    <xf numFmtId="0" fontId="33" fillId="8" borderId="19" xfId="0" applyFont="1" applyFill="1" applyBorder="1" applyAlignment="1">
      <alignment wrapText="1"/>
    </xf>
    <xf numFmtId="0" fontId="33" fillId="7" borderId="20" xfId="0" applyFont="1" applyFill="1" applyBorder="1" applyAlignment="1">
      <alignment wrapText="1"/>
    </xf>
    <xf numFmtId="0" fontId="33" fillId="8" borderId="20" xfId="0" applyFont="1" applyFill="1" applyBorder="1" applyAlignment="1">
      <alignment wrapText="1"/>
    </xf>
    <xf numFmtId="0" fontId="1" fillId="0" borderId="0" xfId="0" applyFont="1"/>
    <xf numFmtId="171" fontId="33" fillId="7" borderId="21" xfId="4" applyNumberFormat="1" applyFont="1" applyFill="1" applyBorder="1" applyAlignment="1">
      <alignment wrapText="1"/>
    </xf>
    <xf numFmtId="171" fontId="33" fillId="8" borderId="21" xfId="4" applyNumberFormat="1" applyFont="1" applyFill="1" applyBorder="1" applyAlignment="1">
      <alignment wrapText="1"/>
    </xf>
    <xf numFmtId="0" fontId="9" fillId="4" borderId="8" xfId="0" applyFont="1" applyFill="1" applyBorder="1" applyAlignment="1" applyProtection="1">
      <alignment horizontal="center" vertical="center"/>
    </xf>
    <xf numFmtId="167" fontId="9" fillId="4" borderId="2"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2" fillId="4" borderId="1" xfId="0" applyFont="1" applyFill="1" applyBorder="1" applyAlignment="1" applyProtection="1">
      <alignment horizontal="center"/>
    </xf>
    <xf numFmtId="0" fontId="9" fillId="3" borderId="4" xfId="0" applyFont="1" applyFill="1" applyBorder="1" applyProtection="1"/>
    <xf numFmtId="0" fontId="9" fillId="4" borderId="15" xfId="0" applyFont="1" applyFill="1" applyBorder="1" applyAlignment="1" applyProtection="1">
      <alignment horizontal="center" vertical="center"/>
    </xf>
    <xf numFmtId="167" fontId="9" fillId="4" borderId="16" xfId="0" applyNumberFormat="1"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1" fillId="0" borderId="1" xfId="0" applyFont="1" applyBorder="1"/>
    <xf numFmtId="0" fontId="0" fillId="0" borderId="4" xfId="0" applyBorder="1"/>
    <xf numFmtId="0" fontId="0" fillId="0" borderId="14" xfId="0" applyBorder="1"/>
    <xf numFmtId="0" fontId="2" fillId="0" borderId="22" xfId="0" applyFont="1" applyBorder="1"/>
    <xf numFmtId="166" fontId="9" fillId="0" borderId="4" xfId="2" applyNumberFormat="1" applyFont="1" applyFill="1" applyBorder="1" applyProtection="1"/>
    <xf numFmtId="43" fontId="0" fillId="4" borderId="1" xfId="1" applyFont="1" applyFill="1" applyBorder="1" applyProtection="1">
      <protection locked="0"/>
    </xf>
    <xf numFmtId="0" fontId="11" fillId="0" borderId="4" xfId="0" applyNumberFormat="1" applyFont="1" applyFill="1" applyBorder="1" applyProtection="1"/>
    <xf numFmtId="0" fontId="11" fillId="0" borderId="14" xfId="0" applyNumberFormat="1" applyFont="1" applyFill="1" applyBorder="1" applyProtection="1"/>
    <xf numFmtId="166" fontId="9" fillId="0" borderId="14" xfId="2" applyNumberFormat="1" applyFont="1" applyFill="1" applyBorder="1" applyProtection="1"/>
    <xf numFmtId="0" fontId="0" fillId="0" borderId="4" xfId="0" applyBorder="1" applyProtection="1"/>
    <xf numFmtId="0" fontId="11" fillId="4" borderId="14"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9" fillId="4" borderId="14" xfId="0" applyFont="1" applyFill="1" applyBorder="1" applyAlignment="1" applyProtection="1">
      <alignment horizontal="center"/>
    </xf>
    <xf numFmtId="164" fontId="9" fillId="4" borderId="14" xfId="0" applyNumberFormat="1" applyFont="1" applyFill="1" applyBorder="1" applyProtection="1"/>
    <xf numFmtId="164" fontId="9" fillId="0" borderId="4" xfId="0" applyNumberFormat="1" applyFont="1" applyFill="1" applyBorder="1" applyProtection="1">
      <protection locked="0"/>
    </xf>
    <xf numFmtId="0" fontId="9" fillId="4" borderId="23" xfId="0" applyFont="1" applyFill="1" applyBorder="1" applyAlignment="1" applyProtection="1">
      <alignment horizontal="center"/>
    </xf>
    <xf numFmtId="164" fontId="9" fillId="4" borderId="23" xfId="0" applyNumberFormat="1" applyFont="1" applyFill="1" applyBorder="1" applyProtection="1"/>
    <xf numFmtId="0" fontId="13" fillId="0" borderId="4" xfId="0" applyFont="1" applyFill="1" applyBorder="1" applyProtection="1"/>
    <xf numFmtId="164" fontId="11" fillId="0" borderId="4" xfId="0" applyNumberFormat="1" applyFont="1" applyFill="1" applyBorder="1" applyAlignment="1" applyProtection="1">
      <alignment horizontal="right"/>
    </xf>
    <xf numFmtId="170" fontId="9" fillId="4" borderId="14" xfId="1" applyNumberFormat="1" applyFont="1" applyFill="1" applyBorder="1" applyProtection="1"/>
    <xf numFmtId="0" fontId="11" fillId="10" borderId="14" xfId="0" applyNumberFormat="1" applyFont="1" applyFill="1" applyBorder="1" applyAlignment="1" applyProtection="1">
      <alignment horizontal="center"/>
    </xf>
    <xf numFmtId="166" fontId="9" fillId="10" borderId="14" xfId="2" applyNumberFormat="1" applyFont="1" applyFill="1" applyBorder="1" applyProtection="1"/>
    <xf numFmtId="168" fontId="31" fillId="0" borderId="0" xfId="0" applyNumberFormat="1" applyFont="1"/>
    <xf numFmtId="165" fontId="9" fillId="3" borderId="1" xfId="0" applyNumberFormat="1" applyFont="1" applyFill="1" applyBorder="1" applyProtection="1"/>
    <xf numFmtId="0" fontId="34" fillId="12" borderId="14" xfId="0" applyNumberFormat="1" applyFont="1" applyFill="1" applyBorder="1" applyAlignment="1" applyProtection="1">
      <alignment horizontal="center" vertical="center" wrapText="1"/>
    </xf>
    <xf numFmtId="166" fontId="2" fillId="12" borderId="14" xfId="2" applyNumberFormat="1" applyFont="1" applyFill="1" applyBorder="1" applyProtection="1"/>
    <xf numFmtId="172" fontId="0" fillId="4" borderId="1" xfId="1" applyNumberFormat="1" applyFont="1" applyFill="1" applyBorder="1" applyProtection="1">
      <protection locked="0"/>
    </xf>
    <xf numFmtId="0" fontId="11" fillId="4" borderId="14" xfId="0" applyNumberFormat="1" applyFont="1" applyFill="1" applyBorder="1" applyAlignment="1" applyProtection="1">
      <alignment horizontal="left"/>
    </xf>
    <xf numFmtId="167" fontId="2" fillId="11" borderId="1" xfId="0" applyNumberFormat="1" applyFont="1" applyFill="1" applyBorder="1" applyAlignment="1" applyProtection="1">
      <alignment horizontal="center"/>
      <protection locked="0"/>
    </xf>
    <xf numFmtId="0" fontId="2" fillId="11"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wrapText="1"/>
    </xf>
    <xf numFmtId="0" fontId="2" fillId="9" borderId="1" xfId="0" applyFont="1" applyFill="1" applyBorder="1" applyProtection="1"/>
    <xf numFmtId="0" fontId="9" fillId="11" borderId="17" xfId="0" applyFont="1" applyFill="1" applyBorder="1" applyAlignment="1" applyProtection="1">
      <alignment horizontal="center" vertical="center"/>
    </xf>
    <xf numFmtId="0" fontId="35" fillId="5" borderId="1" xfId="0" applyFont="1" applyFill="1" applyBorder="1"/>
    <xf numFmtId="0" fontId="0" fillId="5" borderId="1" xfId="0" applyFill="1" applyBorder="1"/>
    <xf numFmtId="0" fontId="0" fillId="11" borderId="1" xfId="0" applyFill="1" applyBorder="1"/>
    <xf numFmtId="0" fontId="2" fillId="11" borderId="3" xfId="0" applyFont="1" applyFill="1" applyBorder="1" applyAlignment="1" applyProtection="1">
      <alignment horizontal="center" wrapText="1"/>
    </xf>
    <xf numFmtId="0" fontId="6" fillId="0" borderId="1" xfId="0" applyFont="1" applyFill="1" applyBorder="1" applyAlignment="1">
      <alignment horizontal="center" wrapText="1"/>
    </xf>
    <xf numFmtId="0" fontId="33" fillId="0" borderId="19" xfId="0" applyFont="1" applyFill="1" applyBorder="1" applyAlignment="1">
      <alignment wrapText="1"/>
    </xf>
    <xf numFmtId="43" fontId="0" fillId="0" borderId="0" xfId="0" applyNumberFormat="1" applyFill="1"/>
    <xf numFmtId="172" fontId="2" fillId="0" borderId="1" xfId="1" applyNumberFormat="1" applyFont="1" applyBorder="1" applyAlignment="1" applyProtection="1"/>
    <xf numFmtId="43" fontId="2" fillId="0" borderId="1" xfId="1" applyNumberFormat="1" applyFont="1" applyBorder="1" applyAlignment="1" applyProtection="1"/>
    <xf numFmtId="173" fontId="2" fillId="0" borderId="1" xfId="1" applyNumberFormat="1" applyFont="1" applyBorder="1" applyAlignment="1" applyProtection="1"/>
    <xf numFmtId="0" fontId="31" fillId="0" borderId="0" xfId="0" applyFont="1" applyProtection="1">
      <protection locked="0"/>
    </xf>
    <xf numFmtId="2" fontId="0" fillId="0" borderId="0" xfId="0" applyNumberFormat="1" applyProtection="1"/>
    <xf numFmtId="2" fontId="39" fillId="0" borderId="0" xfId="0" applyNumberFormat="1" applyFont="1" applyAlignment="1" applyProtection="1">
      <alignment horizontal="left"/>
    </xf>
    <xf numFmtId="2" fontId="41" fillId="0" borderId="7" xfId="0" applyNumberFormat="1" applyFont="1" applyBorder="1" applyAlignment="1" applyProtection="1">
      <alignment horizontal="left"/>
    </xf>
    <xf numFmtId="2" fontId="40" fillId="0" borderId="0" xfId="0" applyNumberFormat="1" applyFont="1" applyAlignment="1" applyProtection="1">
      <alignment horizontal="left"/>
    </xf>
    <xf numFmtId="2" fontId="0" fillId="0" borderId="0" xfId="0" applyNumberFormat="1" applyAlignment="1" applyProtection="1">
      <alignment horizontal="left"/>
    </xf>
    <xf numFmtId="2" fontId="42" fillId="0" borderId="0" xfId="0" applyNumberFormat="1" applyFont="1" applyProtection="1"/>
    <xf numFmtId="2" fontId="0" fillId="0" borderId="1" xfId="0" applyNumberFormat="1" applyBorder="1" applyAlignment="1" applyProtection="1">
      <alignment horizontal="center"/>
    </xf>
    <xf numFmtId="2" fontId="1" fillId="0" borderId="1" xfId="0" applyNumberFormat="1" applyFont="1" applyBorder="1" applyAlignment="1" applyProtection="1">
      <alignment horizontal="center" wrapText="1"/>
    </xf>
    <xf numFmtId="2" fontId="0" fillId="0" borderId="1" xfId="0" applyNumberFormat="1" applyBorder="1" applyProtection="1"/>
    <xf numFmtId="1" fontId="0" fillId="0" borderId="1" xfId="0" applyNumberFormat="1" applyBorder="1" applyProtection="1"/>
    <xf numFmtId="2" fontId="37" fillId="14" borderId="1" xfId="0" applyNumberFormat="1" applyFont="1" applyFill="1" applyBorder="1" applyAlignment="1" applyProtection="1">
      <alignment horizontal="center"/>
    </xf>
    <xf numFmtId="0" fontId="0" fillId="0" borderId="11" xfId="0" applyBorder="1"/>
    <xf numFmtId="0" fontId="0" fillId="0" borderId="0" xfId="0" applyBorder="1"/>
    <xf numFmtId="2" fontId="37" fillId="0" borderId="0" xfId="0" applyNumberFormat="1" applyFont="1" applyFill="1" applyBorder="1" applyAlignment="1" applyProtection="1">
      <alignment horizontal="center"/>
    </xf>
    <xf numFmtId="0" fontId="37" fillId="0" borderId="0" xfId="0" applyFont="1"/>
    <xf numFmtId="1" fontId="40" fillId="9" borderId="24" xfId="0" applyNumberFormat="1" applyFont="1" applyFill="1" applyBorder="1" applyAlignment="1" applyProtection="1">
      <alignment horizontal="left"/>
    </xf>
    <xf numFmtId="0" fontId="6" fillId="5" borderId="1" xfId="0" applyFont="1" applyFill="1" applyBorder="1" applyAlignment="1">
      <alignment wrapText="1"/>
    </xf>
    <xf numFmtId="172" fontId="0" fillId="0" borderId="0" xfId="0" applyNumberFormat="1" applyFill="1"/>
    <xf numFmtId="0" fontId="0" fillId="9" borderId="1" xfId="0" applyFill="1" applyBorder="1" applyProtection="1"/>
    <xf numFmtId="0" fontId="5" fillId="9" borderId="1" xfId="0" applyFont="1" applyFill="1" applyBorder="1" applyProtection="1"/>
    <xf numFmtId="0" fontId="2" fillId="5" borderId="1" xfId="0" applyFont="1" applyFill="1" applyBorder="1" applyProtection="1"/>
    <xf numFmtId="0" fontId="0" fillId="5" borderId="1" xfId="0" applyFill="1" applyBorder="1" applyProtection="1"/>
    <xf numFmtId="166" fontId="0" fillId="0" borderId="1" xfId="2" applyNumberFormat="1" applyFont="1" applyBorder="1" applyProtection="1">
      <protection locked="0"/>
    </xf>
    <xf numFmtId="166" fontId="0" fillId="0" borderId="14" xfId="2" applyNumberFormat="1" applyFont="1" applyBorder="1" applyProtection="1">
      <protection locked="0"/>
    </xf>
    <xf numFmtId="171" fontId="0" fillId="0" borderId="14" xfId="4" applyNumberFormat="1" applyFont="1" applyBorder="1" applyProtection="1">
      <protection locked="0"/>
    </xf>
    <xf numFmtId="166" fontId="2" fillId="0" borderId="22" xfId="2" applyNumberFormat="1" applyFont="1" applyBorder="1" applyProtection="1">
      <protection locked="0"/>
    </xf>
    <xf numFmtId="0" fontId="38" fillId="0" borderId="1" xfId="0" quotePrefix="1"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43" fontId="46" fillId="0" borderId="1" xfId="1" applyNumberFormat="1" applyFont="1" applyFill="1" applyBorder="1" applyAlignment="1">
      <alignment horizontal="center" wrapText="1"/>
    </xf>
    <xf numFmtId="172" fontId="46" fillId="0" borderId="1" xfId="1" applyNumberFormat="1" applyFont="1" applyFill="1" applyBorder="1" applyAlignment="1">
      <alignment horizontal="center" wrapText="1"/>
    </xf>
    <xf numFmtId="167" fontId="38" fillId="13" borderId="1" xfId="0" quotePrefix="1" applyNumberFormat="1" applyFont="1" applyFill="1" applyBorder="1"/>
    <xf numFmtId="0" fontId="38" fillId="13" borderId="1" xfId="0" applyNumberFormat="1" applyFont="1" applyFill="1" applyBorder="1" applyAlignment="1">
      <alignment horizontal="center" vertical="center" wrapText="1"/>
    </xf>
    <xf numFmtId="43" fontId="31" fillId="13" borderId="1" xfId="0" applyNumberFormat="1" applyFont="1" applyFill="1" applyBorder="1"/>
    <xf numFmtId="172" fontId="31" fillId="13" borderId="1" xfId="0" applyNumberFormat="1" applyFont="1" applyFill="1" applyBorder="1"/>
    <xf numFmtId="0" fontId="31" fillId="0" borderId="1" xfId="0" applyFont="1" applyFill="1" applyBorder="1"/>
    <xf numFmtId="43" fontId="31" fillId="0" borderId="1" xfId="0" applyNumberFormat="1" applyFont="1" applyFill="1" applyBorder="1"/>
    <xf numFmtId="172" fontId="31" fillId="0" borderId="1" xfId="0" applyNumberFormat="1" applyFont="1" applyFill="1" applyBorder="1"/>
    <xf numFmtId="167" fontId="46" fillId="0" borderId="1" xfId="0" quotePrefix="1" applyNumberFormat="1" applyFont="1" applyBorder="1"/>
    <xf numFmtId="0" fontId="46" fillId="0" borderId="1" xfId="0" quotePrefix="1" applyNumberFormat="1" applyFont="1" applyBorder="1" applyAlignment="1">
      <alignment wrapText="1"/>
    </xf>
    <xf numFmtId="0" fontId="46" fillId="0" borderId="1" xfId="0" quotePrefix="1" applyNumberFormat="1" applyFont="1" applyFill="1" applyBorder="1" applyAlignment="1">
      <alignment wrapText="1"/>
    </xf>
    <xf numFmtId="167" fontId="46" fillId="0" borderId="1" xfId="0" quotePrefix="1" applyNumberFormat="1" applyFont="1" applyFill="1" applyBorder="1"/>
    <xf numFmtId="0" fontId="31" fillId="0" borderId="1" xfId="0" applyFont="1" applyBorder="1"/>
    <xf numFmtId="0" fontId="46" fillId="0" borderId="1" xfId="0" applyNumberFormat="1" applyFont="1" applyFill="1" applyBorder="1" applyAlignment="1">
      <alignment wrapText="1"/>
    </xf>
    <xf numFmtId="0" fontId="31" fillId="0" borderId="1" xfId="0" applyNumberFormat="1" applyFont="1" applyFill="1" applyBorder="1" applyAlignment="1">
      <alignment vertical="top"/>
    </xf>
    <xf numFmtId="0" fontId="31" fillId="0" borderId="1" xfId="0" applyFont="1" applyFill="1" applyBorder="1" applyAlignment="1">
      <alignment vertical="top"/>
    </xf>
    <xf numFmtId="167" fontId="38" fillId="0" borderId="1" xfId="0" quotePrefix="1" applyNumberFormat="1" applyFont="1" applyFill="1" applyBorder="1"/>
    <xf numFmtId="0" fontId="38" fillId="0" borderId="1" xfId="0" quotePrefix="1" applyNumberFormat="1" applyFont="1" applyFill="1" applyBorder="1" applyAlignment="1">
      <alignment wrapText="1"/>
    </xf>
    <xf numFmtId="0" fontId="36" fillId="0" borderId="1" xfId="0" applyFont="1" applyFill="1" applyBorder="1"/>
    <xf numFmtId="0" fontId="36" fillId="0" borderId="1" xfId="0" applyNumberFormat="1" applyFont="1" applyFill="1" applyBorder="1" applyAlignment="1">
      <alignment vertical="top"/>
    </xf>
    <xf numFmtId="0" fontId="36" fillId="0" borderId="1" xfId="0" applyFont="1" applyFill="1" applyBorder="1" applyAlignment="1">
      <alignment vertical="top"/>
    </xf>
    <xf numFmtId="0" fontId="38" fillId="0" borderId="1" xfId="0" applyFont="1" applyFill="1" applyBorder="1" applyAlignment="1">
      <alignment wrapText="1"/>
    </xf>
    <xf numFmtId="3" fontId="47" fillId="0" borderId="0" xfId="0" applyNumberFormat="1" applyFont="1" applyFill="1"/>
    <xf numFmtId="1" fontId="0" fillId="0" borderId="1" xfId="0" applyNumberFormat="1" applyBorder="1" applyProtection="1">
      <protection locked="0"/>
    </xf>
    <xf numFmtId="0" fontId="0" fillId="0" borderId="0" xfId="0" applyProtection="1">
      <protection locked="0"/>
    </xf>
    <xf numFmtId="0" fontId="23" fillId="0" borderId="13" xfId="0" applyFont="1" applyBorder="1" applyAlignment="1" applyProtection="1">
      <alignment horizontal="center"/>
      <protection locked="0"/>
    </xf>
    <xf numFmtId="0" fontId="23" fillId="0" borderId="0" xfId="0" applyFont="1" applyProtection="1"/>
    <xf numFmtId="0" fontId="23" fillId="0" borderId="0" xfId="0" applyFont="1" applyAlignment="1" applyProtection="1"/>
    <xf numFmtId="0" fontId="23" fillId="0" borderId="0" xfId="0" applyFont="1" applyAlignment="1" applyProtection="1">
      <alignment horizontal="left"/>
    </xf>
    <xf numFmtId="0" fontId="23" fillId="0" borderId="0" xfId="0" applyFont="1" applyBorder="1" applyAlignment="1" applyProtection="1"/>
    <xf numFmtId="0" fontId="23" fillId="0" borderId="0" xfId="0" applyFont="1" applyBorder="1" applyAlignment="1" applyProtection="1">
      <alignment horizontal="left"/>
    </xf>
    <xf numFmtId="0" fontId="23" fillId="0" borderId="0" xfId="0" applyFont="1" applyAlignment="1" applyProtection="1">
      <alignment horizontal="centerContinuous"/>
    </xf>
    <xf numFmtId="0" fontId="0" fillId="0" borderId="13" xfId="0" applyBorder="1" applyProtection="1"/>
    <xf numFmtId="0" fontId="1" fillId="0" borderId="0" xfId="0" applyFont="1" applyProtection="1"/>
    <xf numFmtId="0" fontId="0" fillId="0" borderId="0" xfId="0" applyProtection="1"/>
    <xf numFmtId="0" fontId="0" fillId="0" borderId="0" xfId="0" applyBorder="1" applyProtection="1"/>
    <xf numFmtId="0" fontId="0" fillId="2" borderId="6" xfId="0" applyFill="1" applyBorder="1" applyProtection="1"/>
    <xf numFmtId="0" fontId="2" fillId="2" borderId="7" xfId="0"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2" fillId="2" borderId="0" xfId="0" applyFont="1" applyFill="1" applyBorder="1" applyProtection="1"/>
    <xf numFmtId="0" fontId="0" fillId="2" borderId="0" xfId="0" applyFill="1" applyBorder="1" applyProtection="1"/>
    <xf numFmtId="0" fontId="0" fillId="2" borderId="2" xfId="0" applyFill="1" applyBorder="1" applyProtection="1"/>
    <xf numFmtId="0" fontId="0" fillId="2" borderId="10" xfId="0" applyFill="1" applyBorder="1" applyProtection="1"/>
    <xf numFmtId="0" fontId="2" fillId="2" borderId="11" xfId="0" applyFont="1" applyFill="1" applyBorder="1" applyProtection="1"/>
    <xf numFmtId="0" fontId="0" fillId="2" borderId="11" xfId="0" applyFill="1" applyBorder="1" applyProtection="1"/>
    <xf numFmtId="0" fontId="0" fillId="2" borderId="12" xfId="0" applyFill="1" applyBorder="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2" fillId="0" borderId="1" xfId="0" applyFont="1" applyBorder="1" applyAlignment="1" applyProtection="1">
      <alignment horizontal="center"/>
    </xf>
    <xf numFmtId="0" fontId="24" fillId="0" borderId="1" xfId="0" quotePrefix="1" applyFont="1" applyBorder="1" applyAlignment="1" applyProtection="1">
      <alignment horizontal="center"/>
    </xf>
    <xf numFmtId="0" fontId="0" fillId="0" borderId="0" xfId="0" applyFill="1" applyProtection="1">
      <protection locked="0"/>
    </xf>
    <xf numFmtId="0" fontId="2" fillId="0" borderId="0" xfId="0" applyFont="1" applyProtection="1">
      <protection locked="0"/>
    </xf>
    <xf numFmtId="3" fontId="47" fillId="0" borderId="1" xfId="0" applyNumberFormat="1" applyFont="1" applyFill="1" applyBorder="1"/>
    <xf numFmtId="0" fontId="48" fillId="0" borderId="1" xfId="0" applyFont="1" applyFill="1" applyBorder="1"/>
    <xf numFmtId="0" fontId="50" fillId="0" borderId="0" xfId="0" applyFont="1" applyFill="1"/>
    <xf numFmtId="0" fontId="46" fillId="0" borderId="0" xfId="0" applyFont="1" applyFill="1"/>
    <xf numFmtId="164" fontId="9" fillId="5" borderId="4" xfId="0" applyNumberFormat="1" applyFont="1" applyFill="1" applyBorder="1" applyProtection="1">
      <protection locked="0"/>
    </xf>
    <xf numFmtId="164" fontId="17" fillId="0" borderId="1" xfId="1" applyNumberFormat="1" applyFont="1" applyFill="1" applyBorder="1"/>
    <xf numFmtId="174" fontId="37" fillId="9" borderId="1" xfId="0" applyNumberFormat="1" applyFont="1" applyFill="1" applyBorder="1" applyProtection="1"/>
    <xf numFmtId="0" fontId="3" fillId="0" borderId="0" xfId="0" applyFont="1" applyFill="1" applyAlignment="1">
      <alignment wrapText="1"/>
    </xf>
    <xf numFmtId="0" fontId="51" fillId="0" borderId="1" xfId="0" applyFont="1" applyFill="1" applyBorder="1"/>
    <xf numFmtId="43" fontId="51" fillId="0" borderId="1" xfId="0" applyNumberFormat="1" applyFont="1" applyFill="1" applyBorder="1"/>
    <xf numFmtId="172" fontId="51" fillId="0" borderId="1" xfId="0" applyNumberFormat="1" applyFont="1" applyFill="1" applyBorder="1"/>
    <xf numFmtId="0" fontId="2" fillId="11" borderId="0" xfId="0" applyFont="1" applyFill="1" applyAlignment="1">
      <alignment wrapText="1"/>
    </xf>
    <xf numFmtId="0" fontId="2" fillId="11" borderId="11" xfId="0" applyFont="1" applyFill="1" applyBorder="1" applyAlignment="1">
      <alignment wrapText="1"/>
    </xf>
    <xf numFmtId="2" fontId="39" fillId="0" borderId="0" xfId="0" applyNumberFormat="1" applyFont="1" applyAlignment="1" applyProtection="1">
      <alignment horizontal="left"/>
    </xf>
    <xf numFmtId="2" fontId="40" fillId="9" borderId="11" xfId="0" applyNumberFormat="1" applyFont="1" applyFill="1" applyBorder="1" applyAlignment="1" applyProtection="1">
      <alignment horizontal="left"/>
    </xf>
    <xf numFmtId="2" fontId="37" fillId="0" borderId="25" xfId="0" applyNumberFormat="1" applyFont="1" applyBorder="1" applyAlignment="1" applyProtection="1">
      <alignment horizontal="center"/>
    </xf>
    <xf numFmtId="2" fontId="37" fillId="0" borderId="13" xfId="0" applyNumberFormat="1" applyFont="1" applyBorder="1" applyAlignment="1" applyProtection="1">
      <alignment horizontal="center"/>
    </xf>
    <xf numFmtId="0" fontId="49" fillId="0" borderId="0" xfId="0" applyFont="1" applyAlignment="1" applyProtection="1">
      <alignment horizontal="center"/>
      <protection locked="0"/>
    </xf>
  </cellXfs>
  <cellStyles count="5">
    <cellStyle name="Comma" xfId="1" builtinId="3"/>
    <cellStyle name="Currency" xfId="2" builtinId="4"/>
    <cellStyle name="Normal" xfId="0" builtinId="0"/>
    <cellStyle name="Normal 2" xfId="3"/>
    <cellStyle name="Percent" xfId="4" builtinId="5"/>
  </cellStyles>
  <dxfs count="2">
    <dxf>
      <fill>
        <patternFill>
          <bgColor rgb="FFFFC7CE"/>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C43"/>
  <sheetViews>
    <sheetView tabSelected="1" zoomScale="125" zoomScaleNormal="86" workbookViewId="0">
      <pane xSplit="1" ySplit="4" topLeftCell="B5" activePane="bottomRight" state="frozen"/>
      <selection pane="topRight"/>
      <selection pane="bottomLeft"/>
      <selection pane="bottomRight"/>
    </sheetView>
  </sheetViews>
  <sheetFormatPr defaultColWidth="8.85546875" defaultRowHeight="12.75" x14ac:dyDescent="0.2"/>
  <cols>
    <col min="1" max="1" width="55.7109375" customWidth="1"/>
    <col min="2" max="2" width="15.85546875" bestFit="1" customWidth="1"/>
    <col min="3" max="3" width="38.28515625" customWidth="1"/>
  </cols>
  <sheetData>
    <row r="1" spans="1:3" x14ac:dyDescent="0.2">
      <c r="A1" s="124">
        <v>0</v>
      </c>
      <c r="B1" s="132"/>
      <c r="C1" s="131"/>
    </row>
    <row r="2" spans="1:3" x14ac:dyDescent="0.2">
      <c r="A2" s="91" t="str">
        <f>VLOOKUP(A1,'Charter Data'!$A:$B,2,FALSE)</f>
        <v>NEW TEXAS CHARTER SCHOOL</v>
      </c>
      <c r="B2" s="34"/>
      <c r="C2" s="130"/>
    </row>
    <row r="3" spans="1:3" x14ac:dyDescent="0.2">
      <c r="A3" s="91" t="s">
        <v>399</v>
      </c>
      <c r="B3" s="34"/>
      <c r="C3" s="130"/>
    </row>
    <row r="4" spans="1:3" x14ac:dyDescent="0.2">
      <c r="A4" s="125"/>
      <c r="B4" s="126" t="s">
        <v>228</v>
      </c>
      <c r="C4" s="131"/>
    </row>
    <row r="5" spans="1:3" x14ac:dyDescent="0.2">
      <c r="A5" s="57" t="s">
        <v>229</v>
      </c>
      <c r="B5" s="54">
        <v>0</v>
      </c>
      <c r="C5" s="133" t="str">
        <f>IF(B5&gt;VLOOKUP(A1,'Charter Data'!A:C,3,FALSE),"Total Number of Students Enrolled Exceeds Maximum Approved Enrollment","")</f>
        <v/>
      </c>
    </row>
    <row r="6" spans="1:3" ht="37.5" customHeight="1" x14ac:dyDescent="0.2">
      <c r="A6" s="25" t="s">
        <v>36</v>
      </c>
      <c r="B6" s="74">
        <v>0</v>
      </c>
      <c r="C6" s="129"/>
    </row>
    <row r="7" spans="1:3" x14ac:dyDescent="0.2">
      <c r="A7" s="25" t="s">
        <v>150</v>
      </c>
      <c r="B7" s="52">
        <v>1</v>
      </c>
      <c r="C7" s="129"/>
    </row>
    <row r="8" spans="1:3" x14ac:dyDescent="0.2">
      <c r="A8" s="30" t="s">
        <v>126</v>
      </c>
      <c r="B8" s="31"/>
      <c r="C8" s="31" t="s">
        <v>312</v>
      </c>
    </row>
    <row r="9" spans="1:3" x14ac:dyDescent="0.2">
      <c r="A9" s="27" t="s">
        <v>172</v>
      </c>
      <c r="B9" s="53">
        <v>0</v>
      </c>
      <c r="C9" s="53">
        <v>0</v>
      </c>
    </row>
    <row r="10" spans="1:3" x14ac:dyDescent="0.2">
      <c r="A10" s="27" t="s">
        <v>173</v>
      </c>
      <c r="B10" s="53">
        <v>0</v>
      </c>
      <c r="C10" s="53">
        <v>0</v>
      </c>
    </row>
    <row r="11" spans="1:3" x14ac:dyDescent="0.2">
      <c r="A11" s="27" t="s">
        <v>176</v>
      </c>
      <c r="B11" s="53">
        <v>0</v>
      </c>
      <c r="C11" s="53">
        <v>0</v>
      </c>
    </row>
    <row r="12" spans="1:3" x14ac:dyDescent="0.2">
      <c r="A12" s="27" t="s">
        <v>177</v>
      </c>
      <c r="B12" s="53">
        <v>0</v>
      </c>
      <c r="C12" s="53">
        <v>0</v>
      </c>
    </row>
    <row r="13" spans="1:3" ht="12.75" customHeight="1" x14ac:dyDescent="0.2">
      <c r="A13" s="28" t="s">
        <v>137</v>
      </c>
      <c r="B13" s="53">
        <v>0</v>
      </c>
      <c r="C13" s="53">
        <v>0</v>
      </c>
    </row>
    <row r="14" spans="1:3" x14ac:dyDescent="0.2">
      <c r="A14" s="27" t="s">
        <v>138</v>
      </c>
      <c r="B14" s="53">
        <v>0</v>
      </c>
      <c r="C14" s="53">
        <v>0</v>
      </c>
    </row>
    <row r="15" spans="1:3" x14ac:dyDescent="0.2">
      <c r="A15" s="27" t="s">
        <v>139</v>
      </c>
      <c r="B15" s="53">
        <v>0</v>
      </c>
      <c r="C15" s="53">
        <v>0</v>
      </c>
    </row>
    <row r="16" spans="1:3" x14ac:dyDescent="0.2">
      <c r="A16" s="27" t="s">
        <v>178</v>
      </c>
      <c r="B16" s="53">
        <v>0</v>
      </c>
      <c r="C16" s="53">
        <v>0</v>
      </c>
    </row>
    <row r="17" spans="1:3" x14ac:dyDescent="0.2">
      <c r="A17" s="27" t="s">
        <v>179</v>
      </c>
      <c r="B17" s="53">
        <v>0</v>
      </c>
      <c r="C17" s="53">
        <v>0</v>
      </c>
    </row>
    <row r="18" spans="1:3" x14ac:dyDescent="0.2">
      <c r="A18" s="27" t="s">
        <v>180</v>
      </c>
      <c r="B18" s="53">
        <v>0</v>
      </c>
      <c r="C18" s="53">
        <v>0</v>
      </c>
    </row>
    <row r="19" spans="1:3" x14ac:dyDescent="0.2">
      <c r="A19" s="27" t="s">
        <v>181</v>
      </c>
      <c r="B19" s="53">
        <v>0</v>
      </c>
      <c r="C19" s="53">
        <v>0</v>
      </c>
    </row>
    <row r="20" spans="1:3" x14ac:dyDescent="0.2">
      <c r="A20" s="30" t="s">
        <v>127</v>
      </c>
      <c r="B20" s="32"/>
      <c r="C20" s="31" t="s">
        <v>313</v>
      </c>
    </row>
    <row r="21" spans="1:3" x14ac:dyDescent="0.2">
      <c r="A21" s="27" t="s">
        <v>131</v>
      </c>
      <c r="B21" s="53">
        <v>0</v>
      </c>
      <c r="C21" s="53">
        <v>0</v>
      </c>
    </row>
    <row r="22" spans="1:3" x14ac:dyDescent="0.2">
      <c r="A22" s="27" t="s">
        <v>132</v>
      </c>
      <c r="B22" s="53">
        <v>0</v>
      </c>
      <c r="C22" s="53">
        <v>0</v>
      </c>
    </row>
    <row r="23" spans="1:3" x14ac:dyDescent="0.2">
      <c r="A23" s="27" t="s">
        <v>133</v>
      </c>
      <c r="B23" s="53">
        <v>0</v>
      </c>
      <c r="C23" s="53">
        <v>0</v>
      </c>
    </row>
    <row r="24" spans="1:3" x14ac:dyDescent="0.2">
      <c r="A24" s="27" t="s">
        <v>134</v>
      </c>
      <c r="B24" s="53">
        <v>0</v>
      </c>
      <c r="C24" s="53">
        <v>0</v>
      </c>
    </row>
    <row r="25" spans="1:3" x14ac:dyDescent="0.2">
      <c r="A25" s="27" t="s">
        <v>135</v>
      </c>
      <c r="B25" s="53">
        <v>0</v>
      </c>
      <c r="C25" s="53">
        <v>0</v>
      </c>
    </row>
    <row r="26" spans="1:3" x14ac:dyDescent="0.2">
      <c r="A26" s="27" t="s">
        <v>136</v>
      </c>
      <c r="B26" s="53">
        <v>0</v>
      </c>
      <c r="C26" s="53">
        <v>0</v>
      </c>
    </row>
    <row r="27" spans="1:3" x14ac:dyDescent="0.2">
      <c r="A27" s="26" t="s">
        <v>183</v>
      </c>
      <c r="B27" s="53">
        <v>0</v>
      </c>
      <c r="C27" s="160"/>
    </row>
    <row r="28" spans="1:3" x14ac:dyDescent="0.2">
      <c r="A28" s="26" t="s">
        <v>209</v>
      </c>
      <c r="B28" s="53">
        <v>0</v>
      </c>
      <c r="C28" s="160"/>
    </row>
    <row r="29" spans="1:3" x14ac:dyDescent="0.2">
      <c r="A29" s="26" t="s">
        <v>210</v>
      </c>
      <c r="B29" s="53">
        <v>0</v>
      </c>
      <c r="C29" s="160"/>
    </row>
    <row r="30" spans="1:3" x14ac:dyDescent="0.2">
      <c r="A30" s="127" t="s">
        <v>128</v>
      </c>
      <c r="B30" s="158" t="str">
        <f>IF(B9+B10+B12+B13+B14+B15+B16+B17+B18+B19&gt;B5, "Sped Total Error","")</f>
        <v/>
      </c>
      <c r="C30" s="161"/>
    </row>
    <row r="31" spans="1:3" x14ac:dyDescent="0.2">
      <c r="A31" s="127" t="s">
        <v>129</v>
      </c>
      <c r="B31" s="159" t="str">
        <f>IF(SUM(B21:B26)&gt;B5, "CATE Total Error","")</f>
        <v/>
      </c>
      <c r="C31" s="161"/>
    </row>
    <row r="32" spans="1:3" ht="33.75" x14ac:dyDescent="0.2">
      <c r="A32" s="57" t="s">
        <v>341</v>
      </c>
      <c r="B32" s="101">
        <v>0</v>
      </c>
      <c r="C32" s="156" t="s">
        <v>404</v>
      </c>
    </row>
    <row r="33" spans="1:3" ht="33.75" x14ac:dyDescent="0.2">
      <c r="A33" s="57" t="s">
        <v>130</v>
      </c>
      <c r="B33" s="101">
        <v>0</v>
      </c>
      <c r="C33" s="156" t="s">
        <v>409</v>
      </c>
    </row>
    <row r="34" spans="1:3" ht="33.75" x14ac:dyDescent="0.2">
      <c r="A34" s="24" t="s">
        <v>263</v>
      </c>
      <c r="B34" s="101">
        <v>0</v>
      </c>
      <c r="C34" s="156" t="s">
        <v>404</v>
      </c>
    </row>
    <row r="35" spans="1:3" ht="25.5" x14ac:dyDescent="0.2">
      <c r="A35" s="24" t="s">
        <v>149</v>
      </c>
      <c r="B35" s="77" t="str">
        <f>VLOOKUP(A1,'Charter Data'!$A:$E,5,FALSE)</f>
        <v>NO</v>
      </c>
      <c r="C35" s="130"/>
    </row>
    <row r="36" spans="1:3" ht="35.25" x14ac:dyDescent="0.2">
      <c r="A36" s="24" t="s">
        <v>407</v>
      </c>
      <c r="B36" s="101">
        <v>0</v>
      </c>
      <c r="C36" s="156" t="s">
        <v>405</v>
      </c>
    </row>
    <row r="37" spans="1:3" ht="35.25" x14ac:dyDescent="0.2">
      <c r="A37" s="24" t="s">
        <v>408</v>
      </c>
      <c r="B37" s="101">
        <v>0</v>
      </c>
      <c r="C37" s="156" t="s">
        <v>405</v>
      </c>
    </row>
    <row r="38" spans="1:3" ht="33.75" x14ac:dyDescent="0.2">
      <c r="A38" s="24" t="s">
        <v>260</v>
      </c>
      <c r="B38" s="122">
        <v>0</v>
      </c>
      <c r="C38" s="156" t="s">
        <v>406</v>
      </c>
    </row>
    <row r="39" spans="1:3" ht="33.75" x14ac:dyDescent="0.2">
      <c r="A39" s="24" t="s">
        <v>259</v>
      </c>
      <c r="B39" s="101">
        <v>0</v>
      </c>
      <c r="C39" s="156" t="s">
        <v>406</v>
      </c>
    </row>
    <row r="40" spans="1:3" ht="33.75" x14ac:dyDescent="0.2">
      <c r="A40" s="24" t="s">
        <v>258</v>
      </c>
      <c r="B40" s="101">
        <v>0</v>
      </c>
      <c r="C40" s="156" t="s">
        <v>406</v>
      </c>
    </row>
    <row r="41" spans="1:3" ht="13.5" thickBot="1" x14ac:dyDescent="0.25">
      <c r="A41" s="120" t="s">
        <v>257</v>
      </c>
      <c r="B41" s="121">
        <f>SUM(B38:B40)</f>
        <v>0</v>
      </c>
      <c r="C41" s="130"/>
    </row>
    <row r="42" spans="1:3" ht="13.5" thickTop="1" x14ac:dyDescent="0.2"/>
    <row r="43" spans="1:3" ht="62.25" customHeight="1" x14ac:dyDescent="0.2"/>
  </sheetData>
  <sheetProtection password="EE5D" sheet="1" objects="1" scenarios="1"/>
  <phoneticPr fontId="3" type="noConversion"/>
  <conditionalFormatting sqref="B9:C19 B21:C29 B6">
    <cfRule type="cellIs" dxfId="1" priority="11" stopIfTrue="1" operator="greaterThan">
      <formula>$B$5</formula>
    </cfRule>
  </conditionalFormatting>
  <conditionalFormatting sqref="C5">
    <cfRule type="containsText" dxfId="0" priority="1" operator="containsText" text="Total Number of Students Enrolled Exceeds Maximum Approved Enrollment">
      <formula>NOT(ISERROR(SEARCH("Total Number of Students Enrolled Exceeds Maximum Approved Enrollment",C5)))</formula>
    </cfRule>
  </conditionalFormatting>
  <dataValidations count="2">
    <dataValidation type="custom" allowBlank="1" showInputMessage="1" showErrorMessage="1" errorTitle="Value Error" error="The number of students enrolled in this program cannot be greater than Total Number of Students Enrolled." sqref="B6">
      <formula1>AND(B6&lt;=B$5)</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B9:C19 B21:C29">
      <formula1>AND(B9&lt;=B$5,MOD(B9,0.5)=0)</formula1>
    </dataValidation>
  </dataValidations>
  <printOptions verticalCentered="1" headings="1"/>
  <pageMargins left="0.33" right="0.33" top="0.5" bottom="0.5" header="0.5" footer="0.5"/>
  <pageSetup scale="85" fitToWidth="5" orientation="portrait" cellComments="asDisplayed" r:id="rId1"/>
  <headerFooter alignWithMargins="0">
    <oddFooter>&amp;C&amp;A - page &amp;P of &amp;N
Printed on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3"/>
    <pageSetUpPr fitToPage="1"/>
  </sheetPr>
  <dimension ref="A1:F90"/>
  <sheetViews>
    <sheetView workbookViewId="0">
      <selection activeCell="A2" sqref="A2"/>
    </sheetView>
  </sheetViews>
  <sheetFormatPr defaultColWidth="8.85546875" defaultRowHeight="12.75" x14ac:dyDescent="0.2"/>
  <cols>
    <col min="1" max="1" width="77.28515625" customWidth="1"/>
    <col min="2" max="2" width="18.5703125" customWidth="1"/>
    <col min="3" max="3" width="18.140625" customWidth="1"/>
    <col min="4" max="4" width="72.7109375" customWidth="1"/>
    <col min="5" max="5" width="39.7109375" customWidth="1"/>
  </cols>
  <sheetData>
    <row r="1" spans="1:4" ht="15.75" x14ac:dyDescent="0.2">
      <c r="A1" s="93" t="str">
        <f>VLOOKUP(A2,'Charter Data'!1:1048576,2,FALSE)</f>
        <v>NEW TEXAS CHARTER SCHOOL</v>
      </c>
      <c r="B1" s="88"/>
      <c r="C1" s="118"/>
      <c r="D1" s="235" t="s">
        <v>356</v>
      </c>
    </row>
    <row r="2" spans="1:4" ht="15.75" x14ac:dyDescent="0.2">
      <c r="A2" s="94">
        <f>'Enrollment Data'!A1</f>
        <v>0</v>
      </c>
      <c r="B2" s="89"/>
      <c r="D2" s="235"/>
    </row>
    <row r="3" spans="1:4" ht="15.75" x14ac:dyDescent="0.2">
      <c r="A3" s="95" t="str">
        <f>'Enrollment Data'!A3</f>
        <v>2014-2015 Estimate of State Aid Entitlement Template</v>
      </c>
      <c r="B3" s="16"/>
      <c r="C3" s="78"/>
      <c r="D3" s="235"/>
    </row>
    <row r="4" spans="1:4" ht="16.5" thickBot="1" x14ac:dyDescent="0.25">
      <c r="A4" s="128" t="s">
        <v>418</v>
      </c>
      <c r="B4" s="16" t="s">
        <v>119</v>
      </c>
      <c r="D4" s="235"/>
    </row>
    <row r="5" spans="1:4" ht="15.75" x14ac:dyDescent="0.25">
      <c r="A5" s="92" t="s">
        <v>184</v>
      </c>
      <c r="B5" s="75">
        <f>'Enrollment Data'!$B$5*'Enrollment Data'!$B$7</f>
        <v>0</v>
      </c>
      <c r="C5" s="19"/>
      <c r="D5" s="235"/>
    </row>
    <row r="6" spans="1:4" ht="15.75" x14ac:dyDescent="0.25">
      <c r="A6" s="6" t="s">
        <v>3</v>
      </c>
      <c r="B6" s="75">
        <f>'Enrollment Data'!$B$34</f>
        <v>0</v>
      </c>
      <c r="C6" s="19"/>
      <c r="D6" s="235"/>
    </row>
    <row r="7" spans="1:4" ht="16.5" thickBot="1" x14ac:dyDescent="0.3">
      <c r="A7" s="6" t="s">
        <v>415</v>
      </c>
      <c r="B7" s="75">
        <f>'Enrollment Data'!B32</f>
        <v>0</v>
      </c>
      <c r="C7" s="19"/>
      <c r="D7" s="236"/>
    </row>
    <row r="8" spans="1:4" ht="15.75" x14ac:dyDescent="0.25">
      <c r="A8" s="38" t="s">
        <v>333</v>
      </c>
      <c r="B8" s="39"/>
      <c r="C8" s="39" t="s">
        <v>312</v>
      </c>
      <c r="D8" s="15"/>
    </row>
    <row r="9" spans="1:4" ht="15.75" x14ac:dyDescent="0.25">
      <c r="A9" s="7" t="s">
        <v>140</v>
      </c>
      <c r="B9" s="75">
        <f>'Enrollment Data'!$B$9*'Enrollment Data'!$B$7*1/6</f>
        <v>0</v>
      </c>
      <c r="C9" s="75">
        <f>IF($C$1="load",VLOOKUP($A$2,#REF!,34,FALSE),('Enrollment Data'!$C$9*'Enrollment Data'!$B$7*1/6)/6)</f>
        <v>0</v>
      </c>
      <c r="D9" s="15"/>
    </row>
    <row r="10" spans="1:4" ht="15.75" x14ac:dyDescent="0.25">
      <c r="A10" s="7" t="s">
        <v>141</v>
      </c>
      <c r="B10" s="75">
        <f>'Enrollment Data'!$B$10*'Enrollment Data'!$B$7*4.5/6</f>
        <v>0</v>
      </c>
      <c r="C10" s="75">
        <f>IF($C$1="load",VLOOKUP($A$2,#REF!,35,FALSE),('Enrollment Data'!$C$10*'Enrollment Data'!$B$7*4.5/6)/6)</f>
        <v>0</v>
      </c>
    </row>
    <row r="11" spans="1:4" ht="15.75" x14ac:dyDescent="0.25">
      <c r="A11" s="7" t="s">
        <v>142</v>
      </c>
      <c r="B11" s="75">
        <f>'Enrollment Data'!$B$11*'Enrollment Data'!$B$7*0.25/6</f>
        <v>0</v>
      </c>
      <c r="C11" s="75">
        <f>IF($C$1="load",VLOOKUP($A$2,#REF!,36,FALSE),('Enrollment Data'!$C$11*'Enrollment Data'!$B$7*0.25/6)/6)</f>
        <v>0</v>
      </c>
      <c r="D11" s="15"/>
    </row>
    <row r="12" spans="1:4" ht="15.75" x14ac:dyDescent="0.25">
      <c r="A12" s="7" t="s">
        <v>143</v>
      </c>
      <c r="B12" s="75">
        <f>'Enrollment Data'!$B$12*'Enrollment Data'!$B$7*2.859/6</f>
        <v>0</v>
      </c>
      <c r="C12" s="75">
        <f>IF($C$1="load",VLOOKUP($A$2,#REF!,37,FALSE),('Enrollment Data'!$C$12*'Enrollment Data'!$B$7*2.859/6)/6)</f>
        <v>0</v>
      </c>
      <c r="D12" s="15"/>
    </row>
    <row r="13" spans="1:4" ht="15.75" x14ac:dyDescent="0.25">
      <c r="A13" s="7" t="s">
        <v>144</v>
      </c>
      <c r="B13" s="75">
        <f>'Enrollment Data'!$B$13*'Enrollment Data'!$B$7*2.859/6</f>
        <v>0</v>
      </c>
      <c r="C13" s="75">
        <f>IF($C$1="load",VLOOKUP($A$2,#REF!,38,FALSE),('Enrollment Data'!$C$13*'Enrollment Data'!$B$7*2.859/6)/6)</f>
        <v>0</v>
      </c>
      <c r="D13" s="15"/>
    </row>
    <row r="14" spans="1:4" ht="15.75" x14ac:dyDescent="0.25">
      <c r="A14" s="7" t="s">
        <v>154</v>
      </c>
      <c r="B14" s="75">
        <f>'Enrollment Data'!$B$14*'Enrollment Data'!$B$7*2.859/6</f>
        <v>0</v>
      </c>
      <c r="C14" s="75">
        <f>IF($C$1="load",VLOOKUP($A$2,#REF!,39,FALSE),('Enrollment Data'!$C$14*'Enrollment Data'!$B$7*2.859/6)/6)</f>
        <v>0</v>
      </c>
      <c r="D14" s="15"/>
    </row>
    <row r="15" spans="1:4" ht="15.75" x14ac:dyDescent="0.25">
      <c r="A15" s="7" t="s">
        <v>145</v>
      </c>
      <c r="B15" s="75">
        <f>'Enrollment Data'!$B$15*'Enrollment Data'!$B$7*4.25/6</f>
        <v>0</v>
      </c>
      <c r="C15" s="75">
        <f>IF($C$1="load",VLOOKUP($A$2,#REF!,40,FALSE),('Enrollment Data'!$C$15*'Enrollment Data'!$B$7*4.25/6)/6)</f>
        <v>0</v>
      </c>
      <c r="D15" s="15"/>
    </row>
    <row r="16" spans="1:4" ht="15.75" x14ac:dyDescent="0.25">
      <c r="A16" s="7" t="s">
        <v>146</v>
      </c>
      <c r="B16" s="75">
        <f>'Enrollment Data'!$B$16*'Enrollment Data'!$B$7*5.5/6</f>
        <v>0</v>
      </c>
      <c r="C16" s="75">
        <f>IF($C$1="load",VLOOKUP($A$2,#REF!,44,FALSE),('Enrollment Data'!$C$16*'Enrollment Data'!$B$7*5.5/6)/6)</f>
        <v>0</v>
      </c>
      <c r="D16" s="15"/>
    </row>
    <row r="17" spans="1:4" ht="15.75" x14ac:dyDescent="0.25">
      <c r="A17" s="7" t="s">
        <v>147</v>
      </c>
      <c r="B17" s="75">
        <f>'Enrollment Data'!$B$17*'Enrollment Data'!$B$7*5.5/6</f>
        <v>0</v>
      </c>
      <c r="C17" s="75">
        <f>IF($C$1="load",VLOOKUP($A$2,#REF!,42,FALSE),('Enrollment Data'!$C$17*'Enrollment Data'!$B$7*5.5/6)/6)</f>
        <v>0</v>
      </c>
      <c r="D17" s="15"/>
    </row>
    <row r="18" spans="1:4" ht="15.75" x14ac:dyDescent="0.25">
      <c r="A18" s="7" t="s">
        <v>148</v>
      </c>
      <c r="B18" s="75">
        <f>'Enrollment Data'!$B$18*'Enrollment Data'!$B$7*5.5/6</f>
        <v>0</v>
      </c>
      <c r="C18" s="75">
        <f>IF($C$1="load",VLOOKUP($A$2,#REF!,47,FALSE),('Enrollment Data'!$C$18*'Enrollment Data'!$B$7*5.5/6)/6)</f>
        <v>0</v>
      </c>
      <c r="D18" s="15"/>
    </row>
    <row r="19" spans="1:4" ht="16.5" thickBot="1" x14ac:dyDescent="0.3">
      <c r="A19" s="108" t="s">
        <v>330</v>
      </c>
      <c r="B19" s="109">
        <f>SUM(B9:B18)</f>
        <v>0</v>
      </c>
      <c r="C19" s="109">
        <f>SUM(C9:C18)</f>
        <v>0</v>
      </c>
      <c r="D19" s="15"/>
    </row>
    <row r="20" spans="1:4" ht="17.25" thickTop="1" thickBot="1" x14ac:dyDescent="0.3">
      <c r="A20" s="111" t="s">
        <v>331</v>
      </c>
      <c r="B20" s="112">
        <f>(B9*5)+(B10*3)+(B11*5)+(B12*3)+(B13*3)+(B14*3)+(B15*2.7)+(B16*2.3)+(B17*2.8)+(B18*4)</f>
        <v>0</v>
      </c>
      <c r="C20" s="112">
        <f>(C9*5)+(C10*3)+(C11*5)+(C12*3)+(C13*3)+(C14*3)+(C15*2.7)+(C16*2.3)+(C17*2.8)+(C18*4)</f>
        <v>0</v>
      </c>
    </row>
    <row r="21" spans="1:4" ht="16.5" thickTop="1" x14ac:dyDescent="0.25">
      <c r="A21" s="6" t="s">
        <v>187</v>
      </c>
      <c r="B21" s="110">
        <f>'Enrollment Data'!$B$19*'Enrollment Data'!$B$7</f>
        <v>0</v>
      </c>
    </row>
    <row r="22" spans="1:4" ht="15.75" x14ac:dyDescent="0.25">
      <c r="A22" s="92" t="s">
        <v>185</v>
      </c>
      <c r="B22" s="110">
        <f>('Enrollment Data'!$B$21*'Enrollment Data'!$B$7*0.17)+('Enrollment Data'!$B$22*'Enrollment Data'!$B$7*0.33)+('Enrollment Data'!$B$23*'Enrollment Data'!$B$7*0.5)+('Enrollment Data'!$B$24*'Enrollment Data'!$B$7*0.67)+('Enrollment Data'!$B$25*'Enrollment Data'!$B$7*0.83)+('Enrollment Data'!$B$26*'Enrollment Data'!$B$7*1)</f>
        <v>0</v>
      </c>
    </row>
    <row r="23" spans="1:4" ht="15.75" x14ac:dyDescent="0.25">
      <c r="A23" s="8" t="s">
        <v>106</v>
      </c>
      <c r="B23" s="75">
        <f>('Enrollment Data'!$C$21*'Enrollment Data'!$B$7*0.17)+('Enrollment Data'!$C$22*'Enrollment Data'!$B$7*0.33)+('Enrollment Data'!$C$23*'Enrollment Data'!$B$7*0.5)+('Enrollment Data'!$C$24*'Enrollment Data'!$B$7*0.67)+('Enrollment Data'!$C$25*'Enrollment Data'!$B$7*0.83)+('Enrollment Data'!$C$26*'Enrollment Data'!$B$7*1)</f>
        <v>0</v>
      </c>
    </row>
    <row r="24" spans="1:4" ht="15.75" x14ac:dyDescent="0.25">
      <c r="A24" s="71" t="s">
        <v>186</v>
      </c>
      <c r="B24" s="228">
        <f>B5-B19-B22</f>
        <v>0</v>
      </c>
    </row>
    <row r="25" spans="1:4" ht="15.75" x14ac:dyDescent="0.25">
      <c r="A25" s="6" t="s">
        <v>183</v>
      </c>
      <c r="B25" s="110">
        <f>IF('Enrollment Data'!$B$27&lt;B5*0.05,'Enrollment Data'!$B$27,B5*0.05)</f>
        <v>0</v>
      </c>
    </row>
    <row r="26" spans="1:4" ht="15.75" x14ac:dyDescent="0.25">
      <c r="A26" s="8" t="s">
        <v>188</v>
      </c>
      <c r="B26" s="110">
        <f>'Enrollment Data'!B33</f>
        <v>0</v>
      </c>
    </row>
    <row r="27" spans="1:4" ht="15.75" x14ac:dyDescent="0.25">
      <c r="A27" s="6" t="s">
        <v>189</v>
      </c>
      <c r="B27" s="110">
        <f>'Enrollment Data'!$B$28*'Enrollment Data'!$B$7*0.2936</f>
        <v>0</v>
      </c>
    </row>
    <row r="28" spans="1:4" ht="15.75" x14ac:dyDescent="0.25">
      <c r="A28" s="6" t="s">
        <v>190</v>
      </c>
      <c r="B28" s="110">
        <f>'Enrollment Data'!$B$29*'Enrollment Data'!$B$7</f>
        <v>0</v>
      </c>
    </row>
    <row r="29" spans="1:4" ht="15.75" x14ac:dyDescent="0.25">
      <c r="A29" s="6" t="s">
        <v>163</v>
      </c>
      <c r="B29" s="119">
        <f>1-((B36-B35)/2)/B36</f>
        <v>0.97320766859898333</v>
      </c>
    </row>
    <row r="30" spans="1:4" ht="16.5" thickBot="1" x14ac:dyDescent="0.3">
      <c r="A30" s="108" t="s">
        <v>332</v>
      </c>
      <c r="B30" s="115">
        <f>ROUND(((B42+B43+B44+B45+B46+B47+B49+B50+B51+B52+B53)*B29)/B35,3)</f>
        <v>0</v>
      </c>
    </row>
    <row r="31" spans="1:4" ht="16.5" thickTop="1" x14ac:dyDescent="0.25">
      <c r="A31" s="113" t="s">
        <v>114</v>
      </c>
      <c r="B31" s="114" t="str">
        <f>'Enrollment Data'!B35</f>
        <v>NO</v>
      </c>
    </row>
    <row r="32" spans="1:4" ht="15.75" x14ac:dyDescent="0.25">
      <c r="A32" s="8" t="s">
        <v>221</v>
      </c>
      <c r="B32" s="75">
        <f>'Enrollment Data'!B36</f>
        <v>0</v>
      </c>
    </row>
    <row r="33" spans="1:4" ht="15.75" x14ac:dyDescent="0.25">
      <c r="A33" s="8" t="s">
        <v>222</v>
      </c>
      <c r="B33" s="75">
        <f>'Enrollment Data'!B37</f>
        <v>0</v>
      </c>
    </row>
    <row r="34" spans="1:4" ht="15.75" x14ac:dyDescent="0.25">
      <c r="A34" s="38" t="s">
        <v>398</v>
      </c>
      <c r="B34" s="40"/>
    </row>
    <row r="35" spans="1:4" ht="15.75" x14ac:dyDescent="0.25">
      <c r="A35" s="9" t="s">
        <v>63</v>
      </c>
      <c r="B35" s="136">
        <v>4892.9294367000002</v>
      </c>
      <c r="C35" s="85"/>
    </row>
    <row r="36" spans="1:4" ht="15.75" x14ac:dyDescent="0.25">
      <c r="A36" s="9" t="s">
        <v>162</v>
      </c>
      <c r="B36" s="136">
        <v>5169.96</v>
      </c>
    </row>
    <row r="37" spans="1:4" ht="15.75" x14ac:dyDescent="0.25">
      <c r="A37" s="9" t="s">
        <v>214</v>
      </c>
      <c r="B37" s="136">
        <v>6265</v>
      </c>
    </row>
    <row r="38" spans="1:4" ht="15.75" x14ac:dyDescent="0.25">
      <c r="A38" s="8" t="s">
        <v>416</v>
      </c>
      <c r="B38" s="138">
        <v>5.3538000000000002E-2</v>
      </c>
      <c r="D38" s="18"/>
    </row>
    <row r="39" spans="1:4" ht="15.75" x14ac:dyDescent="0.25">
      <c r="A39" s="8" t="s">
        <v>417</v>
      </c>
      <c r="B39" s="138">
        <v>5.0174000000000003E-2</v>
      </c>
      <c r="D39" s="18"/>
    </row>
    <row r="40" spans="1:4" ht="15.75" x14ac:dyDescent="0.25">
      <c r="A40" s="8" t="s">
        <v>340</v>
      </c>
      <c r="B40" s="137">
        <v>260.238</v>
      </c>
      <c r="D40" s="18"/>
    </row>
    <row r="41" spans="1:4" ht="15.75" x14ac:dyDescent="0.25">
      <c r="A41" s="38" t="s">
        <v>334</v>
      </c>
      <c r="B41" s="29"/>
      <c r="C41" s="17"/>
      <c r="D41" s="20"/>
    </row>
    <row r="42" spans="1:4" ht="15.75" x14ac:dyDescent="0.25">
      <c r="A42" s="10" t="s">
        <v>156</v>
      </c>
      <c r="B42" s="13">
        <f>B24*B37</f>
        <v>0</v>
      </c>
      <c r="C42" s="17"/>
      <c r="D42" s="18"/>
    </row>
    <row r="43" spans="1:4" ht="15.75" x14ac:dyDescent="0.25">
      <c r="A43" s="10" t="s">
        <v>264</v>
      </c>
      <c r="B43" s="13">
        <f>(B20-(B17*2.8+B18*4))*B37</f>
        <v>0</v>
      </c>
      <c r="C43" s="17"/>
    </row>
    <row r="44" spans="1:4" ht="15.75" x14ac:dyDescent="0.25">
      <c r="A44" s="10" t="s">
        <v>266</v>
      </c>
      <c r="B44" s="13">
        <f>B21*1.1*B37</f>
        <v>0</v>
      </c>
      <c r="C44" s="17"/>
    </row>
    <row r="45" spans="1:4" ht="15.75" x14ac:dyDescent="0.25">
      <c r="A45" s="10" t="s">
        <v>325</v>
      </c>
      <c r="B45" s="13">
        <f>B18*4*B37</f>
        <v>0</v>
      </c>
      <c r="C45" s="17"/>
    </row>
    <row r="46" spans="1:4" ht="15.75" x14ac:dyDescent="0.25">
      <c r="A46" s="10" t="s">
        <v>326</v>
      </c>
      <c r="B46" s="13">
        <f>B17*2.8*B37</f>
        <v>0</v>
      </c>
      <c r="C46" s="17"/>
    </row>
    <row r="47" spans="1:4" ht="15.75" x14ac:dyDescent="0.25">
      <c r="A47" s="10" t="s">
        <v>315</v>
      </c>
      <c r="B47" s="13">
        <f>C20*B37*0.75</f>
        <v>0</v>
      </c>
      <c r="C47" s="17"/>
    </row>
    <row r="48" spans="1:4" ht="16.5" thickBot="1" x14ac:dyDescent="0.3">
      <c r="A48" s="116" t="s">
        <v>329</v>
      </c>
      <c r="B48" s="117">
        <f>SUM(B43:B47)</f>
        <v>0</v>
      </c>
      <c r="C48" s="17"/>
    </row>
    <row r="49" spans="1:6" ht="16.5" thickTop="1" x14ac:dyDescent="0.25">
      <c r="A49" s="102" t="s">
        <v>267</v>
      </c>
      <c r="B49" s="100">
        <f>B22*1.35*B37+B23*50</f>
        <v>0</v>
      </c>
      <c r="D49" s="18"/>
      <c r="E49" s="42"/>
    </row>
    <row r="50" spans="1:6" ht="15.75" x14ac:dyDescent="0.25">
      <c r="A50" s="10" t="s">
        <v>314</v>
      </c>
      <c r="B50" s="13">
        <f>B25*0.12*B37</f>
        <v>0</v>
      </c>
      <c r="D50" s="18"/>
      <c r="E50" s="42"/>
    </row>
    <row r="51" spans="1:6" ht="15.75" x14ac:dyDescent="0.25">
      <c r="A51" s="10" t="s">
        <v>265</v>
      </c>
      <c r="B51" s="13">
        <f>B26*0.2*B37</f>
        <v>0</v>
      </c>
      <c r="C51" s="17"/>
      <c r="D51" s="18"/>
    </row>
    <row r="52" spans="1:6" ht="15.75" x14ac:dyDescent="0.25">
      <c r="A52" s="10" t="s">
        <v>268</v>
      </c>
      <c r="B52" s="13">
        <f>B27*2.41*B37</f>
        <v>0</v>
      </c>
      <c r="C52" s="21"/>
      <c r="D52" s="18"/>
      <c r="E52" s="2"/>
      <c r="F52" s="3"/>
    </row>
    <row r="53" spans="1:6" ht="15.75" x14ac:dyDescent="0.25">
      <c r="A53" s="10" t="s">
        <v>269</v>
      </c>
      <c r="B53" s="13">
        <f>B28*0.1*B37</f>
        <v>0</v>
      </c>
      <c r="C53" s="21"/>
      <c r="D53" s="18"/>
      <c r="E53" s="4"/>
      <c r="F53" s="5"/>
    </row>
    <row r="54" spans="1:6" ht="15.75" x14ac:dyDescent="0.25">
      <c r="A54" s="36" t="s">
        <v>335</v>
      </c>
      <c r="B54" s="37"/>
      <c r="C54" s="21"/>
      <c r="D54" s="18"/>
      <c r="E54" s="4"/>
      <c r="F54" s="5"/>
    </row>
    <row r="55" spans="1:6" ht="15.75" x14ac:dyDescent="0.25">
      <c r="A55" s="12" t="s">
        <v>211</v>
      </c>
      <c r="B55" s="41">
        <f>('Enrollment Data'!$B$38)</f>
        <v>0</v>
      </c>
      <c r="C55" s="21"/>
      <c r="D55" s="18"/>
      <c r="E55" s="4"/>
      <c r="F55" s="5"/>
    </row>
    <row r="56" spans="1:6" ht="15.75" x14ac:dyDescent="0.25">
      <c r="A56" s="12" t="s">
        <v>212</v>
      </c>
      <c r="B56" s="41">
        <f>('Enrollment Data'!$B$39)</f>
        <v>0</v>
      </c>
      <c r="D56" s="18"/>
      <c r="E56" s="4"/>
      <c r="F56" s="5"/>
    </row>
    <row r="57" spans="1:6" ht="15.75" x14ac:dyDescent="0.25">
      <c r="A57" s="12" t="s">
        <v>213</v>
      </c>
      <c r="B57" s="41">
        <f>('Enrollment Data'!$B$40)</f>
        <v>0</v>
      </c>
      <c r="C57" s="21"/>
      <c r="D57" s="18"/>
    </row>
    <row r="58" spans="1:6" ht="16.5" thickBot="1" x14ac:dyDescent="0.3">
      <c r="A58" s="116" t="s">
        <v>336</v>
      </c>
      <c r="B58" s="117">
        <f>SUM(B55:B57)</f>
        <v>0</v>
      </c>
      <c r="C58" s="21"/>
      <c r="D58" s="18"/>
    </row>
    <row r="59" spans="1:6" ht="16.5" thickTop="1" x14ac:dyDescent="0.25">
      <c r="A59" s="90" t="s">
        <v>105</v>
      </c>
      <c r="B59" s="100">
        <f>IF(B5&gt;B6,B6*275,B5*275)</f>
        <v>0</v>
      </c>
      <c r="C59" s="21"/>
      <c r="D59" s="18"/>
    </row>
    <row r="60" spans="1:6" ht="16.5" thickBot="1" x14ac:dyDescent="0.3">
      <c r="A60" s="103" t="s">
        <v>157</v>
      </c>
      <c r="B60" s="104">
        <f>SUM(B42:B53)+B58+B59-B48</f>
        <v>0</v>
      </c>
      <c r="C60" s="17"/>
      <c r="D60" s="18"/>
    </row>
    <row r="61" spans="1:6" ht="16.5" thickTop="1" x14ac:dyDescent="0.25">
      <c r="A61" s="102" t="s">
        <v>327</v>
      </c>
      <c r="B61" s="100">
        <f>ROUND((59.97*B30*B38*100),1)</f>
        <v>0</v>
      </c>
      <c r="C61" s="17"/>
      <c r="D61" s="18"/>
    </row>
    <row r="62" spans="1:6" ht="15.75" x14ac:dyDescent="0.25">
      <c r="A62" s="10" t="s">
        <v>328</v>
      </c>
      <c r="B62" s="13">
        <f>ROUND((31.95*B30*B39*100),1)</f>
        <v>0</v>
      </c>
      <c r="C62" s="17"/>
      <c r="D62" s="18"/>
    </row>
    <row r="63" spans="1:6" ht="16.5" thickBot="1" x14ac:dyDescent="0.3">
      <c r="A63" s="106" t="s">
        <v>337</v>
      </c>
      <c r="B63" s="76">
        <f>SUM(B61:B62)</f>
        <v>0</v>
      </c>
      <c r="C63" s="17"/>
      <c r="D63" s="18"/>
    </row>
    <row r="64" spans="1:6" ht="17.25" thickTop="1" thickBot="1" x14ac:dyDescent="0.3">
      <c r="A64" s="106" t="s">
        <v>30</v>
      </c>
      <c r="B64" s="76">
        <f>B60+B63</f>
        <v>0</v>
      </c>
      <c r="C64" s="17"/>
      <c r="D64" s="33"/>
    </row>
    <row r="65" spans="1:6" ht="13.5" thickTop="1" x14ac:dyDescent="0.2">
      <c r="A65" s="97"/>
      <c r="B65" s="105"/>
      <c r="C65" s="17"/>
      <c r="D65" s="33"/>
    </row>
    <row r="66" spans="1:6" ht="15.75" x14ac:dyDescent="0.25">
      <c r="A66" s="35" t="s">
        <v>29</v>
      </c>
      <c r="B66" s="29"/>
      <c r="C66" s="17"/>
      <c r="D66" s="18"/>
    </row>
    <row r="67" spans="1:6" ht="15.75" x14ac:dyDescent="0.25">
      <c r="A67" s="10" t="s">
        <v>403</v>
      </c>
      <c r="B67" s="13">
        <f>B5*67</f>
        <v>0</v>
      </c>
      <c r="C67" s="17"/>
      <c r="D67" s="18"/>
    </row>
    <row r="68" spans="1:6" ht="15.75" x14ac:dyDescent="0.25">
      <c r="A68" s="10" t="s">
        <v>262</v>
      </c>
      <c r="B68" s="13">
        <f>IF(B31="YES",B32*500+B33*250,0)</f>
        <v>0</v>
      </c>
      <c r="C68" s="17"/>
      <c r="D68" s="18"/>
    </row>
    <row r="69" spans="1:6" ht="15.75" x14ac:dyDescent="0.25">
      <c r="A69" s="11" t="s">
        <v>8</v>
      </c>
      <c r="B69" s="13">
        <f>B88</f>
        <v>0</v>
      </c>
      <c r="C69" s="17"/>
      <c r="D69" s="18"/>
      <c r="E69" s="4"/>
      <c r="F69" s="5"/>
    </row>
    <row r="70" spans="1:6" ht="16.5" thickBot="1" x14ac:dyDescent="0.3">
      <c r="A70" s="106" t="s">
        <v>31</v>
      </c>
      <c r="B70" s="76">
        <f>B67+B68+B69</f>
        <v>0</v>
      </c>
      <c r="C70" s="17"/>
      <c r="D70" s="18"/>
      <c r="E70" s="4"/>
      <c r="F70" s="5"/>
    </row>
    <row r="71" spans="1:6" ht="16.5" thickTop="1" x14ac:dyDescent="0.25">
      <c r="A71" s="107"/>
      <c r="B71" s="100"/>
      <c r="C71" s="22"/>
      <c r="D71" s="18"/>
      <c r="E71" s="4"/>
      <c r="F71" s="5"/>
    </row>
    <row r="72" spans="1:6" ht="16.5" thickBot="1" x14ac:dyDescent="0.3">
      <c r="A72" s="106" t="s">
        <v>355</v>
      </c>
      <c r="B72" s="76">
        <f>B64+B70</f>
        <v>0</v>
      </c>
      <c r="C72" s="23"/>
      <c r="D72" s="3"/>
      <c r="E72" s="4"/>
      <c r="F72" s="4"/>
    </row>
    <row r="73" spans="1:6" ht="17.25" thickTop="1" thickBot="1" x14ac:dyDescent="0.3">
      <c r="A73" s="123" t="s">
        <v>339</v>
      </c>
      <c r="B73" s="76">
        <f>B7*B40</f>
        <v>0</v>
      </c>
    </row>
    <row r="74" spans="1:6" ht="17.25" thickTop="1" thickBot="1" x14ac:dyDescent="0.3">
      <c r="A74" s="123" t="s">
        <v>338</v>
      </c>
      <c r="B74" s="76">
        <f>B72-B73</f>
        <v>0</v>
      </c>
    </row>
    <row r="75" spans="1:6" ht="15.75" thickTop="1" x14ac:dyDescent="0.25">
      <c r="A75" s="44" t="s">
        <v>342</v>
      </c>
      <c r="B75" s="79">
        <f>VLOOKUP(A2,'Charter Data'!A:F,6,FALSE)</f>
        <v>0</v>
      </c>
    </row>
    <row r="76" spans="1:6" s="1" customFormat="1" ht="15" x14ac:dyDescent="0.25">
      <c r="A76" s="44" t="s">
        <v>343</v>
      </c>
      <c r="B76" s="79">
        <f>4971*0.9263</f>
        <v>4604.6373000000003</v>
      </c>
      <c r="C76"/>
    </row>
    <row r="77" spans="1:6" ht="15" x14ac:dyDescent="0.25">
      <c r="A77" s="43" t="s">
        <v>366</v>
      </c>
      <c r="B77" s="229">
        <f>B30</f>
        <v>0</v>
      </c>
      <c r="E77" s="4"/>
      <c r="F77" s="4"/>
    </row>
    <row r="78" spans="1:6" ht="15" x14ac:dyDescent="0.25">
      <c r="A78" s="44" t="s">
        <v>367</v>
      </c>
      <c r="B78" s="46">
        <f>IF(B75&gt;B76,B75*B77,B76*B77)</f>
        <v>0</v>
      </c>
      <c r="E78" s="4"/>
      <c r="F78" s="4"/>
    </row>
    <row r="79" spans="1:6" ht="15" x14ac:dyDescent="0.25">
      <c r="A79" s="44" t="s">
        <v>368</v>
      </c>
      <c r="B79" s="46">
        <f>(B77*120)*0.9263</f>
        <v>0</v>
      </c>
      <c r="E79" s="4"/>
      <c r="F79" s="4"/>
    </row>
    <row r="80" spans="1:6" ht="15" x14ac:dyDescent="0.25">
      <c r="A80" s="44" t="s">
        <v>369</v>
      </c>
      <c r="B80" s="49">
        <f>B78+B79</f>
        <v>0</v>
      </c>
      <c r="E80" s="4"/>
      <c r="F80" s="4"/>
    </row>
    <row r="81" spans="1:2" ht="15" x14ac:dyDescent="0.25">
      <c r="A81" s="44" t="s">
        <v>364</v>
      </c>
      <c r="B81" s="46">
        <f>B55</f>
        <v>0</v>
      </c>
    </row>
    <row r="82" spans="1:2" ht="15" x14ac:dyDescent="0.25">
      <c r="A82" s="44" t="s">
        <v>316</v>
      </c>
      <c r="B82" s="46">
        <f>VLOOKUP(A2,'Charter Data'!A:G,7,FALSE)</f>
        <v>0</v>
      </c>
    </row>
    <row r="83" spans="1:2" ht="15" x14ac:dyDescent="0.25">
      <c r="A83" s="44" t="s">
        <v>365</v>
      </c>
      <c r="B83" s="46">
        <f>(B81-B82)</f>
        <v>0</v>
      </c>
    </row>
    <row r="84" spans="1:2" ht="15" x14ac:dyDescent="0.25">
      <c r="A84" s="56" t="s">
        <v>370</v>
      </c>
      <c r="B84" s="48">
        <v>0</v>
      </c>
    </row>
    <row r="85" spans="1:2" ht="15" x14ac:dyDescent="0.25">
      <c r="A85" s="45" t="s">
        <v>344</v>
      </c>
      <c r="B85" s="46">
        <f>VLOOKUP(A2,'Charter Data'!A:H,8,FALSE)</f>
        <v>0</v>
      </c>
    </row>
    <row r="86" spans="1:2" ht="15" x14ac:dyDescent="0.25">
      <c r="A86" s="45" t="s">
        <v>372</v>
      </c>
      <c r="B86" s="46">
        <f>B80+B83+B84+B85</f>
        <v>0</v>
      </c>
    </row>
    <row r="87" spans="1:2" ht="15" x14ac:dyDescent="0.25">
      <c r="A87" s="45" t="s">
        <v>371</v>
      </c>
      <c r="B87" s="50">
        <f>B60</f>
        <v>0</v>
      </c>
    </row>
    <row r="88" spans="1:2" ht="15" x14ac:dyDescent="0.25">
      <c r="A88" s="45" t="s">
        <v>373</v>
      </c>
      <c r="B88" s="51">
        <f>IF(B87&lt;B86,B86-B87,0)</f>
        <v>0</v>
      </c>
    </row>
    <row r="89" spans="1:2" ht="15" x14ac:dyDescent="0.25">
      <c r="A89" s="45" t="s">
        <v>374</v>
      </c>
      <c r="B89" s="49">
        <f>B87+B88</f>
        <v>0</v>
      </c>
    </row>
    <row r="90" spans="1:2" ht="15" x14ac:dyDescent="0.25">
      <c r="A90" s="45" t="s">
        <v>375</v>
      </c>
      <c r="B90" s="46" t="e">
        <f>B89/B77</f>
        <v>#DIV/0!</v>
      </c>
    </row>
  </sheetData>
  <sheetProtection password="EE5D" sheet="1" objects="1" scenarios="1"/>
  <mergeCells count="1">
    <mergeCell ref="D1:D7"/>
  </mergeCells>
  <phoneticPr fontId="3" type="noConversion"/>
  <pageMargins left="0.25" right="0.25" top="0.31" bottom="0.46" header="0.3" footer="0.3"/>
  <pageSetup scale="5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3"/>
  <sheetViews>
    <sheetView workbookViewId="0">
      <selection activeCell="G12" sqref="G12"/>
    </sheetView>
  </sheetViews>
  <sheetFormatPr defaultRowHeight="12.75" x14ac:dyDescent="0.2"/>
  <cols>
    <col min="1" max="1" width="32.5703125" customWidth="1"/>
    <col min="3" max="3" width="15.42578125" customWidth="1"/>
    <col min="4" max="4" width="28.140625" customWidth="1"/>
  </cols>
  <sheetData>
    <row r="1" spans="1:4" ht="16.5" thickBot="1" x14ac:dyDescent="0.3">
      <c r="A1" s="237" t="s">
        <v>230</v>
      </c>
      <c r="B1" s="237"/>
      <c r="C1" s="238" t="str">
        <f>'Enrollment Data'!A2</f>
        <v>NEW TEXAS CHARTER SCHOOL</v>
      </c>
      <c r="D1" s="238"/>
    </row>
    <row r="2" spans="1:4" ht="16.5" thickBot="1" x14ac:dyDescent="0.3">
      <c r="A2" s="237" t="s">
        <v>383</v>
      </c>
      <c r="B2" s="237"/>
      <c r="C2" s="155">
        <f>'Enrollment Data'!A1</f>
        <v>0</v>
      </c>
      <c r="D2" s="140"/>
    </row>
    <row r="3" spans="1:4" ht="15.75" x14ac:dyDescent="0.25">
      <c r="A3" s="141" t="s">
        <v>397</v>
      </c>
      <c r="B3" s="141"/>
      <c r="C3" s="142"/>
      <c r="D3" s="140"/>
    </row>
    <row r="4" spans="1:4" ht="15.75" x14ac:dyDescent="0.25">
      <c r="A4" s="141" t="s">
        <v>384</v>
      </c>
      <c r="B4" s="143"/>
      <c r="C4" s="144"/>
      <c r="D4" s="140"/>
    </row>
    <row r="5" spans="1:4" ht="15.75" x14ac:dyDescent="0.25">
      <c r="A5" s="237" t="s">
        <v>385</v>
      </c>
      <c r="B5" s="237" t="s">
        <v>386</v>
      </c>
      <c r="C5" s="145" t="s">
        <v>386</v>
      </c>
      <c r="D5" s="140"/>
    </row>
    <row r="6" spans="1:4" ht="51" x14ac:dyDescent="0.2">
      <c r="A6" s="146" t="s">
        <v>357</v>
      </c>
      <c r="B6" s="146" t="s">
        <v>358</v>
      </c>
      <c r="C6" s="147" t="s">
        <v>395</v>
      </c>
      <c r="D6" s="147" t="s">
        <v>396</v>
      </c>
    </row>
    <row r="7" spans="1:4" x14ac:dyDescent="0.2">
      <c r="A7" s="148" t="s">
        <v>299</v>
      </c>
      <c r="B7" s="149">
        <v>2013</v>
      </c>
      <c r="C7" s="149">
        <v>2014</v>
      </c>
      <c r="D7" s="192">
        <v>0</v>
      </c>
    </row>
    <row r="8" spans="1:4" x14ac:dyDescent="0.2">
      <c r="A8" s="148" t="s">
        <v>300</v>
      </c>
      <c r="B8" s="149">
        <f>B7</f>
        <v>2013</v>
      </c>
      <c r="C8" s="149">
        <f>C7</f>
        <v>2014</v>
      </c>
      <c r="D8" s="192">
        <v>0</v>
      </c>
    </row>
    <row r="9" spans="1:4" x14ac:dyDescent="0.2">
      <c r="A9" s="148" t="s">
        <v>301</v>
      </c>
      <c r="B9" s="149">
        <f>B8</f>
        <v>2013</v>
      </c>
      <c r="C9" s="149">
        <f>C8</f>
        <v>2014</v>
      </c>
      <c r="D9" s="192">
        <v>0</v>
      </c>
    </row>
    <row r="10" spans="1:4" x14ac:dyDescent="0.2">
      <c r="A10" s="148" t="s">
        <v>302</v>
      </c>
      <c r="B10" s="149">
        <f>B9+1</f>
        <v>2014</v>
      </c>
      <c r="C10" s="149">
        <f>C9+1</f>
        <v>2015</v>
      </c>
      <c r="D10" s="192">
        <v>0</v>
      </c>
    </row>
    <row r="11" spans="1:4" x14ac:dyDescent="0.2">
      <c r="A11" s="148" t="s">
        <v>303</v>
      </c>
      <c r="B11" s="149">
        <f>B10</f>
        <v>2014</v>
      </c>
      <c r="C11" s="149">
        <f>C10</f>
        <v>2015</v>
      </c>
      <c r="D11" s="192">
        <v>0</v>
      </c>
    </row>
    <row r="12" spans="1:4" x14ac:dyDescent="0.2">
      <c r="A12" s="148" t="s">
        <v>304</v>
      </c>
      <c r="B12" s="149">
        <f t="shared" ref="B12:B18" si="0">B11</f>
        <v>2014</v>
      </c>
      <c r="C12" s="149">
        <f t="shared" ref="C12:C18" si="1">C11</f>
        <v>2015</v>
      </c>
      <c r="D12" s="192">
        <v>0</v>
      </c>
    </row>
    <row r="13" spans="1:4" x14ac:dyDescent="0.2">
      <c r="A13" s="148" t="s">
        <v>305</v>
      </c>
      <c r="B13" s="149">
        <f t="shared" si="0"/>
        <v>2014</v>
      </c>
      <c r="C13" s="149">
        <f t="shared" si="1"/>
        <v>2015</v>
      </c>
      <c r="D13" s="192">
        <v>0</v>
      </c>
    </row>
    <row r="14" spans="1:4" x14ac:dyDescent="0.2">
      <c r="A14" s="148" t="s">
        <v>306</v>
      </c>
      <c r="B14" s="149">
        <f t="shared" si="0"/>
        <v>2014</v>
      </c>
      <c r="C14" s="149">
        <f t="shared" si="1"/>
        <v>2015</v>
      </c>
      <c r="D14" s="192">
        <v>0</v>
      </c>
    </row>
    <row r="15" spans="1:4" x14ac:dyDescent="0.2">
      <c r="A15" s="148" t="s">
        <v>307</v>
      </c>
      <c r="B15" s="149">
        <f t="shared" si="0"/>
        <v>2014</v>
      </c>
      <c r="C15" s="149">
        <f t="shared" si="1"/>
        <v>2015</v>
      </c>
      <c r="D15" s="192">
        <v>0</v>
      </c>
    </row>
    <row r="16" spans="1:4" x14ac:dyDescent="0.2">
      <c r="A16" s="148" t="s">
        <v>308</v>
      </c>
      <c r="B16" s="149">
        <f t="shared" si="0"/>
        <v>2014</v>
      </c>
      <c r="C16" s="149">
        <f t="shared" si="1"/>
        <v>2015</v>
      </c>
      <c r="D16" s="192">
        <v>0</v>
      </c>
    </row>
    <row r="17" spans="1:4" x14ac:dyDescent="0.2">
      <c r="A17" s="148" t="s">
        <v>309</v>
      </c>
      <c r="B17" s="149">
        <f t="shared" si="0"/>
        <v>2014</v>
      </c>
      <c r="C17" s="149">
        <f t="shared" si="1"/>
        <v>2015</v>
      </c>
      <c r="D17" s="192">
        <v>0</v>
      </c>
    </row>
    <row r="18" spans="1:4" x14ac:dyDescent="0.2">
      <c r="A18" s="148" t="s">
        <v>298</v>
      </c>
      <c r="B18" s="149">
        <f t="shared" si="0"/>
        <v>2014</v>
      </c>
      <c r="C18" s="149">
        <f t="shared" si="1"/>
        <v>2015</v>
      </c>
      <c r="D18" s="192">
        <v>0</v>
      </c>
    </row>
    <row r="19" spans="1:4" x14ac:dyDescent="0.2">
      <c r="A19" s="140"/>
      <c r="B19" s="140"/>
      <c r="C19" s="140"/>
      <c r="D19" s="140"/>
    </row>
    <row r="20" spans="1:4" ht="15" x14ac:dyDescent="0.25">
      <c r="A20" s="239" t="s">
        <v>387</v>
      </c>
      <c r="B20" s="240"/>
      <c r="C20" s="140"/>
      <c r="D20" s="140"/>
    </row>
    <row r="21" spans="1:4" ht="15" x14ac:dyDescent="0.25">
      <c r="A21" s="150" t="s">
        <v>388</v>
      </c>
      <c r="B21" s="149">
        <f>LARGE($D$7:$D$18,1)</f>
        <v>0</v>
      </c>
      <c r="C21" s="140"/>
      <c r="D21" s="140"/>
    </row>
    <row r="22" spans="1:4" ht="15" x14ac:dyDescent="0.25">
      <c r="A22" s="150" t="s">
        <v>389</v>
      </c>
      <c r="B22" s="149">
        <f>LARGE($D$7:$D$18,2)</f>
        <v>0</v>
      </c>
      <c r="C22" s="140"/>
      <c r="D22" s="140"/>
    </row>
    <row r="23" spans="1:4" ht="15" x14ac:dyDescent="0.25">
      <c r="A23" s="150" t="s">
        <v>390</v>
      </c>
      <c r="B23" s="149">
        <f>LARGE($D$7:$D$18,3)</f>
        <v>0</v>
      </c>
      <c r="C23" s="140"/>
      <c r="D23" s="140"/>
    </row>
    <row r="24" spans="1:4" ht="15" x14ac:dyDescent="0.25">
      <c r="A24" s="150" t="s">
        <v>391</v>
      </c>
      <c r="B24" s="149">
        <f>LARGE($D$7:$D$18,4)</f>
        <v>0</v>
      </c>
      <c r="C24" s="140"/>
      <c r="D24" s="140"/>
    </row>
    <row r="25" spans="1:4" ht="15" x14ac:dyDescent="0.25">
      <c r="A25" s="150" t="s">
        <v>392</v>
      </c>
      <c r="B25" s="149">
        <f>LARGE($D$7:$D$18,5)</f>
        <v>0</v>
      </c>
      <c r="C25" s="140"/>
      <c r="D25" s="140"/>
    </row>
    <row r="26" spans="1:4" ht="15" x14ac:dyDescent="0.25">
      <c r="A26" s="150" t="s">
        <v>393</v>
      </c>
      <c r="B26" s="149">
        <f>LARGE($D$7:$D$18,6)</f>
        <v>0</v>
      </c>
      <c r="C26" s="140"/>
      <c r="D26" s="140"/>
    </row>
    <row r="27" spans="1:4" ht="15" x14ac:dyDescent="0.25">
      <c r="A27" s="150" t="s">
        <v>363</v>
      </c>
      <c r="B27" s="230">
        <f>AVERAGE(B21:B26)</f>
        <v>0</v>
      </c>
      <c r="C27" s="140"/>
      <c r="D27" s="140"/>
    </row>
    <row r="29" spans="1:4" ht="13.5" thickBot="1" x14ac:dyDescent="0.25">
      <c r="A29" s="151"/>
      <c r="B29" s="151"/>
      <c r="C29" s="152"/>
      <c r="D29" s="151"/>
    </row>
    <row r="30" spans="1:4" ht="15" x14ac:dyDescent="0.25">
      <c r="A30" s="153" t="s">
        <v>394</v>
      </c>
      <c r="D30" s="154" t="s">
        <v>251</v>
      </c>
    </row>
    <row r="40" spans="1:1" x14ac:dyDescent="0.2">
      <c r="A40" s="139" t="s">
        <v>359</v>
      </c>
    </row>
    <row r="41" spans="1:1" x14ac:dyDescent="0.2">
      <c r="A41" s="139" t="s">
        <v>362</v>
      </c>
    </row>
    <row r="42" spans="1:1" x14ac:dyDescent="0.2">
      <c r="A42" s="139" t="s">
        <v>360</v>
      </c>
    </row>
    <row r="43" spans="1:1" x14ac:dyDescent="0.2">
      <c r="A43" s="139" t="s">
        <v>361</v>
      </c>
    </row>
  </sheetData>
  <sheetProtection password="EE5D" sheet="1" objects="1" scenarios="1"/>
  <mergeCells count="5">
    <mergeCell ref="A1:B1"/>
    <mergeCell ref="C1:D1"/>
    <mergeCell ref="A2:B2"/>
    <mergeCell ref="A5:B5"/>
    <mergeCell ref="A20:B20"/>
  </mergeCells>
  <conditionalFormatting sqref="D7">
    <cfRule type="top10" priority="2" stopIfTrue="1" percent="1" rank="50"/>
    <cfRule type="iconSet" priority="3">
      <iconSet iconSet="3Symbols">
        <cfvo type="percent" val="0"/>
        <cfvo type="percent" val="33"/>
        <cfvo type="percent" val="67"/>
      </iconSet>
    </cfRule>
  </conditionalFormatting>
  <conditionalFormatting sqref="D7:D18">
    <cfRule type="iconSet" priority="1">
      <iconSet iconSet="3Symbols">
        <cfvo type="percent" val="0"/>
        <cfvo type="percent" val="50"/>
        <cfvo type="percent" val="50"/>
      </iconSet>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1"/>
  <sheetViews>
    <sheetView workbookViewId="0">
      <selection activeCell="A44" sqref="A44:XFD518"/>
    </sheetView>
  </sheetViews>
  <sheetFormatPr defaultRowHeight="12.75" x14ac:dyDescent="0.2"/>
  <cols>
    <col min="1" max="1" width="52.85546875" customWidth="1"/>
    <col min="2" max="2" width="14.140625" bestFit="1" customWidth="1"/>
    <col min="3" max="3" width="14" bestFit="1" customWidth="1"/>
  </cols>
  <sheetData>
    <row r="1" spans="1:3" x14ac:dyDescent="0.2">
      <c r="A1" s="96" t="s">
        <v>311</v>
      </c>
      <c r="B1" s="162">
        <f>'ADA Data - SOF'!B74</f>
        <v>0</v>
      </c>
      <c r="C1" s="85"/>
    </row>
    <row r="2" spans="1:3" x14ac:dyDescent="0.2">
      <c r="A2" s="96" t="s">
        <v>401</v>
      </c>
      <c r="B2" s="162"/>
    </row>
    <row r="3" spans="1:3" x14ac:dyDescent="0.2">
      <c r="A3" s="96" t="s">
        <v>402</v>
      </c>
      <c r="B3" s="162">
        <v>0</v>
      </c>
    </row>
    <row r="4" spans="1:3" ht="13.5" thickBot="1" x14ac:dyDescent="0.25">
      <c r="A4" s="98" t="s">
        <v>292</v>
      </c>
      <c r="B4" s="163">
        <f>B1-B2-B3</f>
        <v>0</v>
      </c>
    </row>
    <row r="5" spans="1:3" ht="13.5" thickTop="1" x14ac:dyDescent="0.2">
      <c r="A5" s="97" t="s">
        <v>293</v>
      </c>
      <c r="B5" s="162">
        <v>12</v>
      </c>
    </row>
    <row r="6" spans="1:3" ht="13.5" thickBot="1" x14ac:dyDescent="0.25">
      <c r="A6" s="98" t="s">
        <v>295</v>
      </c>
      <c r="B6" s="164">
        <f>VLOOKUP(B5,B10:C21,2,FALSE)</f>
        <v>8.3000000000000004E-2</v>
      </c>
    </row>
    <row r="7" spans="1:3" ht="14.25" thickTop="1" thickBot="1" x14ac:dyDescent="0.25">
      <c r="A7" s="99" t="s">
        <v>294</v>
      </c>
      <c r="B7" s="165">
        <f>B4*B6</f>
        <v>0</v>
      </c>
    </row>
    <row r="8" spans="1:3" ht="14.25" thickTop="1" thickBot="1" x14ac:dyDescent="0.25"/>
    <row r="9" spans="1:3" ht="21.75" thickBot="1" x14ac:dyDescent="0.25">
      <c r="A9" s="80" t="s">
        <v>296</v>
      </c>
      <c r="B9" s="80" t="s">
        <v>310</v>
      </c>
      <c r="C9" s="80" t="s">
        <v>297</v>
      </c>
    </row>
    <row r="10" spans="1:3" ht="13.5" thickBot="1" x14ac:dyDescent="0.25">
      <c r="A10" s="83" t="s">
        <v>298</v>
      </c>
      <c r="B10" s="81">
        <v>12</v>
      </c>
      <c r="C10" s="86">
        <v>8.3000000000000004E-2</v>
      </c>
    </row>
    <row r="11" spans="1:3" ht="13.5" thickBot="1" x14ac:dyDescent="0.25">
      <c r="A11" s="84" t="s">
        <v>299</v>
      </c>
      <c r="B11" s="82">
        <v>11</v>
      </c>
      <c r="C11" s="87">
        <v>9.0999999999999998E-2</v>
      </c>
    </row>
    <row r="12" spans="1:3" ht="13.5" thickBot="1" x14ac:dyDescent="0.25">
      <c r="A12" s="83" t="s">
        <v>300</v>
      </c>
      <c r="B12" s="81">
        <v>10</v>
      </c>
      <c r="C12" s="86">
        <v>0.10100000000000001</v>
      </c>
    </row>
    <row r="13" spans="1:3" ht="13.5" thickBot="1" x14ac:dyDescent="0.25">
      <c r="A13" s="84" t="s">
        <v>301</v>
      </c>
      <c r="B13" s="82">
        <v>9</v>
      </c>
      <c r="C13" s="87">
        <v>0.111</v>
      </c>
    </row>
    <row r="14" spans="1:3" ht="13.5" thickBot="1" x14ac:dyDescent="0.25">
      <c r="A14" s="83" t="s">
        <v>302</v>
      </c>
      <c r="B14" s="134">
        <v>8</v>
      </c>
      <c r="C14" s="86">
        <v>0.124</v>
      </c>
    </row>
    <row r="15" spans="1:3" ht="13.5" thickBot="1" x14ac:dyDescent="0.25">
      <c r="A15" s="84" t="s">
        <v>303</v>
      </c>
      <c r="B15" s="82">
        <v>7</v>
      </c>
      <c r="C15" s="87">
        <v>0.14399999999999999</v>
      </c>
    </row>
    <row r="16" spans="1:3" ht="13.5" thickBot="1" x14ac:dyDescent="0.25">
      <c r="A16" s="83" t="s">
        <v>304</v>
      </c>
      <c r="B16" s="81">
        <v>6</v>
      </c>
      <c r="C16" s="86">
        <v>0.16600000000000001</v>
      </c>
    </row>
    <row r="17" spans="1:3" ht="13.5" thickBot="1" x14ac:dyDescent="0.25">
      <c r="A17" s="84" t="s">
        <v>305</v>
      </c>
      <c r="B17" s="82">
        <v>5</v>
      </c>
      <c r="C17" s="87">
        <v>0.19900000000000001</v>
      </c>
    </row>
    <row r="18" spans="1:3" ht="13.5" thickBot="1" x14ac:dyDescent="0.25">
      <c r="A18" s="83" t="s">
        <v>306</v>
      </c>
      <c r="B18" s="81">
        <v>4</v>
      </c>
      <c r="C18" s="86">
        <v>0.251</v>
      </c>
    </row>
    <row r="19" spans="1:3" ht="13.5" thickBot="1" x14ac:dyDescent="0.25">
      <c r="A19" s="84" t="s">
        <v>307</v>
      </c>
      <c r="B19" s="82">
        <v>3</v>
      </c>
      <c r="C19" s="87">
        <v>0.33200000000000002</v>
      </c>
    </row>
    <row r="20" spans="1:3" ht="13.5" thickBot="1" x14ac:dyDescent="0.25">
      <c r="A20" s="83" t="s">
        <v>308</v>
      </c>
      <c r="B20" s="134">
        <v>2</v>
      </c>
      <c r="C20" s="86">
        <v>0.497</v>
      </c>
    </row>
    <row r="21" spans="1:3" ht="13.5" thickBot="1" x14ac:dyDescent="0.25">
      <c r="A21" s="84" t="s">
        <v>309</v>
      </c>
      <c r="B21" s="82">
        <v>1</v>
      </c>
      <c r="C21" s="87">
        <v>1</v>
      </c>
    </row>
  </sheetData>
  <sheetProtection password="EE5D"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H210"/>
  <sheetViews>
    <sheetView zoomScaleNormal="100" zoomScaleSheetLayoutView="100" workbookViewId="0">
      <pane xSplit="1" ySplit="1" topLeftCell="B2" activePane="bottomRight" state="frozen"/>
      <selection pane="topRight" activeCell="B1" sqref="B1"/>
      <selection pane="bottomLeft" activeCell="A4" sqref="A4"/>
      <selection pane="bottomRight" activeCell="H13" sqref="A1:H210"/>
    </sheetView>
  </sheetViews>
  <sheetFormatPr defaultRowHeight="12.75" x14ac:dyDescent="0.2"/>
  <cols>
    <col min="1" max="1" width="7" style="72" bestFit="1" customWidth="1"/>
    <col min="2" max="2" width="64.28515625" style="231" bestFit="1" customWidth="1"/>
    <col min="3" max="3" width="11" style="73" bestFit="1" customWidth="1"/>
    <col min="4" max="4" width="7.42578125" style="72" bestFit="1" customWidth="1"/>
    <col min="5" max="5" width="12.140625" style="1" customWidth="1"/>
    <col min="6" max="6" width="13" style="135" customWidth="1"/>
    <col min="7" max="8" width="13" style="157" customWidth="1"/>
    <col min="9" max="16384" width="9.140625" style="1"/>
  </cols>
  <sheetData>
    <row r="1" spans="1:8" s="14" customFormat="1" ht="33.75" x14ac:dyDescent="0.2">
      <c r="A1" s="166" t="s">
        <v>155</v>
      </c>
      <c r="B1" s="166" t="s">
        <v>69</v>
      </c>
      <c r="C1" s="167" t="s">
        <v>376</v>
      </c>
      <c r="D1" s="167" t="s">
        <v>324</v>
      </c>
      <c r="E1" s="167" t="s">
        <v>353</v>
      </c>
      <c r="F1" s="168" t="s">
        <v>377</v>
      </c>
      <c r="G1" s="169" t="s">
        <v>316</v>
      </c>
      <c r="H1" s="169" t="s">
        <v>400</v>
      </c>
    </row>
    <row r="2" spans="1:8" s="14" customFormat="1" x14ac:dyDescent="0.2">
      <c r="A2" s="170">
        <v>0</v>
      </c>
      <c r="B2" s="171" t="s">
        <v>354</v>
      </c>
      <c r="C2" s="171">
        <v>5000</v>
      </c>
      <c r="D2" s="171"/>
      <c r="E2" s="171" t="s">
        <v>171</v>
      </c>
      <c r="F2" s="172"/>
      <c r="G2" s="173">
        <v>0</v>
      </c>
      <c r="H2" s="173">
        <v>0</v>
      </c>
    </row>
    <row r="3" spans="1:8" s="226" customFormat="1" ht="15" x14ac:dyDescent="0.2">
      <c r="A3" s="188">
        <v>68803</v>
      </c>
      <c r="B3" s="189" t="s">
        <v>413</v>
      </c>
      <c r="C3" s="191">
        <v>3900</v>
      </c>
      <c r="D3" s="190" t="s">
        <v>378</v>
      </c>
      <c r="E3" s="174" t="s">
        <v>171</v>
      </c>
      <c r="F3" s="175">
        <v>4604.6369999999997</v>
      </c>
      <c r="G3" s="176"/>
      <c r="H3" s="176"/>
    </row>
    <row r="4" spans="1:8" s="226" customFormat="1" ht="15" x14ac:dyDescent="0.2">
      <c r="A4" s="188">
        <v>15835</v>
      </c>
      <c r="B4" s="189" t="s">
        <v>346</v>
      </c>
      <c r="C4" s="174">
        <v>1965</v>
      </c>
      <c r="D4" s="190" t="s">
        <v>378</v>
      </c>
      <c r="E4" s="174" t="s">
        <v>171</v>
      </c>
      <c r="F4" s="175">
        <v>4604.6369999999997</v>
      </c>
      <c r="G4" s="176">
        <v>0</v>
      </c>
      <c r="H4" s="176">
        <v>0</v>
      </c>
    </row>
    <row r="5" spans="1:8" s="226" customFormat="1" ht="15" x14ac:dyDescent="0.2">
      <c r="A5" s="188">
        <v>15837</v>
      </c>
      <c r="B5" s="189" t="s">
        <v>379</v>
      </c>
      <c r="C5" s="224">
        <v>1500</v>
      </c>
      <c r="D5" s="190" t="s">
        <v>378</v>
      </c>
      <c r="E5" s="174" t="s">
        <v>171</v>
      </c>
      <c r="F5" s="175">
        <v>4604.6369999999997</v>
      </c>
      <c r="G5" s="176">
        <v>0</v>
      </c>
      <c r="H5" s="176">
        <v>0</v>
      </c>
    </row>
    <row r="6" spans="1:8" s="227" customFormat="1" ht="15.75" x14ac:dyDescent="0.25">
      <c r="A6" s="188">
        <v>71810</v>
      </c>
      <c r="B6" s="189" t="s">
        <v>380</v>
      </c>
      <c r="C6" s="225">
        <v>625</v>
      </c>
      <c r="D6" s="190" t="s">
        <v>378</v>
      </c>
      <c r="E6" s="174" t="s">
        <v>171</v>
      </c>
      <c r="F6" s="175">
        <v>4604.6369999999997</v>
      </c>
      <c r="G6" s="176">
        <v>0</v>
      </c>
      <c r="H6" s="176">
        <v>0</v>
      </c>
    </row>
    <row r="7" spans="1:8" s="227" customFormat="1" ht="15" x14ac:dyDescent="0.2">
      <c r="A7" s="188">
        <v>227826</v>
      </c>
      <c r="B7" s="189" t="s">
        <v>381</v>
      </c>
      <c r="C7" s="174">
        <v>1100</v>
      </c>
      <c r="D7" s="190" t="s">
        <v>378</v>
      </c>
      <c r="E7" s="174" t="s">
        <v>171</v>
      </c>
      <c r="F7" s="175">
        <v>4604.6369999999997</v>
      </c>
      <c r="G7" s="176">
        <v>0</v>
      </c>
      <c r="H7" s="176">
        <v>0</v>
      </c>
    </row>
    <row r="8" spans="1:8" s="227" customFormat="1" ht="15" x14ac:dyDescent="0.2">
      <c r="A8" s="188">
        <v>227827</v>
      </c>
      <c r="B8" s="189" t="s">
        <v>414</v>
      </c>
      <c r="C8" s="174">
        <v>150</v>
      </c>
      <c r="D8" s="190" t="s">
        <v>378</v>
      </c>
      <c r="E8" s="174" t="s">
        <v>171</v>
      </c>
      <c r="F8" s="175">
        <v>4604.6369999999997</v>
      </c>
      <c r="G8" s="176">
        <v>0</v>
      </c>
      <c r="H8" s="176">
        <v>0</v>
      </c>
    </row>
    <row r="9" spans="1:8" s="227" customFormat="1" x14ac:dyDescent="0.2">
      <c r="A9" s="177">
        <v>3801</v>
      </c>
      <c r="B9" s="178" t="s">
        <v>120</v>
      </c>
      <c r="C9" s="174">
        <v>750</v>
      </c>
      <c r="D9" s="179"/>
      <c r="E9" s="174" t="s">
        <v>170</v>
      </c>
      <c r="F9" s="175">
        <v>4630.5739999999996</v>
      </c>
      <c r="G9" s="176">
        <v>0</v>
      </c>
      <c r="H9" s="176">
        <v>9474</v>
      </c>
    </row>
    <row r="10" spans="1:8" s="227" customFormat="1" x14ac:dyDescent="0.2">
      <c r="A10" s="180">
        <v>13801</v>
      </c>
      <c r="B10" s="179" t="s">
        <v>121</v>
      </c>
      <c r="C10" s="174">
        <v>700</v>
      </c>
      <c r="D10" s="179"/>
      <c r="E10" s="174" t="s">
        <v>170</v>
      </c>
      <c r="F10" s="175">
        <v>4707.4570000000003</v>
      </c>
      <c r="G10" s="176">
        <v>0</v>
      </c>
      <c r="H10" s="176">
        <v>11274</v>
      </c>
    </row>
    <row r="11" spans="1:8" s="227" customFormat="1" x14ac:dyDescent="0.2">
      <c r="A11" s="180">
        <v>14801</v>
      </c>
      <c r="B11" s="179" t="s">
        <v>70</v>
      </c>
      <c r="C11" s="174">
        <v>300</v>
      </c>
      <c r="D11" s="179"/>
      <c r="E11" s="174" t="s">
        <v>171</v>
      </c>
      <c r="F11" s="175">
        <v>4734.3190000000004</v>
      </c>
      <c r="G11" s="176">
        <v>0</v>
      </c>
      <c r="H11" s="176">
        <v>5764</v>
      </c>
    </row>
    <row r="12" spans="1:8" s="227" customFormat="1" x14ac:dyDescent="0.2">
      <c r="A12" s="180">
        <v>14802</v>
      </c>
      <c r="B12" s="179" t="s">
        <v>122</v>
      </c>
      <c r="C12" s="174">
        <v>250</v>
      </c>
      <c r="D12" s="179"/>
      <c r="E12" s="174" t="s">
        <v>170</v>
      </c>
      <c r="F12" s="175">
        <v>4790.8239999999996</v>
      </c>
      <c r="G12" s="176">
        <v>0</v>
      </c>
      <c r="H12" s="176">
        <v>2266</v>
      </c>
    </row>
    <row r="13" spans="1:8" s="227" customFormat="1" x14ac:dyDescent="0.2">
      <c r="A13" s="180">
        <v>14803</v>
      </c>
      <c r="B13" s="179" t="s">
        <v>71</v>
      </c>
      <c r="C13" s="174">
        <v>1200</v>
      </c>
      <c r="D13" s="179"/>
      <c r="E13" s="174" t="s">
        <v>170</v>
      </c>
      <c r="F13" s="175">
        <v>4670.4049999999997</v>
      </c>
      <c r="G13" s="176">
        <v>0</v>
      </c>
      <c r="H13" s="176">
        <v>5162</v>
      </c>
    </row>
    <row r="14" spans="1:8" s="227" customFormat="1" x14ac:dyDescent="0.2">
      <c r="A14" s="180">
        <v>14804</v>
      </c>
      <c r="B14" s="179" t="s">
        <v>7</v>
      </c>
      <c r="C14" s="174">
        <v>1500</v>
      </c>
      <c r="D14" s="179"/>
      <c r="E14" s="174" t="s">
        <v>170</v>
      </c>
      <c r="F14" s="175">
        <v>4755.6239999999998</v>
      </c>
      <c r="G14" s="176">
        <v>0</v>
      </c>
      <c r="H14" s="176">
        <v>8046</v>
      </c>
    </row>
    <row r="15" spans="1:8" s="227" customFormat="1" x14ac:dyDescent="0.2">
      <c r="A15" s="180">
        <v>15801</v>
      </c>
      <c r="B15" s="179" t="s">
        <v>72</v>
      </c>
      <c r="C15" s="174">
        <v>1000</v>
      </c>
      <c r="D15" s="179"/>
      <c r="E15" s="174" t="s">
        <v>170</v>
      </c>
      <c r="F15" s="175">
        <v>4850.107</v>
      </c>
      <c r="G15" s="176">
        <v>30454</v>
      </c>
      <c r="H15" s="176">
        <v>11659</v>
      </c>
    </row>
    <row r="16" spans="1:8" s="227" customFormat="1" x14ac:dyDescent="0.2">
      <c r="A16" s="180">
        <v>15802</v>
      </c>
      <c r="B16" s="179" t="s">
        <v>123</v>
      </c>
      <c r="C16" s="174">
        <v>2500</v>
      </c>
      <c r="D16" s="179"/>
      <c r="E16" s="174" t="s">
        <v>171</v>
      </c>
      <c r="F16" s="175">
        <v>4835.2860000000001</v>
      </c>
      <c r="G16" s="176">
        <v>78951</v>
      </c>
      <c r="H16" s="176">
        <v>15410</v>
      </c>
    </row>
    <row r="17" spans="1:8" s="227" customFormat="1" x14ac:dyDescent="0.2">
      <c r="A17" s="180">
        <v>15803</v>
      </c>
      <c r="B17" s="179" t="s">
        <v>73</v>
      </c>
      <c r="C17" s="174">
        <v>1000</v>
      </c>
      <c r="D17" s="179"/>
      <c r="E17" s="174" t="s">
        <v>171</v>
      </c>
      <c r="F17" s="175">
        <v>4830.6549999999997</v>
      </c>
      <c r="G17" s="176">
        <v>140494</v>
      </c>
      <c r="H17" s="176">
        <v>13708</v>
      </c>
    </row>
    <row r="18" spans="1:8" s="227" customFormat="1" x14ac:dyDescent="0.2">
      <c r="A18" s="180">
        <v>15805</v>
      </c>
      <c r="B18" s="179" t="s">
        <v>124</v>
      </c>
      <c r="C18" s="174">
        <v>1176</v>
      </c>
      <c r="D18" s="179"/>
      <c r="E18" s="174" t="s">
        <v>171</v>
      </c>
      <c r="F18" s="175">
        <v>4612.0479999999998</v>
      </c>
      <c r="G18" s="176">
        <v>0</v>
      </c>
      <c r="H18" s="176">
        <v>20520</v>
      </c>
    </row>
    <row r="19" spans="1:8" s="227" customFormat="1" x14ac:dyDescent="0.2">
      <c r="A19" s="180">
        <v>15806</v>
      </c>
      <c r="B19" s="179" t="s">
        <v>125</v>
      </c>
      <c r="C19" s="174">
        <v>4500</v>
      </c>
      <c r="D19" s="179"/>
      <c r="E19" s="174" t="s">
        <v>170</v>
      </c>
      <c r="F19" s="175">
        <v>4798.2340000000004</v>
      </c>
      <c r="G19" s="176">
        <v>248790</v>
      </c>
      <c r="H19" s="176">
        <v>80006</v>
      </c>
    </row>
    <row r="20" spans="1:8" s="227" customFormat="1" x14ac:dyDescent="0.2">
      <c r="A20" s="180">
        <v>15807</v>
      </c>
      <c r="B20" s="179" t="s">
        <v>77</v>
      </c>
      <c r="C20" s="174">
        <v>1100</v>
      </c>
      <c r="D20" s="179"/>
      <c r="E20" s="174" t="s">
        <v>170</v>
      </c>
      <c r="F20" s="175">
        <v>4835.2860000000001</v>
      </c>
      <c r="G20" s="176">
        <v>0</v>
      </c>
      <c r="H20" s="176">
        <v>23309</v>
      </c>
    </row>
    <row r="21" spans="1:8" s="227" customFormat="1" x14ac:dyDescent="0.2">
      <c r="A21" s="180">
        <v>15808</v>
      </c>
      <c r="B21" s="174" t="s">
        <v>74</v>
      </c>
      <c r="C21" s="174">
        <v>661</v>
      </c>
      <c r="D21" s="179"/>
      <c r="E21" s="174" t="s">
        <v>171</v>
      </c>
      <c r="F21" s="175">
        <v>4738.0249999999996</v>
      </c>
      <c r="G21" s="176">
        <v>0</v>
      </c>
      <c r="H21" s="176">
        <v>21253</v>
      </c>
    </row>
    <row r="22" spans="1:8" s="227" customFormat="1" x14ac:dyDescent="0.2">
      <c r="A22" s="180">
        <v>15809</v>
      </c>
      <c r="B22" s="179" t="s">
        <v>75</v>
      </c>
      <c r="C22" s="174">
        <v>1000</v>
      </c>
      <c r="D22" s="179"/>
      <c r="E22" s="174" t="s">
        <v>171</v>
      </c>
      <c r="F22" s="175">
        <v>4604.6369999999997</v>
      </c>
      <c r="G22" s="176">
        <v>0</v>
      </c>
      <c r="H22" s="176">
        <v>12553</v>
      </c>
    </row>
    <row r="23" spans="1:8" s="14" customFormat="1" x14ac:dyDescent="0.2">
      <c r="A23" s="180">
        <v>15814</v>
      </c>
      <c r="B23" s="179" t="s">
        <v>78</v>
      </c>
      <c r="C23" s="174">
        <v>425</v>
      </c>
      <c r="D23" s="179"/>
      <c r="E23" s="174" t="s">
        <v>171</v>
      </c>
      <c r="F23" s="175">
        <v>4839.9179999999997</v>
      </c>
      <c r="G23" s="176">
        <v>13245</v>
      </c>
      <c r="H23" s="176">
        <v>4759</v>
      </c>
    </row>
    <row r="24" spans="1:8" s="14" customFormat="1" x14ac:dyDescent="0.2">
      <c r="A24" s="180">
        <v>15815</v>
      </c>
      <c r="B24" s="179" t="s">
        <v>79</v>
      </c>
      <c r="C24" s="174">
        <v>1500</v>
      </c>
      <c r="D24" s="179"/>
      <c r="E24" s="174" t="s">
        <v>170</v>
      </c>
      <c r="F24" s="175">
        <v>4689.857</v>
      </c>
      <c r="G24" s="176">
        <v>6455</v>
      </c>
      <c r="H24" s="176">
        <v>24155</v>
      </c>
    </row>
    <row r="25" spans="1:8" s="14" customFormat="1" x14ac:dyDescent="0.2">
      <c r="A25" s="180">
        <v>15816</v>
      </c>
      <c r="B25" s="179" t="s">
        <v>80</v>
      </c>
      <c r="C25" s="174">
        <v>360</v>
      </c>
      <c r="D25" s="179"/>
      <c r="E25" s="174" t="s">
        <v>171</v>
      </c>
      <c r="F25" s="175">
        <v>4833.433</v>
      </c>
      <c r="G25" s="176">
        <v>6030</v>
      </c>
      <c r="H25" s="176">
        <v>6741</v>
      </c>
    </row>
    <row r="26" spans="1:8" s="14" customFormat="1" x14ac:dyDescent="0.2">
      <c r="A26" s="180">
        <v>15819</v>
      </c>
      <c r="B26" s="179" t="s">
        <v>76</v>
      </c>
      <c r="C26" s="174">
        <v>2000</v>
      </c>
      <c r="D26" s="179"/>
      <c r="E26" s="174" t="s">
        <v>170</v>
      </c>
      <c r="F26" s="175">
        <v>4865.8540000000003</v>
      </c>
      <c r="G26" s="176">
        <v>7938</v>
      </c>
      <c r="H26" s="176">
        <v>27726</v>
      </c>
    </row>
    <row r="27" spans="1:8" s="14" customFormat="1" x14ac:dyDescent="0.2">
      <c r="A27" s="180">
        <v>15820</v>
      </c>
      <c r="B27" s="179" t="s">
        <v>81</v>
      </c>
      <c r="C27" s="174">
        <v>1000</v>
      </c>
      <c r="D27" s="179"/>
      <c r="E27" s="174" t="s">
        <v>170</v>
      </c>
      <c r="F27" s="175">
        <v>4727.835</v>
      </c>
      <c r="G27" s="176">
        <v>0</v>
      </c>
      <c r="H27" s="176">
        <v>9711</v>
      </c>
    </row>
    <row r="28" spans="1:8" s="14" customFormat="1" x14ac:dyDescent="0.2">
      <c r="A28" s="180">
        <v>15822</v>
      </c>
      <c r="B28" s="179" t="s">
        <v>82</v>
      </c>
      <c r="C28" s="174">
        <v>5550</v>
      </c>
      <c r="D28" s="181"/>
      <c r="E28" s="174" t="s">
        <v>171</v>
      </c>
      <c r="F28" s="175">
        <v>4645.3950000000004</v>
      </c>
      <c r="G28" s="176">
        <v>0</v>
      </c>
      <c r="H28" s="176">
        <v>20669</v>
      </c>
    </row>
    <row r="29" spans="1:8" s="14" customFormat="1" x14ac:dyDescent="0.2">
      <c r="A29" s="180">
        <v>15823</v>
      </c>
      <c r="B29" s="174" t="s">
        <v>281</v>
      </c>
      <c r="C29" s="174">
        <v>300</v>
      </c>
      <c r="D29" s="181"/>
      <c r="E29" s="174" t="s">
        <v>170</v>
      </c>
      <c r="F29" s="175">
        <v>4929.7690000000002</v>
      </c>
      <c r="G29" s="176">
        <v>7860</v>
      </c>
      <c r="H29" s="176">
        <v>2829</v>
      </c>
    </row>
    <row r="30" spans="1:8" s="14" customFormat="1" x14ac:dyDescent="0.2">
      <c r="A30" s="180">
        <v>15825</v>
      </c>
      <c r="B30" s="179" t="s">
        <v>158</v>
      </c>
      <c r="C30" s="174">
        <v>600</v>
      </c>
      <c r="D30" s="181"/>
      <c r="E30" s="174" t="s">
        <v>170</v>
      </c>
      <c r="F30" s="175">
        <v>4724.13</v>
      </c>
      <c r="G30" s="176">
        <v>0</v>
      </c>
      <c r="H30" s="176">
        <v>5520</v>
      </c>
    </row>
    <row r="31" spans="1:8" s="14" customFormat="1" x14ac:dyDescent="0.2">
      <c r="A31" s="180">
        <v>15826</v>
      </c>
      <c r="B31" s="174" t="s">
        <v>277</v>
      </c>
      <c r="C31" s="174">
        <v>3000</v>
      </c>
      <c r="D31" s="179"/>
      <c r="E31" s="174" t="s">
        <v>171</v>
      </c>
      <c r="F31" s="175">
        <v>4736.1719999999996</v>
      </c>
      <c r="G31" s="176">
        <v>0</v>
      </c>
      <c r="H31" s="176">
        <v>12754</v>
      </c>
    </row>
    <row r="32" spans="1:8" s="14" customFormat="1" x14ac:dyDescent="0.2">
      <c r="A32" s="180">
        <v>15827</v>
      </c>
      <c r="B32" s="179" t="s">
        <v>41</v>
      </c>
      <c r="C32" s="174">
        <v>1500</v>
      </c>
      <c r="D32" s="179"/>
      <c r="E32" s="174" t="s">
        <v>170</v>
      </c>
      <c r="F32" s="175">
        <v>4795.4549999999999</v>
      </c>
      <c r="G32" s="176">
        <v>0</v>
      </c>
      <c r="H32" s="176">
        <v>11947</v>
      </c>
    </row>
    <row r="33" spans="1:8" s="14" customFormat="1" x14ac:dyDescent="0.2">
      <c r="A33" s="180">
        <v>15828</v>
      </c>
      <c r="B33" s="179" t="s">
        <v>42</v>
      </c>
      <c r="C33" s="174">
        <v>5500</v>
      </c>
      <c r="D33" s="179"/>
      <c r="E33" s="174" t="s">
        <v>170</v>
      </c>
      <c r="F33" s="175">
        <v>4735.7960000000003</v>
      </c>
      <c r="G33" s="176">
        <v>0</v>
      </c>
      <c r="H33" s="176">
        <v>17957</v>
      </c>
    </row>
    <row r="34" spans="1:8" s="14" customFormat="1" x14ac:dyDescent="0.2">
      <c r="A34" s="180">
        <v>15830</v>
      </c>
      <c r="B34" s="174" t="s">
        <v>151</v>
      </c>
      <c r="C34" s="174">
        <v>3600</v>
      </c>
      <c r="D34" s="179"/>
      <c r="E34" s="174" t="s">
        <v>171</v>
      </c>
      <c r="F34" s="175">
        <v>4671.3310000000001</v>
      </c>
      <c r="G34" s="176">
        <v>0</v>
      </c>
      <c r="H34" s="176">
        <v>19083</v>
      </c>
    </row>
    <row r="35" spans="1:8" s="14" customFormat="1" x14ac:dyDescent="0.2">
      <c r="A35" s="180">
        <v>15831</v>
      </c>
      <c r="B35" s="179" t="s">
        <v>37</v>
      </c>
      <c r="C35" s="174">
        <v>1800</v>
      </c>
      <c r="D35" s="179"/>
      <c r="E35" s="174" t="s">
        <v>170</v>
      </c>
      <c r="F35" s="175">
        <v>4728.6379999999999</v>
      </c>
      <c r="G35" s="176">
        <v>0</v>
      </c>
      <c r="H35" s="176">
        <v>8860</v>
      </c>
    </row>
    <row r="36" spans="1:8" s="14" customFormat="1" x14ac:dyDescent="0.2">
      <c r="A36" s="180">
        <v>15832</v>
      </c>
      <c r="B36" s="179" t="s">
        <v>118</v>
      </c>
      <c r="C36" s="174">
        <v>1400</v>
      </c>
      <c r="D36" s="179"/>
      <c r="E36" s="174" t="s">
        <v>171</v>
      </c>
      <c r="F36" s="175">
        <v>4650.0259999999998</v>
      </c>
      <c r="G36" s="176">
        <v>0</v>
      </c>
      <c r="H36" s="176">
        <v>0</v>
      </c>
    </row>
    <row r="37" spans="1:8" s="14" customFormat="1" x14ac:dyDescent="0.2">
      <c r="A37" s="180">
        <v>15833</v>
      </c>
      <c r="B37" s="174" t="s">
        <v>275</v>
      </c>
      <c r="C37" s="174">
        <v>480</v>
      </c>
      <c r="D37" s="179"/>
      <c r="E37" s="174" t="s">
        <v>171</v>
      </c>
      <c r="F37" s="175">
        <v>4773.2240000000002</v>
      </c>
      <c r="G37" s="176">
        <v>0</v>
      </c>
      <c r="H37" s="176">
        <v>0</v>
      </c>
    </row>
    <row r="38" spans="1:8" s="14" customFormat="1" x14ac:dyDescent="0.2">
      <c r="A38" s="177">
        <v>15834</v>
      </c>
      <c r="B38" s="178" t="s">
        <v>345</v>
      </c>
      <c r="C38" s="174">
        <v>3750</v>
      </c>
      <c r="D38" s="179"/>
      <c r="E38" s="174" t="s">
        <v>171</v>
      </c>
      <c r="F38" s="175">
        <v>4604.6369999999997</v>
      </c>
      <c r="G38" s="176">
        <v>0</v>
      </c>
      <c r="H38" s="176">
        <v>0</v>
      </c>
    </row>
    <row r="39" spans="1:8" s="14" customFormat="1" x14ac:dyDescent="0.2">
      <c r="A39" s="177">
        <v>15836</v>
      </c>
      <c r="B39" s="178" t="s">
        <v>347</v>
      </c>
      <c r="C39" s="174">
        <v>700</v>
      </c>
      <c r="D39" s="179"/>
      <c r="E39" s="174" t="s">
        <v>171</v>
      </c>
      <c r="F39" s="175">
        <v>4604.6369999999997</v>
      </c>
      <c r="G39" s="176">
        <v>0</v>
      </c>
      <c r="H39" s="176">
        <v>0</v>
      </c>
    </row>
    <row r="40" spans="1:8" s="14" customFormat="1" x14ac:dyDescent="0.2">
      <c r="A40" s="180">
        <v>21803</v>
      </c>
      <c r="B40" s="179" t="s">
        <v>83</v>
      </c>
      <c r="C40" s="174">
        <v>500</v>
      </c>
      <c r="D40" s="179"/>
      <c r="E40" s="174" t="s">
        <v>170</v>
      </c>
      <c r="F40" s="175">
        <v>4809.3500000000004</v>
      </c>
      <c r="G40" s="176">
        <v>49454</v>
      </c>
      <c r="H40" s="176">
        <v>14077</v>
      </c>
    </row>
    <row r="41" spans="1:8" s="14" customFormat="1" x14ac:dyDescent="0.2">
      <c r="A41" s="180">
        <v>21805</v>
      </c>
      <c r="B41" s="179" t="s">
        <v>253</v>
      </c>
      <c r="C41" s="174">
        <v>1000</v>
      </c>
      <c r="D41" s="179"/>
      <c r="E41" s="174" t="s">
        <v>171</v>
      </c>
      <c r="F41" s="175">
        <v>4604.6369999999997</v>
      </c>
      <c r="G41" s="176">
        <v>0</v>
      </c>
      <c r="H41" s="176">
        <v>0</v>
      </c>
    </row>
    <row r="42" spans="1:8" s="14" customFormat="1" x14ac:dyDescent="0.2">
      <c r="A42" s="180">
        <v>31803</v>
      </c>
      <c r="B42" s="179" t="s">
        <v>38</v>
      </c>
      <c r="C42" s="174">
        <v>900</v>
      </c>
      <c r="D42" s="179"/>
      <c r="E42" s="174" t="s">
        <v>170</v>
      </c>
      <c r="F42" s="175">
        <v>4714.8670000000002</v>
      </c>
      <c r="G42" s="176">
        <v>0</v>
      </c>
      <c r="H42" s="176">
        <v>8563</v>
      </c>
    </row>
    <row r="43" spans="1:8" s="14" customFormat="1" x14ac:dyDescent="0.2">
      <c r="A43" s="180">
        <v>43801</v>
      </c>
      <c r="B43" s="179" t="s">
        <v>382</v>
      </c>
      <c r="C43" s="174">
        <v>1300</v>
      </c>
      <c r="D43" s="179"/>
      <c r="E43" s="174" t="s">
        <v>171</v>
      </c>
      <c r="F43" s="175">
        <v>4604.6369999999997</v>
      </c>
      <c r="G43" s="176">
        <v>0</v>
      </c>
      <c r="H43" s="176">
        <v>0</v>
      </c>
    </row>
    <row r="44" spans="1:8" s="14" customFormat="1" x14ac:dyDescent="0.2">
      <c r="A44" s="180">
        <v>46802</v>
      </c>
      <c r="B44" s="179" t="s">
        <v>84</v>
      </c>
      <c r="C44" s="174">
        <v>400</v>
      </c>
      <c r="D44" s="179"/>
      <c r="E44" s="174" t="s">
        <v>170</v>
      </c>
      <c r="F44" s="175">
        <v>4715.7929999999997</v>
      </c>
      <c r="G44" s="176">
        <v>0</v>
      </c>
      <c r="H44" s="176">
        <v>26007</v>
      </c>
    </row>
    <row r="45" spans="1:8" s="14" customFormat="1" x14ac:dyDescent="0.2">
      <c r="A45" s="180">
        <v>57802</v>
      </c>
      <c r="B45" s="179" t="s">
        <v>43</v>
      </c>
      <c r="C45" s="174">
        <v>1000</v>
      </c>
      <c r="D45" s="179"/>
      <c r="E45" s="174" t="s">
        <v>170</v>
      </c>
      <c r="F45" s="175">
        <v>4965.8940000000002</v>
      </c>
      <c r="G45" s="176">
        <v>0</v>
      </c>
      <c r="H45" s="176">
        <v>15527</v>
      </c>
    </row>
    <row r="46" spans="1:8" s="14" customFormat="1" x14ac:dyDescent="0.2">
      <c r="A46" s="180">
        <v>57803</v>
      </c>
      <c r="B46" s="174" t="s">
        <v>287</v>
      </c>
      <c r="C46" s="174">
        <v>5000</v>
      </c>
      <c r="D46" s="179"/>
      <c r="E46" s="174" t="s">
        <v>170</v>
      </c>
      <c r="F46" s="175">
        <v>4964.9679999999998</v>
      </c>
      <c r="G46" s="176">
        <v>0</v>
      </c>
      <c r="H46" s="176">
        <v>35199</v>
      </c>
    </row>
    <row r="47" spans="1:8" s="14" customFormat="1" x14ac:dyDescent="0.2">
      <c r="A47" s="180">
        <v>57804</v>
      </c>
      <c r="B47" s="174" t="s">
        <v>85</v>
      </c>
      <c r="C47" s="174">
        <v>3050</v>
      </c>
      <c r="D47" s="179"/>
      <c r="E47" s="174" t="s">
        <v>171</v>
      </c>
      <c r="F47" s="175">
        <v>4946.8999999999996</v>
      </c>
      <c r="G47" s="176">
        <v>413599</v>
      </c>
      <c r="H47" s="176">
        <v>64453</v>
      </c>
    </row>
    <row r="48" spans="1:8" s="14" customFormat="1" x14ac:dyDescent="0.2">
      <c r="A48" s="180">
        <v>57805</v>
      </c>
      <c r="B48" s="179" t="s">
        <v>86</v>
      </c>
      <c r="C48" s="174">
        <v>450</v>
      </c>
      <c r="D48" s="179"/>
      <c r="E48" s="174" t="s">
        <v>171</v>
      </c>
      <c r="F48" s="175">
        <v>4801.0129999999999</v>
      </c>
      <c r="G48" s="176">
        <v>0</v>
      </c>
      <c r="H48" s="176">
        <v>4467</v>
      </c>
    </row>
    <row r="49" spans="1:8" s="14" customFormat="1" x14ac:dyDescent="0.2">
      <c r="A49" s="180">
        <v>57806</v>
      </c>
      <c r="B49" s="179" t="s">
        <v>44</v>
      </c>
      <c r="C49" s="174">
        <v>3000</v>
      </c>
      <c r="D49" s="179"/>
      <c r="E49" s="174" t="s">
        <v>170</v>
      </c>
      <c r="F49" s="175">
        <v>4770.4449999999997</v>
      </c>
      <c r="G49" s="176">
        <v>0</v>
      </c>
      <c r="H49" s="176">
        <v>45560</v>
      </c>
    </row>
    <row r="50" spans="1:8" s="14" customFormat="1" x14ac:dyDescent="0.2">
      <c r="A50" s="180">
        <v>57807</v>
      </c>
      <c r="B50" s="179" t="s">
        <v>45</v>
      </c>
      <c r="C50" s="174">
        <v>10000</v>
      </c>
      <c r="D50" s="179"/>
      <c r="E50" s="174" t="s">
        <v>171</v>
      </c>
      <c r="F50" s="175">
        <v>4736.1719999999996</v>
      </c>
      <c r="G50" s="176">
        <v>0</v>
      </c>
      <c r="H50" s="176">
        <v>97141</v>
      </c>
    </row>
    <row r="51" spans="1:8" s="14" customFormat="1" x14ac:dyDescent="0.2">
      <c r="A51" s="180">
        <v>57808</v>
      </c>
      <c r="B51" s="179" t="s">
        <v>87</v>
      </c>
      <c r="C51" s="174">
        <v>3000</v>
      </c>
      <c r="D51" s="179"/>
      <c r="E51" s="174" t="s">
        <v>170</v>
      </c>
      <c r="F51" s="175">
        <v>4872.3379999999997</v>
      </c>
      <c r="G51" s="176">
        <v>68530</v>
      </c>
      <c r="H51" s="176">
        <v>42070</v>
      </c>
    </row>
    <row r="52" spans="1:8" s="14" customFormat="1" x14ac:dyDescent="0.2">
      <c r="A52" s="180">
        <v>57809</v>
      </c>
      <c r="B52" s="179" t="s">
        <v>46</v>
      </c>
      <c r="C52" s="174">
        <v>500</v>
      </c>
      <c r="D52" s="179"/>
      <c r="E52" s="174" t="s">
        <v>170</v>
      </c>
      <c r="F52" s="175">
        <v>4860.2960000000003</v>
      </c>
      <c r="G52" s="176">
        <v>0</v>
      </c>
      <c r="H52" s="176">
        <v>6421</v>
      </c>
    </row>
    <row r="53" spans="1:8" s="14" customFormat="1" x14ac:dyDescent="0.2">
      <c r="A53" s="180">
        <v>57810</v>
      </c>
      <c r="B53" s="179" t="s">
        <v>47</v>
      </c>
      <c r="C53" s="174">
        <v>1000</v>
      </c>
      <c r="D53" s="179"/>
      <c r="E53" s="174" t="s">
        <v>171</v>
      </c>
      <c r="F53" s="175">
        <v>4820.4650000000001</v>
      </c>
      <c r="G53" s="176">
        <v>0</v>
      </c>
      <c r="H53" s="176">
        <v>14307</v>
      </c>
    </row>
    <row r="54" spans="1:8" s="14" customFormat="1" x14ac:dyDescent="0.2">
      <c r="A54" s="185">
        <v>57811</v>
      </c>
      <c r="B54" s="186" t="s">
        <v>88</v>
      </c>
      <c r="C54" s="232">
        <v>900</v>
      </c>
      <c r="D54" s="186"/>
      <c r="E54" s="232" t="s">
        <v>170</v>
      </c>
      <c r="F54" s="233">
        <v>4725.0563000000002</v>
      </c>
      <c r="G54" s="234">
        <v>65580</v>
      </c>
      <c r="H54" s="234">
        <v>8702</v>
      </c>
    </row>
    <row r="55" spans="1:8" s="14" customFormat="1" x14ac:dyDescent="0.2">
      <c r="A55" s="180">
        <v>57813</v>
      </c>
      <c r="B55" s="174" t="s">
        <v>48</v>
      </c>
      <c r="C55" s="174">
        <v>2500</v>
      </c>
      <c r="D55" s="179"/>
      <c r="E55" s="174" t="s">
        <v>170</v>
      </c>
      <c r="F55" s="175">
        <v>4860.24</v>
      </c>
      <c r="G55" s="176">
        <v>0</v>
      </c>
      <c r="H55" s="176">
        <v>17937</v>
      </c>
    </row>
    <row r="56" spans="1:8" s="14" customFormat="1" x14ac:dyDescent="0.2">
      <c r="A56" s="180">
        <v>57814</v>
      </c>
      <c r="B56" s="179" t="s">
        <v>89</v>
      </c>
      <c r="C56" s="174">
        <v>900</v>
      </c>
      <c r="D56" s="179"/>
      <c r="E56" s="174" t="s">
        <v>171</v>
      </c>
      <c r="F56" s="175">
        <v>5007.5780000000004</v>
      </c>
      <c r="G56" s="176">
        <v>147575</v>
      </c>
      <c r="H56" s="176">
        <v>22847</v>
      </c>
    </row>
    <row r="57" spans="1:8" s="14" customFormat="1" x14ac:dyDescent="0.2">
      <c r="A57" s="180">
        <v>57815</v>
      </c>
      <c r="B57" s="179" t="s">
        <v>90</v>
      </c>
      <c r="C57" s="174">
        <v>2500</v>
      </c>
      <c r="D57" s="179"/>
      <c r="E57" s="174" t="s">
        <v>170</v>
      </c>
      <c r="F57" s="175">
        <v>4877.8959999999997</v>
      </c>
      <c r="G57" s="176">
        <v>0</v>
      </c>
      <c r="H57" s="176">
        <v>38802</v>
      </c>
    </row>
    <row r="58" spans="1:8" s="14" customFormat="1" x14ac:dyDescent="0.2">
      <c r="A58" s="180">
        <v>57816</v>
      </c>
      <c r="B58" s="174" t="s">
        <v>270</v>
      </c>
      <c r="C58" s="174">
        <v>1860</v>
      </c>
      <c r="D58" s="179"/>
      <c r="E58" s="174" t="s">
        <v>170</v>
      </c>
      <c r="F58" s="175">
        <v>4722.277</v>
      </c>
      <c r="G58" s="176">
        <v>0</v>
      </c>
      <c r="H58" s="176">
        <v>37189</v>
      </c>
    </row>
    <row r="59" spans="1:8" s="14" customFormat="1" x14ac:dyDescent="0.2">
      <c r="A59" s="180">
        <v>57817</v>
      </c>
      <c r="B59" s="179" t="s">
        <v>91</v>
      </c>
      <c r="C59" s="174">
        <v>1075</v>
      </c>
      <c r="D59" s="179"/>
      <c r="E59" s="174" t="s">
        <v>170</v>
      </c>
      <c r="F59" s="175">
        <v>4776.9290000000001</v>
      </c>
      <c r="G59" s="176">
        <v>19793</v>
      </c>
      <c r="H59" s="176">
        <v>15277</v>
      </c>
    </row>
    <row r="60" spans="1:8" s="14" customFormat="1" x14ac:dyDescent="0.2">
      <c r="A60" s="180">
        <v>57819</v>
      </c>
      <c r="B60" s="179" t="s">
        <v>92</v>
      </c>
      <c r="C60" s="174">
        <v>200</v>
      </c>
      <c r="D60" s="179"/>
      <c r="E60" s="174" t="s">
        <v>170</v>
      </c>
      <c r="F60" s="175">
        <v>5248.4160000000002</v>
      </c>
      <c r="G60" s="176">
        <v>96198</v>
      </c>
      <c r="H60" s="176">
        <v>3056</v>
      </c>
    </row>
    <row r="61" spans="1:8" s="14" customFormat="1" x14ac:dyDescent="0.2">
      <c r="A61" s="180">
        <v>57825</v>
      </c>
      <c r="B61" s="179" t="s">
        <v>93</v>
      </c>
      <c r="C61" s="174">
        <v>2200</v>
      </c>
      <c r="D61" s="179"/>
      <c r="E61" s="174" t="s">
        <v>170</v>
      </c>
      <c r="F61" s="175">
        <v>5078.9030000000002</v>
      </c>
      <c r="G61" s="176">
        <v>381145</v>
      </c>
      <c r="H61" s="176">
        <v>30117</v>
      </c>
    </row>
    <row r="62" spans="1:8" s="14" customFormat="1" x14ac:dyDescent="0.2">
      <c r="A62" s="180">
        <v>57827</v>
      </c>
      <c r="B62" s="179" t="s">
        <v>49</v>
      </c>
      <c r="C62" s="174">
        <v>1000</v>
      </c>
      <c r="D62" s="179"/>
      <c r="E62" s="174" t="s">
        <v>170</v>
      </c>
      <c r="F62" s="175">
        <v>4845.4750000000004</v>
      </c>
      <c r="G62" s="176">
        <v>0</v>
      </c>
      <c r="H62" s="176">
        <v>9041</v>
      </c>
    </row>
    <row r="63" spans="1:8" s="14" customFormat="1" x14ac:dyDescent="0.2">
      <c r="A63" s="180">
        <v>57828</v>
      </c>
      <c r="B63" s="179" t="s">
        <v>215</v>
      </c>
      <c r="C63" s="174">
        <v>3000</v>
      </c>
      <c r="D63" s="179"/>
      <c r="E63" s="174" t="s">
        <v>171</v>
      </c>
      <c r="F63" s="175">
        <v>4864.9279999999999</v>
      </c>
      <c r="G63" s="176">
        <v>0</v>
      </c>
      <c r="H63" s="176">
        <v>52841</v>
      </c>
    </row>
    <row r="64" spans="1:8" s="14" customFormat="1" x14ac:dyDescent="0.2">
      <c r="A64" s="180">
        <v>57829</v>
      </c>
      <c r="B64" s="179" t="s">
        <v>94</v>
      </c>
      <c r="C64" s="174">
        <v>1750</v>
      </c>
      <c r="D64" s="179"/>
      <c r="E64" s="174" t="s">
        <v>170</v>
      </c>
      <c r="F64" s="175">
        <v>4852.8860000000004</v>
      </c>
      <c r="G64" s="176">
        <v>0</v>
      </c>
      <c r="H64" s="176">
        <v>31387</v>
      </c>
    </row>
    <row r="65" spans="1:8" s="14" customFormat="1" x14ac:dyDescent="0.2">
      <c r="A65" s="180">
        <v>57830</v>
      </c>
      <c r="B65" s="179" t="s">
        <v>95</v>
      </c>
      <c r="C65" s="174">
        <v>1500</v>
      </c>
      <c r="D65" s="179"/>
      <c r="E65" s="174" t="s">
        <v>170</v>
      </c>
      <c r="F65" s="175">
        <v>4840.8440000000001</v>
      </c>
      <c r="G65" s="176">
        <v>0</v>
      </c>
      <c r="H65" s="176">
        <v>27510</v>
      </c>
    </row>
    <row r="66" spans="1:8" s="14" customFormat="1" x14ac:dyDescent="0.2">
      <c r="A66" s="180">
        <v>57831</v>
      </c>
      <c r="B66" s="179" t="s">
        <v>96</v>
      </c>
      <c r="C66" s="174">
        <v>1200</v>
      </c>
      <c r="D66" s="179"/>
      <c r="E66" s="174" t="s">
        <v>170</v>
      </c>
      <c r="F66" s="175">
        <v>4917.7269999999999</v>
      </c>
      <c r="G66" s="176">
        <v>52168</v>
      </c>
      <c r="H66" s="176">
        <v>22155</v>
      </c>
    </row>
    <row r="67" spans="1:8" s="14" customFormat="1" x14ac:dyDescent="0.2">
      <c r="A67" s="180">
        <v>57832</v>
      </c>
      <c r="B67" s="179" t="s">
        <v>97</v>
      </c>
      <c r="C67" s="174">
        <v>400</v>
      </c>
      <c r="D67" s="179"/>
      <c r="E67" s="174" t="s">
        <v>170</v>
      </c>
      <c r="F67" s="175">
        <v>4813.0550000000003</v>
      </c>
      <c r="G67" s="176">
        <v>0</v>
      </c>
      <c r="H67" s="176">
        <v>6912</v>
      </c>
    </row>
    <row r="68" spans="1:8" s="14" customFormat="1" x14ac:dyDescent="0.2">
      <c r="A68" s="180">
        <v>57833</v>
      </c>
      <c r="B68" s="179" t="s">
        <v>98</v>
      </c>
      <c r="C68" s="174">
        <v>500</v>
      </c>
      <c r="D68" s="179"/>
      <c r="E68" s="174" t="s">
        <v>170</v>
      </c>
      <c r="F68" s="175">
        <v>4692.6360000000004</v>
      </c>
      <c r="G68" s="176">
        <v>0</v>
      </c>
      <c r="H68" s="176">
        <v>4430</v>
      </c>
    </row>
    <row r="69" spans="1:8" s="14" customFormat="1" x14ac:dyDescent="0.2">
      <c r="A69" s="180">
        <v>57834</v>
      </c>
      <c r="B69" s="179" t="s">
        <v>50</v>
      </c>
      <c r="C69" s="174">
        <v>1200</v>
      </c>
      <c r="D69" s="179"/>
      <c r="E69" s="174" t="s">
        <v>170</v>
      </c>
      <c r="F69" s="175">
        <v>5026.1040000000003</v>
      </c>
      <c r="G69" s="176">
        <v>83263</v>
      </c>
      <c r="H69" s="176">
        <v>11209</v>
      </c>
    </row>
    <row r="70" spans="1:8" s="14" customFormat="1" x14ac:dyDescent="0.2">
      <c r="A70" s="180">
        <v>57835</v>
      </c>
      <c r="B70" s="179" t="s">
        <v>99</v>
      </c>
      <c r="C70" s="174">
        <v>2000</v>
      </c>
      <c r="D70" s="179"/>
      <c r="E70" s="174" t="s">
        <v>171</v>
      </c>
      <c r="F70" s="175">
        <v>4690.7830000000004</v>
      </c>
      <c r="G70" s="176">
        <v>0</v>
      </c>
      <c r="H70" s="176">
        <v>19509</v>
      </c>
    </row>
    <row r="71" spans="1:8" s="14" customFormat="1" x14ac:dyDescent="0.2">
      <c r="A71" s="180">
        <v>57836</v>
      </c>
      <c r="B71" s="179" t="s">
        <v>51</v>
      </c>
      <c r="C71" s="174">
        <v>500</v>
      </c>
      <c r="D71" s="179"/>
      <c r="E71" s="174" t="s">
        <v>170</v>
      </c>
      <c r="F71" s="175">
        <v>4715.7929999999997</v>
      </c>
      <c r="G71" s="176">
        <v>0</v>
      </c>
      <c r="H71" s="176">
        <v>7894</v>
      </c>
    </row>
    <row r="72" spans="1:8" s="14" customFormat="1" x14ac:dyDescent="0.2">
      <c r="A72" s="180">
        <v>57837</v>
      </c>
      <c r="B72" s="179" t="s">
        <v>100</v>
      </c>
      <c r="C72" s="174">
        <v>1440</v>
      </c>
      <c r="D72" s="179"/>
      <c r="E72" s="174" t="s">
        <v>171</v>
      </c>
      <c r="F72" s="175">
        <v>4693.5619999999999</v>
      </c>
      <c r="G72" s="176">
        <v>15258</v>
      </c>
      <c r="H72" s="176">
        <v>7844</v>
      </c>
    </row>
    <row r="73" spans="1:8" s="14" customFormat="1" x14ac:dyDescent="0.2">
      <c r="A73" s="180">
        <v>57838</v>
      </c>
      <c r="B73" s="174" t="s">
        <v>288</v>
      </c>
      <c r="C73" s="174">
        <v>4000</v>
      </c>
      <c r="D73" s="179"/>
      <c r="E73" s="174" t="s">
        <v>170</v>
      </c>
      <c r="F73" s="175">
        <v>4765.8140000000003</v>
      </c>
      <c r="G73" s="176">
        <v>0</v>
      </c>
      <c r="H73" s="176">
        <v>27271</v>
      </c>
    </row>
    <row r="74" spans="1:8" s="14" customFormat="1" x14ac:dyDescent="0.2">
      <c r="A74" s="180">
        <v>57839</v>
      </c>
      <c r="B74" s="179" t="s">
        <v>152</v>
      </c>
      <c r="C74" s="174">
        <v>1550</v>
      </c>
      <c r="D74" s="179"/>
      <c r="E74" s="174" t="s">
        <v>171</v>
      </c>
      <c r="F74" s="175">
        <v>4604.6369999999997</v>
      </c>
      <c r="G74" s="176">
        <v>0</v>
      </c>
      <c r="H74" s="176">
        <v>12424</v>
      </c>
    </row>
    <row r="75" spans="1:8" s="14" customFormat="1" x14ac:dyDescent="0.2">
      <c r="A75" s="180">
        <v>57840</v>
      </c>
      <c r="B75" s="179" t="s">
        <v>52</v>
      </c>
      <c r="C75" s="174">
        <v>900</v>
      </c>
      <c r="D75" s="179"/>
      <c r="E75" s="174" t="s">
        <v>171</v>
      </c>
      <c r="F75" s="175">
        <v>4818.6130000000003</v>
      </c>
      <c r="G75" s="176">
        <v>11762</v>
      </c>
      <c r="H75" s="176">
        <v>9629</v>
      </c>
    </row>
    <row r="76" spans="1:8" s="14" customFormat="1" x14ac:dyDescent="0.2">
      <c r="A76" s="180">
        <v>57841</v>
      </c>
      <c r="B76" s="179" t="s">
        <v>39</v>
      </c>
      <c r="C76" s="174">
        <v>500</v>
      </c>
      <c r="D76" s="179"/>
      <c r="E76" s="174" t="s">
        <v>171</v>
      </c>
      <c r="F76" s="175">
        <v>4604.6369999999997</v>
      </c>
      <c r="G76" s="176">
        <v>0</v>
      </c>
      <c r="H76" s="176">
        <v>2890</v>
      </c>
    </row>
    <row r="77" spans="1:8" s="14" customFormat="1" x14ac:dyDescent="0.2">
      <c r="A77" s="180">
        <v>57842</v>
      </c>
      <c r="B77" s="174" t="s">
        <v>289</v>
      </c>
      <c r="C77" s="174">
        <v>4000</v>
      </c>
      <c r="D77" s="179"/>
      <c r="E77" s="174" t="s">
        <v>170</v>
      </c>
      <c r="F77" s="175">
        <v>4763.0349999999999</v>
      </c>
      <c r="G77" s="176">
        <v>0</v>
      </c>
      <c r="H77" s="176">
        <v>16098</v>
      </c>
    </row>
    <row r="78" spans="1:8" s="14" customFormat="1" x14ac:dyDescent="0.2">
      <c r="A78" s="180">
        <v>57843</v>
      </c>
      <c r="B78" s="174" t="s">
        <v>286</v>
      </c>
      <c r="C78" s="174">
        <v>2400</v>
      </c>
      <c r="D78" s="179"/>
      <c r="E78" s="174" t="s">
        <v>170</v>
      </c>
      <c r="F78" s="175">
        <v>4782.4870000000001</v>
      </c>
      <c r="G78" s="176">
        <v>0</v>
      </c>
      <c r="H78" s="176">
        <v>11829</v>
      </c>
    </row>
    <row r="79" spans="1:8" s="14" customFormat="1" x14ac:dyDescent="0.2">
      <c r="A79" s="180">
        <v>57844</v>
      </c>
      <c r="B79" s="179" t="s">
        <v>117</v>
      </c>
      <c r="C79" s="174">
        <v>1000</v>
      </c>
      <c r="D79" s="179"/>
      <c r="E79" s="174" t="s">
        <v>171</v>
      </c>
      <c r="F79" s="175">
        <v>4699.12</v>
      </c>
      <c r="G79" s="176">
        <v>34641</v>
      </c>
      <c r="H79" s="176">
        <v>0</v>
      </c>
    </row>
    <row r="80" spans="1:8" s="14" customFormat="1" x14ac:dyDescent="0.2">
      <c r="A80" s="180">
        <v>57845</v>
      </c>
      <c r="B80" s="179" t="s">
        <v>317</v>
      </c>
      <c r="C80" s="174">
        <v>540</v>
      </c>
      <c r="D80" s="179"/>
      <c r="E80" s="174" t="s">
        <v>171</v>
      </c>
      <c r="F80" s="175">
        <v>4604.6369999999997</v>
      </c>
      <c r="G80" s="176">
        <v>0</v>
      </c>
      <c r="H80" s="176">
        <v>0</v>
      </c>
    </row>
    <row r="81" spans="1:8" s="14" customFormat="1" x14ac:dyDescent="0.2">
      <c r="A81" s="180">
        <v>57846</v>
      </c>
      <c r="B81" s="179" t="s">
        <v>318</v>
      </c>
      <c r="C81" s="174">
        <v>2600</v>
      </c>
      <c r="D81" s="179"/>
      <c r="E81" s="174" t="s">
        <v>171</v>
      </c>
      <c r="F81" s="175">
        <v>4604.6369999999997</v>
      </c>
      <c r="G81" s="176">
        <v>0</v>
      </c>
      <c r="H81" s="176">
        <v>0</v>
      </c>
    </row>
    <row r="82" spans="1:8" s="14" customFormat="1" x14ac:dyDescent="0.2">
      <c r="A82" s="177">
        <v>57847</v>
      </c>
      <c r="B82" s="178" t="s">
        <v>348</v>
      </c>
      <c r="C82" s="174">
        <v>1040</v>
      </c>
      <c r="D82" s="179"/>
      <c r="E82" s="174" t="s">
        <v>171</v>
      </c>
      <c r="F82" s="175">
        <v>4604.6369999999997</v>
      </c>
      <c r="G82" s="176">
        <v>0</v>
      </c>
      <c r="H82" s="176">
        <v>0</v>
      </c>
    </row>
    <row r="83" spans="1:8" s="14" customFormat="1" x14ac:dyDescent="0.2">
      <c r="A83" s="177">
        <v>57848</v>
      </c>
      <c r="B83" s="178" t="s">
        <v>349</v>
      </c>
      <c r="C83" s="174">
        <v>6192</v>
      </c>
      <c r="D83" s="179"/>
      <c r="E83" s="174" t="s">
        <v>171</v>
      </c>
      <c r="F83" s="175">
        <v>4604.6369999999997</v>
      </c>
      <c r="G83" s="176">
        <v>0</v>
      </c>
      <c r="H83" s="176">
        <v>0</v>
      </c>
    </row>
    <row r="84" spans="1:8" s="14" customFormat="1" x14ac:dyDescent="0.2">
      <c r="A84" s="180">
        <v>61802</v>
      </c>
      <c r="B84" s="174" t="s">
        <v>284</v>
      </c>
      <c r="C84" s="174">
        <v>1200</v>
      </c>
      <c r="D84" s="179"/>
      <c r="E84" s="174" t="s">
        <v>170</v>
      </c>
      <c r="F84" s="175">
        <v>4894.5690000000004</v>
      </c>
      <c r="G84" s="176">
        <v>63454</v>
      </c>
      <c r="H84" s="176">
        <v>23597</v>
      </c>
    </row>
    <row r="85" spans="1:8" s="14" customFormat="1" x14ac:dyDescent="0.2">
      <c r="A85" s="180">
        <v>61804</v>
      </c>
      <c r="B85" s="179" t="s">
        <v>254</v>
      </c>
      <c r="C85" s="174">
        <v>650</v>
      </c>
      <c r="D85" s="179"/>
      <c r="E85" s="174" t="s">
        <v>171</v>
      </c>
      <c r="F85" s="175">
        <v>4604.6369999999997</v>
      </c>
      <c r="G85" s="176">
        <v>0</v>
      </c>
      <c r="H85" s="176">
        <v>0</v>
      </c>
    </row>
    <row r="86" spans="1:8" s="14" customFormat="1" x14ac:dyDescent="0.2">
      <c r="A86" s="180">
        <v>68801</v>
      </c>
      <c r="B86" s="179" t="s">
        <v>159</v>
      </c>
      <c r="C86" s="174">
        <v>1500</v>
      </c>
      <c r="D86" s="179"/>
      <c r="E86" s="174" t="s">
        <v>171</v>
      </c>
      <c r="F86" s="175">
        <v>4835.2860000000001</v>
      </c>
      <c r="G86" s="176">
        <v>0</v>
      </c>
      <c r="H86" s="176">
        <v>15903</v>
      </c>
    </row>
    <row r="87" spans="1:8" s="14" customFormat="1" x14ac:dyDescent="0.2">
      <c r="A87" s="180">
        <v>68802</v>
      </c>
      <c r="B87" s="179" t="s">
        <v>255</v>
      </c>
      <c r="C87" s="174">
        <v>764</v>
      </c>
      <c r="D87" s="179"/>
      <c r="E87" s="174" t="s">
        <v>171</v>
      </c>
      <c r="F87" s="175">
        <v>4604.6369999999997</v>
      </c>
      <c r="G87" s="176">
        <v>0</v>
      </c>
      <c r="H87" s="176">
        <v>0</v>
      </c>
    </row>
    <row r="88" spans="1:8" s="14" customFormat="1" x14ac:dyDescent="0.2">
      <c r="A88" s="180">
        <v>70801</v>
      </c>
      <c r="B88" s="179" t="s">
        <v>101</v>
      </c>
      <c r="C88" s="174">
        <v>1500</v>
      </c>
      <c r="D88" s="179"/>
      <c r="E88" s="174" t="s">
        <v>170</v>
      </c>
      <c r="F88" s="175">
        <v>4771.3710000000001</v>
      </c>
      <c r="G88" s="176">
        <v>0</v>
      </c>
      <c r="H88" s="176">
        <v>7938</v>
      </c>
    </row>
    <row r="89" spans="1:8" s="14" customFormat="1" x14ac:dyDescent="0.2">
      <c r="A89" s="180">
        <v>71801</v>
      </c>
      <c r="B89" s="179" t="s">
        <v>216</v>
      </c>
      <c r="C89" s="174">
        <v>1300</v>
      </c>
      <c r="D89" s="179"/>
      <c r="E89" s="174" t="s">
        <v>170</v>
      </c>
      <c r="F89" s="175">
        <v>4661.1419999999998</v>
      </c>
      <c r="G89" s="176">
        <v>0</v>
      </c>
      <c r="H89" s="176">
        <v>19953</v>
      </c>
    </row>
    <row r="90" spans="1:8" s="14" customFormat="1" x14ac:dyDescent="0.2">
      <c r="A90" s="180">
        <v>71803</v>
      </c>
      <c r="B90" s="179" t="s">
        <v>53</v>
      </c>
      <c r="C90" s="174">
        <v>800</v>
      </c>
      <c r="D90" s="179"/>
      <c r="E90" s="174" t="s">
        <v>170</v>
      </c>
      <c r="F90" s="175">
        <v>4736.1719999999996</v>
      </c>
      <c r="G90" s="176">
        <v>0</v>
      </c>
      <c r="H90" s="176">
        <v>7493</v>
      </c>
    </row>
    <row r="91" spans="1:8" s="14" customFormat="1" x14ac:dyDescent="0.2">
      <c r="A91" s="180">
        <v>71804</v>
      </c>
      <c r="B91" s="179" t="s">
        <v>54</v>
      </c>
      <c r="C91" s="174">
        <v>500</v>
      </c>
      <c r="D91" s="179"/>
      <c r="E91" s="174" t="s">
        <v>170</v>
      </c>
      <c r="F91" s="175">
        <v>4776.9290000000001</v>
      </c>
      <c r="G91" s="176">
        <v>0</v>
      </c>
      <c r="H91" s="176">
        <v>14655</v>
      </c>
    </row>
    <row r="92" spans="1:8" s="14" customFormat="1" x14ac:dyDescent="0.2">
      <c r="A92" s="180">
        <v>71806</v>
      </c>
      <c r="B92" s="179" t="s">
        <v>55</v>
      </c>
      <c r="C92" s="174">
        <v>3600</v>
      </c>
      <c r="D92" s="179"/>
      <c r="E92" s="174" t="s">
        <v>170</v>
      </c>
      <c r="F92" s="175">
        <v>4725.0559999999996</v>
      </c>
      <c r="G92" s="176">
        <v>0</v>
      </c>
      <c r="H92" s="176">
        <v>19021</v>
      </c>
    </row>
    <row r="93" spans="1:8" s="14" customFormat="1" x14ac:dyDescent="0.2">
      <c r="A93" s="180">
        <v>71807</v>
      </c>
      <c r="B93" s="179" t="s">
        <v>164</v>
      </c>
      <c r="C93" s="174">
        <v>672</v>
      </c>
      <c r="D93" s="179"/>
      <c r="E93" s="174" t="s">
        <v>171</v>
      </c>
      <c r="F93" s="175">
        <v>4604.6369999999997</v>
      </c>
      <c r="G93" s="176">
        <v>0</v>
      </c>
      <c r="H93" s="176">
        <v>3806</v>
      </c>
    </row>
    <row r="94" spans="1:8" s="14" customFormat="1" x14ac:dyDescent="0.2">
      <c r="A94" s="180">
        <v>71809</v>
      </c>
      <c r="B94" s="179" t="s">
        <v>0</v>
      </c>
      <c r="C94" s="174">
        <v>1240</v>
      </c>
      <c r="D94" s="179"/>
      <c r="E94" s="174" t="s">
        <v>170</v>
      </c>
      <c r="F94" s="175">
        <v>4604.6369999999997</v>
      </c>
      <c r="G94" s="176">
        <v>0</v>
      </c>
      <c r="H94" s="176">
        <v>0</v>
      </c>
    </row>
    <row r="95" spans="1:8" s="14" customFormat="1" x14ac:dyDescent="0.2">
      <c r="A95" s="180">
        <v>72801</v>
      </c>
      <c r="B95" s="174" t="s">
        <v>279</v>
      </c>
      <c r="C95" s="174">
        <v>10000</v>
      </c>
      <c r="D95" s="179"/>
      <c r="E95" s="174" t="s">
        <v>170</v>
      </c>
      <c r="F95" s="175">
        <v>4767.6660000000002</v>
      </c>
      <c r="G95" s="176">
        <v>0</v>
      </c>
      <c r="H95" s="176">
        <v>8036</v>
      </c>
    </row>
    <row r="96" spans="1:8" s="14" customFormat="1" x14ac:dyDescent="0.2">
      <c r="A96" s="180">
        <v>72802</v>
      </c>
      <c r="B96" s="179" t="s">
        <v>56</v>
      </c>
      <c r="C96" s="174">
        <v>600</v>
      </c>
      <c r="D96" s="179"/>
      <c r="E96" s="174" t="s">
        <v>170</v>
      </c>
      <c r="F96" s="175">
        <v>4797.308</v>
      </c>
      <c r="G96" s="176">
        <v>0</v>
      </c>
      <c r="H96" s="176">
        <v>6316</v>
      </c>
    </row>
    <row r="97" spans="1:8" s="14" customFormat="1" x14ac:dyDescent="0.2">
      <c r="A97" s="180">
        <v>84801</v>
      </c>
      <c r="B97" s="179" t="s">
        <v>102</v>
      </c>
      <c r="C97" s="174">
        <v>700</v>
      </c>
      <c r="D97" s="179"/>
      <c r="E97" s="174" t="s">
        <v>171</v>
      </c>
      <c r="F97" s="175">
        <v>4827.8760000000002</v>
      </c>
      <c r="G97" s="176">
        <v>0</v>
      </c>
      <c r="H97" s="176">
        <v>14642</v>
      </c>
    </row>
    <row r="98" spans="1:8" s="14" customFormat="1" x14ac:dyDescent="0.2">
      <c r="A98" s="180">
        <v>84802</v>
      </c>
      <c r="B98" s="179" t="s">
        <v>57</v>
      </c>
      <c r="C98" s="174">
        <v>2000</v>
      </c>
      <c r="D98" s="179"/>
      <c r="E98" s="174" t="s">
        <v>170</v>
      </c>
      <c r="F98" s="175">
        <v>4924.2110000000002</v>
      </c>
      <c r="G98" s="176">
        <v>0</v>
      </c>
      <c r="H98" s="176">
        <v>11477</v>
      </c>
    </row>
    <row r="99" spans="1:8" s="14" customFormat="1" x14ac:dyDescent="0.2">
      <c r="A99" s="180">
        <v>84804</v>
      </c>
      <c r="B99" s="179" t="s">
        <v>165</v>
      </c>
      <c r="C99" s="174">
        <v>600</v>
      </c>
      <c r="D99" s="179"/>
      <c r="E99" s="174" t="s">
        <v>171</v>
      </c>
      <c r="F99" s="175">
        <v>4604.6369999999997</v>
      </c>
      <c r="G99" s="176">
        <v>0</v>
      </c>
      <c r="H99" s="176">
        <v>4559</v>
      </c>
    </row>
    <row r="100" spans="1:8" s="14" customFormat="1" x14ac:dyDescent="0.2">
      <c r="A100" s="180">
        <v>84805</v>
      </c>
      <c r="B100" s="179" t="s">
        <v>256</v>
      </c>
      <c r="C100" s="174">
        <v>700</v>
      </c>
      <c r="D100" s="179"/>
      <c r="E100" s="174" t="s">
        <v>171</v>
      </c>
      <c r="F100" s="175">
        <v>4604.6369999999997</v>
      </c>
      <c r="G100" s="176">
        <v>0</v>
      </c>
      <c r="H100" s="176">
        <v>0</v>
      </c>
    </row>
    <row r="101" spans="1:8" s="14" customFormat="1" x14ac:dyDescent="0.2">
      <c r="A101" s="180">
        <v>92801</v>
      </c>
      <c r="B101" s="179" t="s">
        <v>58</v>
      </c>
      <c r="C101" s="174">
        <v>500</v>
      </c>
      <c r="D101" s="179"/>
      <c r="E101" s="174" t="s">
        <v>170</v>
      </c>
      <c r="F101" s="175">
        <v>4838.991</v>
      </c>
      <c r="G101" s="176">
        <v>0</v>
      </c>
      <c r="H101" s="176">
        <v>4981</v>
      </c>
    </row>
    <row r="102" spans="1:8" s="14" customFormat="1" x14ac:dyDescent="0.2">
      <c r="A102" s="180">
        <v>101801</v>
      </c>
      <c r="B102" s="179" t="s">
        <v>103</v>
      </c>
      <c r="C102" s="174">
        <v>620</v>
      </c>
      <c r="D102" s="179"/>
      <c r="E102" s="174" t="s">
        <v>171</v>
      </c>
      <c r="F102" s="175">
        <v>4627.7950000000001</v>
      </c>
      <c r="G102" s="176">
        <v>0</v>
      </c>
      <c r="H102" s="176">
        <v>6867</v>
      </c>
    </row>
    <row r="103" spans="1:8" s="14" customFormat="1" x14ac:dyDescent="0.2">
      <c r="A103" s="180">
        <v>101802</v>
      </c>
      <c r="B103" s="179" t="s">
        <v>104</v>
      </c>
      <c r="C103" s="174">
        <v>1500</v>
      </c>
      <c r="D103" s="179"/>
      <c r="E103" s="174" t="s">
        <v>171</v>
      </c>
      <c r="F103" s="175">
        <v>4767.6660000000002</v>
      </c>
      <c r="G103" s="176">
        <v>0</v>
      </c>
      <c r="H103" s="176">
        <v>19678</v>
      </c>
    </row>
    <row r="104" spans="1:8" s="14" customFormat="1" x14ac:dyDescent="0.2">
      <c r="A104" s="180">
        <v>101803</v>
      </c>
      <c r="B104" s="174" t="s">
        <v>271</v>
      </c>
      <c r="C104" s="174">
        <v>440</v>
      </c>
      <c r="D104" s="179"/>
      <c r="E104" s="174" t="s">
        <v>170</v>
      </c>
      <c r="F104" s="175">
        <v>4706.53</v>
      </c>
      <c r="G104" s="176">
        <v>0</v>
      </c>
      <c r="H104" s="176">
        <v>8781</v>
      </c>
    </row>
    <row r="105" spans="1:8" s="14" customFormat="1" x14ac:dyDescent="0.2">
      <c r="A105" s="180">
        <v>101804</v>
      </c>
      <c r="B105" s="179" t="s">
        <v>24</v>
      </c>
      <c r="C105" s="174">
        <v>1450</v>
      </c>
      <c r="D105" s="179"/>
      <c r="E105" s="174" t="s">
        <v>171</v>
      </c>
      <c r="F105" s="175">
        <v>4891.79</v>
      </c>
      <c r="G105" s="176">
        <v>18469</v>
      </c>
      <c r="H105" s="176">
        <v>20194</v>
      </c>
    </row>
    <row r="106" spans="1:8" s="14" customFormat="1" x14ac:dyDescent="0.2">
      <c r="A106" s="180">
        <v>101805</v>
      </c>
      <c r="B106" s="174" t="s">
        <v>274</v>
      </c>
      <c r="C106" s="174">
        <v>1500</v>
      </c>
      <c r="D106" s="179"/>
      <c r="E106" s="174" t="s">
        <v>170</v>
      </c>
      <c r="F106" s="175">
        <v>4820.4650000000001</v>
      </c>
      <c r="G106" s="176">
        <v>0</v>
      </c>
      <c r="H106" s="176">
        <v>24521</v>
      </c>
    </row>
    <row r="107" spans="1:8" s="14" customFormat="1" x14ac:dyDescent="0.2">
      <c r="A107" s="180">
        <v>101806</v>
      </c>
      <c r="B107" s="179" t="s">
        <v>107</v>
      </c>
      <c r="C107" s="174">
        <v>1330</v>
      </c>
      <c r="D107" s="179"/>
      <c r="E107" s="174" t="s">
        <v>170</v>
      </c>
      <c r="F107" s="175">
        <v>4772.2979999999998</v>
      </c>
      <c r="G107" s="176">
        <v>48529</v>
      </c>
      <c r="H107" s="176">
        <v>31473</v>
      </c>
    </row>
    <row r="108" spans="1:8" s="14" customFormat="1" ht="15" x14ac:dyDescent="0.25">
      <c r="A108" s="185">
        <v>101807</v>
      </c>
      <c r="B108" s="187" t="s">
        <v>25</v>
      </c>
      <c r="C108" s="174">
        <v>138</v>
      </c>
      <c r="D108" s="179"/>
      <c r="E108" s="174" t="s">
        <v>171</v>
      </c>
      <c r="F108" s="175">
        <v>4822.3180000000002</v>
      </c>
      <c r="G108" s="176">
        <v>0</v>
      </c>
      <c r="H108" s="176">
        <v>3816</v>
      </c>
    </row>
    <row r="109" spans="1:8" s="14" customFormat="1" x14ac:dyDescent="0.2">
      <c r="A109" s="180">
        <v>101809</v>
      </c>
      <c r="B109" s="179" t="s">
        <v>108</v>
      </c>
      <c r="C109" s="174">
        <v>1000</v>
      </c>
      <c r="D109" s="179"/>
      <c r="E109" s="174" t="s">
        <v>170</v>
      </c>
      <c r="F109" s="175">
        <v>4826.9489999999996</v>
      </c>
      <c r="G109" s="176">
        <v>0</v>
      </c>
      <c r="H109" s="176">
        <v>9165</v>
      </c>
    </row>
    <row r="110" spans="1:8" s="14" customFormat="1" x14ac:dyDescent="0.2">
      <c r="A110" s="180">
        <v>101810</v>
      </c>
      <c r="B110" s="179" t="s">
        <v>109</v>
      </c>
      <c r="C110" s="174">
        <v>750</v>
      </c>
      <c r="D110" s="179"/>
      <c r="E110" s="174" t="s">
        <v>170</v>
      </c>
      <c r="F110" s="175">
        <v>4791.75</v>
      </c>
      <c r="G110" s="176">
        <v>0</v>
      </c>
      <c r="H110" s="176">
        <v>15800</v>
      </c>
    </row>
    <row r="111" spans="1:8" s="14" customFormat="1" x14ac:dyDescent="0.2">
      <c r="A111" s="180">
        <v>101811</v>
      </c>
      <c r="B111" s="179" t="s">
        <v>110</v>
      </c>
      <c r="C111" s="174">
        <v>1000</v>
      </c>
      <c r="D111" s="182"/>
      <c r="E111" s="174" t="s">
        <v>171</v>
      </c>
      <c r="F111" s="175">
        <v>4743.5820000000003</v>
      </c>
      <c r="G111" s="176">
        <v>0</v>
      </c>
      <c r="H111" s="176">
        <v>26765</v>
      </c>
    </row>
    <row r="112" spans="1:8" s="14" customFormat="1" x14ac:dyDescent="0.2">
      <c r="A112" s="180">
        <v>101813</v>
      </c>
      <c r="B112" s="179" t="s">
        <v>111</v>
      </c>
      <c r="C112" s="174">
        <v>17900</v>
      </c>
      <c r="D112" s="179"/>
      <c r="E112" s="174" t="s">
        <v>171</v>
      </c>
      <c r="F112" s="175">
        <v>4758.9970000000003</v>
      </c>
      <c r="G112" s="176">
        <v>359292</v>
      </c>
      <c r="H112" s="176">
        <v>91829</v>
      </c>
    </row>
    <row r="113" spans="1:8" s="14" customFormat="1" x14ac:dyDescent="0.2">
      <c r="A113" s="180">
        <v>101814</v>
      </c>
      <c r="B113" s="179" t="s">
        <v>112</v>
      </c>
      <c r="C113" s="174">
        <v>2500</v>
      </c>
      <c r="D113" s="179"/>
      <c r="E113" s="174" t="s">
        <v>170</v>
      </c>
      <c r="F113" s="175">
        <v>4730.6139999999996</v>
      </c>
      <c r="G113" s="176">
        <v>119565</v>
      </c>
      <c r="H113" s="176">
        <v>43740</v>
      </c>
    </row>
    <row r="114" spans="1:8" s="14" customFormat="1" x14ac:dyDescent="0.2">
      <c r="A114" s="180">
        <v>101815</v>
      </c>
      <c r="B114" s="179" t="s">
        <v>113</v>
      </c>
      <c r="C114" s="174">
        <v>350</v>
      </c>
      <c r="D114" s="179"/>
      <c r="E114" s="174" t="s">
        <v>170</v>
      </c>
      <c r="F114" s="175">
        <v>4608.3429999999998</v>
      </c>
      <c r="G114" s="176">
        <v>0</v>
      </c>
      <c r="H114" s="176">
        <v>6218</v>
      </c>
    </row>
    <row r="115" spans="1:8" s="14" customFormat="1" x14ac:dyDescent="0.2">
      <c r="A115" s="180">
        <v>101819</v>
      </c>
      <c r="B115" s="179" t="s">
        <v>26</v>
      </c>
      <c r="C115" s="174">
        <v>1500</v>
      </c>
      <c r="D115" s="179"/>
      <c r="E115" s="174" t="s">
        <v>171</v>
      </c>
      <c r="F115" s="175">
        <v>4748.2139999999999</v>
      </c>
      <c r="G115" s="176">
        <v>0</v>
      </c>
      <c r="H115" s="176">
        <v>15602</v>
      </c>
    </row>
    <row r="116" spans="1:8" s="55" customFormat="1" x14ac:dyDescent="0.2">
      <c r="A116" s="180">
        <v>101821</v>
      </c>
      <c r="B116" s="179" t="s">
        <v>27</v>
      </c>
      <c r="C116" s="174">
        <v>450</v>
      </c>
      <c r="D116" s="179"/>
      <c r="E116" s="174" t="s">
        <v>171</v>
      </c>
      <c r="F116" s="175">
        <v>4824.17</v>
      </c>
      <c r="G116" s="176">
        <v>0</v>
      </c>
      <c r="H116" s="176">
        <v>7250</v>
      </c>
    </row>
    <row r="117" spans="1:8" s="14" customFormat="1" x14ac:dyDescent="0.2">
      <c r="A117" s="180">
        <v>101822</v>
      </c>
      <c r="B117" s="179" t="s">
        <v>115</v>
      </c>
      <c r="C117" s="174">
        <v>400</v>
      </c>
      <c r="D117" s="179"/>
      <c r="E117" s="174" t="s">
        <v>170</v>
      </c>
      <c r="F117" s="175">
        <v>4836.2120000000004</v>
      </c>
      <c r="G117" s="176">
        <v>43613</v>
      </c>
      <c r="H117" s="176">
        <v>5682</v>
      </c>
    </row>
    <row r="118" spans="1:8" s="14" customFormat="1" x14ac:dyDescent="0.2">
      <c r="A118" s="180">
        <v>101828</v>
      </c>
      <c r="B118" s="179" t="s">
        <v>28</v>
      </c>
      <c r="C118" s="174">
        <v>2400</v>
      </c>
      <c r="D118" s="179"/>
      <c r="E118" s="174" t="s">
        <v>171</v>
      </c>
      <c r="F118" s="175">
        <v>4763.9610000000002</v>
      </c>
      <c r="G118" s="176">
        <v>0</v>
      </c>
      <c r="H118" s="176">
        <v>24455</v>
      </c>
    </row>
    <row r="119" spans="1:8" s="14" customFormat="1" x14ac:dyDescent="0.2">
      <c r="A119" s="180">
        <v>101829</v>
      </c>
      <c r="B119" s="179" t="s">
        <v>59</v>
      </c>
      <c r="C119" s="174">
        <v>400</v>
      </c>
      <c r="D119" s="179"/>
      <c r="E119" s="174" t="s">
        <v>170</v>
      </c>
      <c r="F119" s="175">
        <v>4789.8969999999999</v>
      </c>
      <c r="G119" s="176">
        <v>0</v>
      </c>
      <c r="H119" s="176">
        <v>3557</v>
      </c>
    </row>
    <row r="120" spans="1:8" s="14" customFormat="1" x14ac:dyDescent="0.2">
      <c r="A120" s="180">
        <v>101833</v>
      </c>
      <c r="B120" s="179" t="s">
        <v>60</v>
      </c>
      <c r="C120" s="174">
        <v>600</v>
      </c>
      <c r="D120" s="179"/>
      <c r="E120" s="174" t="s">
        <v>170</v>
      </c>
      <c r="F120" s="175">
        <v>4723.2039999999997</v>
      </c>
      <c r="G120" s="176">
        <v>0</v>
      </c>
      <c r="H120" s="176">
        <v>6104</v>
      </c>
    </row>
    <row r="121" spans="1:8" s="14" customFormat="1" x14ac:dyDescent="0.2">
      <c r="A121" s="180">
        <v>101837</v>
      </c>
      <c r="B121" s="179" t="s">
        <v>32</v>
      </c>
      <c r="C121" s="174">
        <v>750</v>
      </c>
      <c r="D121" s="179"/>
      <c r="E121" s="174" t="s">
        <v>170</v>
      </c>
      <c r="F121" s="175">
        <v>4851.9589999999998</v>
      </c>
      <c r="G121" s="176">
        <v>31476</v>
      </c>
      <c r="H121" s="176">
        <v>9088</v>
      </c>
    </row>
    <row r="122" spans="1:8" s="14" customFormat="1" x14ac:dyDescent="0.2">
      <c r="A122" s="180">
        <v>101838</v>
      </c>
      <c r="B122" s="179" t="s">
        <v>33</v>
      </c>
      <c r="C122" s="174">
        <v>4250</v>
      </c>
      <c r="D122" s="179"/>
      <c r="E122" s="174" t="s">
        <v>171</v>
      </c>
      <c r="F122" s="175">
        <v>4786.192</v>
      </c>
      <c r="G122" s="176">
        <v>0</v>
      </c>
      <c r="H122" s="176">
        <v>32090</v>
      </c>
    </row>
    <row r="123" spans="1:8" s="14" customFormat="1" x14ac:dyDescent="0.2">
      <c r="A123" s="180">
        <v>101840</v>
      </c>
      <c r="B123" s="179" t="s">
        <v>61</v>
      </c>
      <c r="C123" s="174">
        <v>700</v>
      </c>
      <c r="D123" s="179"/>
      <c r="E123" s="174" t="s">
        <v>170</v>
      </c>
      <c r="F123" s="175">
        <v>4604.6369999999997</v>
      </c>
      <c r="G123" s="176">
        <v>0</v>
      </c>
      <c r="H123" s="176">
        <v>12974</v>
      </c>
    </row>
    <row r="124" spans="1:8" s="14" customFormat="1" x14ac:dyDescent="0.2">
      <c r="A124" s="180">
        <v>101842</v>
      </c>
      <c r="B124" s="179" t="s">
        <v>62</v>
      </c>
      <c r="C124" s="174">
        <v>700</v>
      </c>
      <c r="D124" s="179"/>
      <c r="E124" s="174" t="s">
        <v>170</v>
      </c>
      <c r="F124" s="175">
        <v>4914.0219999999999</v>
      </c>
      <c r="G124" s="176">
        <v>0</v>
      </c>
      <c r="H124" s="176">
        <v>2818</v>
      </c>
    </row>
    <row r="125" spans="1:8" s="14" customFormat="1" x14ac:dyDescent="0.2">
      <c r="A125" s="180">
        <v>101845</v>
      </c>
      <c r="B125" s="174" t="s">
        <v>291</v>
      </c>
      <c r="C125" s="174">
        <v>10000</v>
      </c>
      <c r="D125" s="179"/>
      <c r="E125" s="174" t="s">
        <v>170</v>
      </c>
      <c r="F125" s="175">
        <v>4903.8320000000003</v>
      </c>
      <c r="G125" s="176">
        <v>466563</v>
      </c>
      <c r="H125" s="176">
        <v>84870</v>
      </c>
    </row>
    <row r="126" spans="1:8" s="14" customFormat="1" x14ac:dyDescent="0.2">
      <c r="A126" s="180">
        <v>101846</v>
      </c>
      <c r="B126" s="174" t="s">
        <v>64</v>
      </c>
      <c r="C126" s="174">
        <v>7000</v>
      </c>
      <c r="D126" s="179"/>
      <c r="E126" s="174" t="s">
        <v>170</v>
      </c>
      <c r="F126" s="175">
        <v>4773.18</v>
      </c>
      <c r="G126" s="176">
        <v>0</v>
      </c>
      <c r="H126" s="176">
        <v>46024</v>
      </c>
    </row>
    <row r="127" spans="1:8" s="55" customFormat="1" x14ac:dyDescent="0.2">
      <c r="A127" s="180">
        <v>101847</v>
      </c>
      <c r="B127" s="179" t="s">
        <v>65</v>
      </c>
      <c r="C127" s="174">
        <v>650</v>
      </c>
      <c r="D127" s="179"/>
      <c r="E127" s="174" t="s">
        <v>170</v>
      </c>
      <c r="F127" s="175">
        <v>4687.0780000000004</v>
      </c>
      <c r="G127" s="176">
        <v>0</v>
      </c>
      <c r="H127" s="176">
        <v>12838</v>
      </c>
    </row>
    <row r="128" spans="1:8" s="14" customFormat="1" x14ac:dyDescent="0.2">
      <c r="A128" s="180">
        <v>101848</v>
      </c>
      <c r="B128" s="179" t="s">
        <v>66</v>
      </c>
      <c r="C128" s="174">
        <v>500</v>
      </c>
      <c r="D128" s="179"/>
      <c r="E128" s="174" t="s">
        <v>170</v>
      </c>
      <c r="F128" s="175">
        <v>4893.643</v>
      </c>
      <c r="G128" s="176">
        <v>39619</v>
      </c>
      <c r="H128" s="176">
        <v>12500</v>
      </c>
    </row>
    <row r="129" spans="1:8" s="14" customFormat="1" x14ac:dyDescent="0.2">
      <c r="A129" s="180">
        <v>101849</v>
      </c>
      <c r="B129" s="179" t="s">
        <v>34</v>
      </c>
      <c r="C129" s="174">
        <v>1300</v>
      </c>
      <c r="D129" s="179"/>
      <c r="E129" s="174" t="s">
        <v>170</v>
      </c>
      <c r="F129" s="175">
        <v>4765.8140000000003</v>
      </c>
      <c r="G129" s="176">
        <v>26516</v>
      </c>
      <c r="H129" s="176">
        <v>17296</v>
      </c>
    </row>
    <row r="130" spans="1:8" s="14" customFormat="1" x14ac:dyDescent="0.2">
      <c r="A130" s="180">
        <v>101850</v>
      </c>
      <c r="B130" s="179" t="s">
        <v>35</v>
      </c>
      <c r="C130" s="174">
        <v>1000</v>
      </c>
      <c r="D130" s="179"/>
      <c r="E130" s="174" t="s">
        <v>170</v>
      </c>
      <c r="F130" s="175">
        <v>4806.5709999999999</v>
      </c>
      <c r="G130" s="176">
        <v>64608</v>
      </c>
      <c r="H130" s="176">
        <v>15295</v>
      </c>
    </row>
    <row r="131" spans="1:8" s="14" customFormat="1" x14ac:dyDescent="0.2">
      <c r="A131" s="180">
        <v>101853</v>
      </c>
      <c r="B131" s="174" t="s">
        <v>280</v>
      </c>
      <c r="C131" s="174">
        <v>2500</v>
      </c>
      <c r="D131" s="179"/>
      <c r="E131" s="174" t="s">
        <v>171</v>
      </c>
      <c r="F131" s="175">
        <v>4694.4880000000003</v>
      </c>
      <c r="G131" s="176">
        <v>0</v>
      </c>
      <c r="H131" s="176">
        <v>32243</v>
      </c>
    </row>
    <row r="132" spans="1:8" s="14" customFormat="1" x14ac:dyDescent="0.2">
      <c r="A132" s="180">
        <v>101855</v>
      </c>
      <c r="B132" s="179" t="s">
        <v>13</v>
      </c>
      <c r="C132" s="174">
        <v>500</v>
      </c>
      <c r="D132" s="179"/>
      <c r="E132" s="174" t="s">
        <v>171</v>
      </c>
      <c r="F132" s="175">
        <v>4734.3190000000004</v>
      </c>
      <c r="G132" s="176">
        <v>11565</v>
      </c>
      <c r="H132" s="176">
        <v>5112</v>
      </c>
    </row>
    <row r="133" spans="1:8" s="72" customFormat="1" x14ac:dyDescent="0.2">
      <c r="A133" s="180">
        <v>101856</v>
      </c>
      <c r="B133" s="179" t="s">
        <v>67</v>
      </c>
      <c r="C133" s="174">
        <v>500</v>
      </c>
      <c r="D133" s="179"/>
      <c r="E133" s="174" t="s">
        <v>171</v>
      </c>
      <c r="F133" s="175">
        <v>4671.3310000000001</v>
      </c>
      <c r="G133" s="176">
        <v>0</v>
      </c>
      <c r="H133" s="176">
        <v>9296</v>
      </c>
    </row>
    <row r="134" spans="1:8" s="14" customFormat="1" x14ac:dyDescent="0.2">
      <c r="A134" s="180">
        <v>101858</v>
      </c>
      <c r="B134" s="174" t="s">
        <v>153</v>
      </c>
      <c r="C134" s="174">
        <v>7000</v>
      </c>
      <c r="D134" s="179"/>
      <c r="E134" s="174" t="s">
        <v>170</v>
      </c>
      <c r="F134" s="175">
        <v>4743.5820000000003</v>
      </c>
      <c r="G134" s="176">
        <v>0</v>
      </c>
      <c r="H134" s="176">
        <v>18083</v>
      </c>
    </row>
    <row r="135" spans="1:8" s="14" customFormat="1" x14ac:dyDescent="0.2">
      <c r="A135" s="180">
        <v>101859</v>
      </c>
      <c r="B135" s="179" t="s">
        <v>14</v>
      </c>
      <c r="C135" s="174">
        <v>440</v>
      </c>
      <c r="D135" s="179"/>
      <c r="E135" s="174" t="s">
        <v>171</v>
      </c>
      <c r="F135" s="175">
        <v>4604.6369999999997</v>
      </c>
      <c r="G135" s="176">
        <v>0</v>
      </c>
      <c r="H135" s="176">
        <v>6412</v>
      </c>
    </row>
    <row r="136" spans="1:8" s="14" customFormat="1" x14ac:dyDescent="0.2">
      <c r="A136" s="180">
        <v>101861</v>
      </c>
      <c r="B136" s="179" t="s">
        <v>169</v>
      </c>
      <c r="C136" s="174">
        <v>750</v>
      </c>
      <c r="D136" s="179"/>
      <c r="E136" s="174" t="s">
        <v>171</v>
      </c>
      <c r="F136" s="175">
        <v>4604.6369999999997</v>
      </c>
      <c r="G136" s="176">
        <v>0</v>
      </c>
      <c r="H136" s="176">
        <v>4393</v>
      </c>
    </row>
    <row r="137" spans="1:8" s="14" customFormat="1" x14ac:dyDescent="0.2">
      <c r="A137" s="180">
        <v>101862</v>
      </c>
      <c r="B137" s="179" t="s">
        <v>40</v>
      </c>
      <c r="C137" s="174">
        <v>1500</v>
      </c>
      <c r="D137" s="179"/>
      <c r="E137" s="174" t="s">
        <v>170</v>
      </c>
      <c r="F137" s="175">
        <v>4725.0559999999996</v>
      </c>
      <c r="G137" s="176">
        <v>0</v>
      </c>
      <c r="H137" s="176">
        <v>10856</v>
      </c>
    </row>
    <row r="138" spans="1:8" s="14" customFormat="1" x14ac:dyDescent="0.2">
      <c r="A138" s="180">
        <v>101863</v>
      </c>
      <c r="B138" s="179" t="s">
        <v>2</v>
      </c>
      <c r="C138" s="174">
        <v>425</v>
      </c>
      <c r="D138" s="179"/>
      <c r="E138" s="174" t="s">
        <v>171</v>
      </c>
      <c r="F138" s="175">
        <v>4604.6369999999997</v>
      </c>
      <c r="G138" s="176">
        <v>0</v>
      </c>
      <c r="H138" s="176">
        <v>0</v>
      </c>
    </row>
    <row r="139" spans="1:8" s="14" customFormat="1" x14ac:dyDescent="0.2">
      <c r="A139" s="180">
        <v>101864</v>
      </c>
      <c r="B139" s="174" t="s">
        <v>290</v>
      </c>
      <c r="C139" s="174">
        <v>1080</v>
      </c>
      <c r="D139" s="179"/>
      <c r="E139" s="174" t="s">
        <v>171</v>
      </c>
      <c r="F139" s="175">
        <v>4604.6369999999997</v>
      </c>
      <c r="G139" s="176">
        <v>0</v>
      </c>
      <c r="H139" s="176">
        <v>0</v>
      </c>
    </row>
    <row r="140" spans="1:8" s="14" customFormat="1" x14ac:dyDescent="0.2">
      <c r="A140" s="180">
        <v>101865</v>
      </c>
      <c r="B140" s="179" t="s">
        <v>252</v>
      </c>
      <c r="C140" s="174">
        <v>1500</v>
      </c>
      <c r="D140" s="179"/>
      <c r="E140" s="174" t="s">
        <v>171</v>
      </c>
      <c r="F140" s="175">
        <v>4604.6369999999997</v>
      </c>
      <c r="G140" s="176">
        <v>0</v>
      </c>
      <c r="H140" s="176">
        <v>0</v>
      </c>
    </row>
    <row r="141" spans="1:8" s="14" customFormat="1" x14ac:dyDescent="0.2">
      <c r="A141" s="177">
        <v>101866</v>
      </c>
      <c r="B141" s="178" t="s">
        <v>350</v>
      </c>
      <c r="C141" s="174">
        <v>500</v>
      </c>
      <c r="D141" s="179"/>
      <c r="E141" s="174" t="s">
        <v>171</v>
      </c>
      <c r="F141" s="175">
        <v>4604.6369999999997</v>
      </c>
      <c r="G141" s="176">
        <v>0</v>
      </c>
      <c r="H141" s="176">
        <v>0</v>
      </c>
    </row>
    <row r="142" spans="1:8" s="14" customFormat="1" x14ac:dyDescent="0.2">
      <c r="A142" s="183">
        <v>101867</v>
      </c>
      <c r="B142" s="184" t="s">
        <v>319</v>
      </c>
      <c r="C142" s="174">
        <v>1280</v>
      </c>
      <c r="D142" s="179"/>
      <c r="E142" s="174" t="s">
        <v>171</v>
      </c>
      <c r="F142" s="175">
        <v>4604.6369999999997</v>
      </c>
      <c r="G142" s="176">
        <v>0</v>
      </c>
      <c r="H142" s="176">
        <v>0</v>
      </c>
    </row>
    <row r="143" spans="1:8" s="14" customFormat="1" x14ac:dyDescent="0.2">
      <c r="A143" s="177">
        <v>101868</v>
      </c>
      <c r="B143" s="178" t="s">
        <v>351</v>
      </c>
      <c r="C143" s="174">
        <v>800</v>
      </c>
      <c r="D143" s="179"/>
      <c r="E143" s="174" t="s">
        <v>171</v>
      </c>
      <c r="F143" s="175">
        <v>4604.6369999999997</v>
      </c>
      <c r="G143" s="176">
        <v>0</v>
      </c>
      <c r="H143" s="176">
        <v>0</v>
      </c>
    </row>
    <row r="144" spans="1:8" s="14" customFormat="1" x14ac:dyDescent="0.2">
      <c r="A144" s="177">
        <v>101869</v>
      </c>
      <c r="B144" s="178" t="s">
        <v>352</v>
      </c>
      <c r="C144" s="174">
        <v>850</v>
      </c>
      <c r="D144" s="179"/>
      <c r="E144" s="174" t="s">
        <v>171</v>
      </c>
      <c r="F144" s="175">
        <v>4604.6369999999997</v>
      </c>
      <c r="G144" s="176">
        <v>0</v>
      </c>
      <c r="H144" s="176">
        <v>0</v>
      </c>
    </row>
    <row r="145" spans="1:8" s="14" customFormat="1" x14ac:dyDescent="0.2">
      <c r="A145" s="180">
        <v>105801</v>
      </c>
      <c r="B145" s="179" t="s">
        <v>68</v>
      </c>
      <c r="C145" s="174">
        <v>300</v>
      </c>
      <c r="D145" s="179"/>
      <c r="E145" s="174" t="s">
        <v>170</v>
      </c>
      <c r="F145" s="175">
        <v>5353.0879999999997</v>
      </c>
      <c r="G145" s="176">
        <v>44710</v>
      </c>
      <c r="H145" s="176">
        <v>3597</v>
      </c>
    </row>
    <row r="146" spans="1:8" s="14" customFormat="1" x14ac:dyDescent="0.2">
      <c r="A146" s="180">
        <v>105802</v>
      </c>
      <c r="B146" s="179" t="s">
        <v>15</v>
      </c>
      <c r="C146" s="174">
        <v>635</v>
      </c>
      <c r="D146" s="179"/>
      <c r="E146" s="174" t="s">
        <v>170</v>
      </c>
      <c r="F146" s="175">
        <v>4708.3829999999998</v>
      </c>
      <c r="G146" s="176">
        <v>0</v>
      </c>
      <c r="H146" s="176">
        <v>2925</v>
      </c>
    </row>
    <row r="147" spans="1:8" s="14" customFormat="1" x14ac:dyDescent="0.2">
      <c r="A147" s="180">
        <v>108801</v>
      </c>
      <c r="B147" s="174" t="s">
        <v>223</v>
      </c>
      <c r="C147" s="174">
        <v>1250</v>
      </c>
      <c r="D147" s="179"/>
      <c r="E147" s="174" t="s">
        <v>170</v>
      </c>
      <c r="F147" s="175">
        <v>4706.53</v>
      </c>
      <c r="G147" s="176">
        <v>0</v>
      </c>
      <c r="H147" s="176">
        <v>25472</v>
      </c>
    </row>
    <row r="148" spans="1:8" s="14" customFormat="1" x14ac:dyDescent="0.2">
      <c r="A148" s="180">
        <v>108802</v>
      </c>
      <c r="B148" s="174" t="s">
        <v>283</v>
      </c>
      <c r="C148" s="174">
        <v>2000</v>
      </c>
      <c r="D148" s="179"/>
      <c r="E148" s="174" t="s">
        <v>170</v>
      </c>
      <c r="F148" s="175">
        <v>4611.1210000000001</v>
      </c>
      <c r="G148" s="176">
        <v>0</v>
      </c>
      <c r="H148" s="176">
        <v>16256</v>
      </c>
    </row>
    <row r="149" spans="1:8" s="14" customFormat="1" x14ac:dyDescent="0.2">
      <c r="A149" s="180">
        <v>108804</v>
      </c>
      <c r="B149" s="179" t="s">
        <v>224</v>
      </c>
      <c r="C149" s="174">
        <v>700</v>
      </c>
      <c r="D149" s="179"/>
      <c r="E149" s="174" t="s">
        <v>170</v>
      </c>
      <c r="F149" s="175">
        <v>4773.2240000000002</v>
      </c>
      <c r="G149" s="176">
        <v>0</v>
      </c>
      <c r="H149" s="176">
        <v>9199</v>
      </c>
    </row>
    <row r="150" spans="1:8" s="14" customFormat="1" x14ac:dyDescent="0.2">
      <c r="A150" s="180">
        <v>108807</v>
      </c>
      <c r="B150" s="174" t="s">
        <v>276</v>
      </c>
      <c r="C150" s="174">
        <v>30000</v>
      </c>
      <c r="D150" s="179"/>
      <c r="E150" s="174" t="s">
        <v>170</v>
      </c>
      <c r="F150" s="175">
        <v>4697.2669999999998</v>
      </c>
      <c r="G150" s="176">
        <v>563496</v>
      </c>
      <c r="H150" s="176">
        <v>120568</v>
      </c>
    </row>
    <row r="151" spans="1:8" s="14" customFormat="1" x14ac:dyDescent="0.2">
      <c r="A151" s="180">
        <v>108808</v>
      </c>
      <c r="B151" s="179" t="s">
        <v>225</v>
      </c>
      <c r="C151" s="174">
        <v>2000</v>
      </c>
      <c r="D151" s="179"/>
      <c r="E151" s="174" t="s">
        <v>171</v>
      </c>
      <c r="F151" s="175">
        <v>4604.6369999999997</v>
      </c>
      <c r="G151" s="176">
        <v>0</v>
      </c>
      <c r="H151" s="176">
        <v>19656</v>
      </c>
    </row>
    <row r="152" spans="1:8" s="14" customFormat="1" x14ac:dyDescent="0.2">
      <c r="A152" s="180">
        <v>108809</v>
      </c>
      <c r="B152" s="174" t="s">
        <v>320</v>
      </c>
      <c r="C152" s="174">
        <v>600</v>
      </c>
      <c r="D152" s="179"/>
      <c r="E152" s="174" t="s">
        <v>171</v>
      </c>
      <c r="F152" s="175">
        <v>4604.6369999999997</v>
      </c>
      <c r="G152" s="176">
        <v>0</v>
      </c>
      <c r="H152" s="176">
        <v>0</v>
      </c>
    </row>
    <row r="153" spans="1:8" s="14" customFormat="1" x14ac:dyDescent="0.2">
      <c r="A153" s="180">
        <v>116801</v>
      </c>
      <c r="B153" s="179" t="s">
        <v>16</v>
      </c>
      <c r="C153" s="174">
        <v>800</v>
      </c>
      <c r="D153" s="179"/>
      <c r="E153" s="174" t="s">
        <v>170</v>
      </c>
      <c r="F153" s="175">
        <v>4851.0330000000004</v>
      </c>
      <c r="G153" s="176">
        <v>0</v>
      </c>
      <c r="H153" s="176">
        <v>15438</v>
      </c>
    </row>
    <row r="154" spans="1:8" s="14" customFormat="1" x14ac:dyDescent="0.2">
      <c r="A154" s="180">
        <v>123803</v>
      </c>
      <c r="B154" s="179" t="s">
        <v>17</v>
      </c>
      <c r="C154" s="174">
        <v>1500</v>
      </c>
      <c r="D154" s="179"/>
      <c r="E154" s="174" t="s">
        <v>170</v>
      </c>
      <c r="F154" s="175">
        <v>4978.8630000000003</v>
      </c>
      <c r="G154" s="176">
        <v>44080</v>
      </c>
      <c r="H154" s="176">
        <v>12000</v>
      </c>
    </row>
    <row r="155" spans="1:8" s="14" customFormat="1" x14ac:dyDescent="0.2">
      <c r="A155" s="180">
        <v>123805</v>
      </c>
      <c r="B155" s="179" t="s">
        <v>18</v>
      </c>
      <c r="C155" s="174">
        <v>500</v>
      </c>
      <c r="D155" s="179"/>
      <c r="E155" s="174" t="s">
        <v>170</v>
      </c>
      <c r="F155" s="175">
        <v>4794.5290000000005</v>
      </c>
      <c r="G155" s="176">
        <v>0</v>
      </c>
      <c r="H155" s="176">
        <v>6273</v>
      </c>
    </row>
    <row r="156" spans="1:8" s="14" customFormat="1" x14ac:dyDescent="0.2">
      <c r="A156" s="180">
        <v>123807</v>
      </c>
      <c r="B156" s="179" t="s">
        <v>1</v>
      </c>
      <c r="C156" s="174">
        <v>250</v>
      </c>
      <c r="D156" s="179"/>
      <c r="E156" s="174" t="s">
        <v>171</v>
      </c>
      <c r="F156" s="175">
        <v>4604.6369999999997</v>
      </c>
      <c r="G156" s="176">
        <v>0</v>
      </c>
      <c r="H156" s="176">
        <v>0</v>
      </c>
    </row>
    <row r="157" spans="1:8" s="14" customFormat="1" x14ac:dyDescent="0.2">
      <c r="A157" s="180">
        <v>130801</v>
      </c>
      <c r="B157" s="179" t="s">
        <v>9</v>
      </c>
      <c r="C157" s="174">
        <v>240</v>
      </c>
      <c r="D157" s="179"/>
      <c r="E157" s="174" t="s">
        <v>171</v>
      </c>
      <c r="F157" s="175">
        <v>4651.8789999999999</v>
      </c>
      <c r="G157" s="176">
        <v>0</v>
      </c>
      <c r="H157" s="176">
        <v>2399</v>
      </c>
    </row>
    <row r="158" spans="1:8" s="14" customFormat="1" x14ac:dyDescent="0.2">
      <c r="A158" s="180">
        <v>152802</v>
      </c>
      <c r="B158" s="179" t="s">
        <v>226</v>
      </c>
      <c r="C158" s="174">
        <v>250</v>
      </c>
      <c r="D158" s="179"/>
      <c r="E158" s="174" t="s">
        <v>170</v>
      </c>
      <c r="F158" s="175">
        <v>4605.5640000000003</v>
      </c>
      <c r="G158" s="176">
        <v>0</v>
      </c>
      <c r="H158" s="176">
        <v>6719</v>
      </c>
    </row>
    <row r="159" spans="1:8" s="14" customFormat="1" x14ac:dyDescent="0.2">
      <c r="A159" s="180">
        <v>152803</v>
      </c>
      <c r="B159" s="179" t="s">
        <v>19</v>
      </c>
      <c r="C159" s="174">
        <v>400</v>
      </c>
      <c r="D159" s="179"/>
      <c r="E159" s="174" t="s">
        <v>170</v>
      </c>
      <c r="F159" s="175">
        <v>4728.7619999999997</v>
      </c>
      <c r="G159" s="176">
        <v>0</v>
      </c>
      <c r="H159" s="176">
        <v>4357</v>
      </c>
    </row>
    <row r="160" spans="1:8" s="14" customFormat="1" x14ac:dyDescent="0.2">
      <c r="A160" s="180">
        <v>152805</v>
      </c>
      <c r="B160" s="179" t="s">
        <v>166</v>
      </c>
      <c r="C160" s="174">
        <v>2000</v>
      </c>
      <c r="D160" s="179"/>
      <c r="E160" s="174" t="s">
        <v>170</v>
      </c>
      <c r="F160" s="175">
        <v>4755.6239999999998</v>
      </c>
      <c r="G160" s="176">
        <v>0</v>
      </c>
      <c r="H160" s="176">
        <v>8424</v>
      </c>
    </row>
    <row r="161" spans="1:8" s="14" customFormat="1" x14ac:dyDescent="0.2">
      <c r="A161" s="180">
        <v>161801</v>
      </c>
      <c r="B161" s="179" t="s">
        <v>20</v>
      </c>
      <c r="C161" s="174">
        <v>360</v>
      </c>
      <c r="D161" s="179"/>
      <c r="E161" s="174" t="s">
        <v>171</v>
      </c>
      <c r="F161" s="175">
        <v>4604.6369999999997</v>
      </c>
      <c r="G161" s="176">
        <v>0</v>
      </c>
      <c r="H161" s="176">
        <v>5949</v>
      </c>
    </row>
    <row r="162" spans="1:8" s="14" customFormat="1" x14ac:dyDescent="0.2">
      <c r="A162" s="180">
        <v>161802</v>
      </c>
      <c r="B162" s="179" t="s">
        <v>21</v>
      </c>
      <c r="C162" s="174">
        <v>950</v>
      </c>
      <c r="D162" s="179"/>
      <c r="E162" s="174" t="s">
        <v>171</v>
      </c>
      <c r="F162" s="175">
        <v>4799.16</v>
      </c>
      <c r="G162" s="176">
        <v>0</v>
      </c>
      <c r="H162" s="176">
        <v>11424</v>
      </c>
    </row>
    <row r="163" spans="1:8" s="14" customFormat="1" x14ac:dyDescent="0.2">
      <c r="A163" s="180">
        <v>161807</v>
      </c>
      <c r="B163" s="179" t="s">
        <v>168</v>
      </c>
      <c r="C163" s="174">
        <v>7000</v>
      </c>
      <c r="D163" s="179"/>
      <c r="E163" s="174" t="s">
        <v>170</v>
      </c>
      <c r="F163" s="175">
        <v>4737.098</v>
      </c>
      <c r="G163" s="176">
        <v>0</v>
      </c>
      <c r="H163" s="176">
        <v>11682</v>
      </c>
    </row>
    <row r="164" spans="1:8" s="14" customFormat="1" x14ac:dyDescent="0.2">
      <c r="A164" s="180">
        <v>165802</v>
      </c>
      <c r="B164" s="179" t="s">
        <v>227</v>
      </c>
      <c r="C164" s="174">
        <v>1170</v>
      </c>
      <c r="D164" s="179"/>
      <c r="E164" s="174" t="s">
        <v>170</v>
      </c>
      <c r="F164" s="175">
        <v>4730.6139999999996</v>
      </c>
      <c r="G164" s="176">
        <v>0</v>
      </c>
      <c r="H164" s="176">
        <v>15234</v>
      </c>
    </row>
    <row r="165" spans="1:8" s="14" customFormat="1" x14ac:dyDescent="0.2">
      <c r="A165" s="180">
        <v>170801</v>
      </c>
      <c r="B165" s="179" t="s">
        <v>191</v>
      </c>
      <c r="C165" s="174">
        <v>400</v>
      </c>
      <c r="D165" s="179"/>
      <c r="E165" s="174" t="s">
        <v>170</v>
      </c>
      <c r="F165" s="175">
        <v>4738.951</v>
      </c>
      <c r="G165" s="176">
        <v>43177</v>
      </c>
      <c r="H165" s="176">
        <v>11276</v>
      </c>
    </row>
    <row r="166" spans="1:8" s="14" customFormat="1" x14ac:dyDescent="0.2">
      <c r="A166" s="185">
        <v>174801</v>
      </c>
      <c r="B166" s="186" t="s">
        <v>10</v>
      </c>
      <c r="C166" s="174">
        <v>320</v>
      </c>
      <c r="D166" s="179"/>
      <c r="E166" s="174" t="s">
        <v>171</v>
      </c>
      <c r="F166" s="175">
        <v>4604.6369999999997</v>
      </c>
      <c r="G166" s="176">
        <v>0</v>
      </c>
      <c r="H166" s="176">
        <v>4602</v>
      </c>
    </row>
    <row r="167" spans="1:8" s="14" customFormat="1" x14ac:dyDescent="0.2">
      <c r="A167" s="180">
        <v>178801</v>
      </c>
      <c r="B167" s="174" t="s">
        <v>273</v>
      </c>
      <c r="C167" s="174">
        <v>500</v>
      </c>
      <c r="D167" s="179"/>
      <c r="E167" s="174" t="s">
        <v>170</v>
      </c>
      <c r="F167" s="175">
        <v>4688.9309999999996</v>
      </c>
      <c r="G167" s="176">
        <v>0</v>
      </c>
      <c r="H167" s="176">
        <v>7574</v>
      </c>
    </row>
    <row r="168" spans="1:8" s="14" customFormat="1" x14ac:dyDescent="0.2">
      <c r="A168" s="180">
        <v>178804</v>
      </c>
      <c r="B168" s="179" t="s">
        <v>23</v>
      </c>
      <c r="C168" s="174">
        <v>300</v>
      </c>
      <c r="D168" s="179"/>
      <c r="E168" s="174" t="s">
        <v>171</v>
      </c>
      <c r="F168" s="175">
        <v>4737.098</v>
      </c>
      <c r="G168" s="176">
        <v>0</v>
      </c>
      <c r="H168" s="176">
        <v>7440</v>
      </c>
    </row>
    <row r="169" spans="1:8" s="14" customFormat="1" x14ac:dyDescent="0.2">
      <c r="A169" s="180">
        <v>178807</v>
      </c>
      <c r="B169" s="179" t="s">
        <v>175</v>
      </c>
      <c r="C169" s="174">
        <v>300</v>
      </c>
      <c r="D169" s="179"/>
      <c r="E169" s="174" t="s">
        <v>171</v>
      </c>
      <c r="F169" s="175">
        <v>4678.741</v>
      </c>
      <c r="G169" s="176">
        <v>0</v>
      </c>
      <c r="H169" s="176">
        <v>4804</v>
      </c>
    </row>
    <row r="170" spans="1:8" s="14" customFormat="1" x14ac:dyDescent="0.2">
      <c r="A170" s="180">
        <v>178808</v>
      </c>
      <c r="B170" s="174" t="s">
        <v>282</v>
      </c>
      <c r="C170" s="174">
        <v>600</v>
      </c>
      <c r="D170" s="179"/>
      <c r="E170" s="174" t="s">
        <v>171</v>
      </c>
      <c r="F170" s="175">
        <v>4699.8249999999998</v>
      </c>
      <c r="G170" s="176">
        <v>0</v>
      </c>
      <c r="H170" s="176">
        <v>3679</v>
      </c>
    </row>
    <row r="171" spans="1:8" s="14" customFormat="1" x14ac:dyDescent="0.2">
      <c r="A171" s="180">
        <v>183801</v>
      </c>
      <c r="B171" s="179" t="s">
        <v>192</v>
      </c>
      <c r="C171" s="174">
        <v>600</v>
      </c>
      <c r="D171" s="179"/>
      <c r="E171" s="174" t="s">
        <v>170</v>
      </c>
      <c r="F171" s="175">
        <v>5003.8729999999996</v>
      </c>
      <c r="G171" s="176">
        <v>0</v>
      </c>
      <c r="H171" s="176">
        <v>4530</v>
      </c>
    </row>
    <row r="172" spans="1:8" s="14" customFormat="1" x14ac:dyDescent="0.2">
      <c r="A172" s="180">
        <v>184801</v>
      </c>
      <c r="B172" s="179" t="s">
        <v>22</v>
      </c>
      <c r="C172" s="174">
        <v>350</v>
      </c>
      <c r="D172" s="179"/>
      <c r="E172" s="174" t="s">
        <v>170</v>
      </c>
      <c r="F172" s="175">
        <v>4895.4960000000001</v>
      </c>
      <c r="G172" s="176">
        <v>0</v>
      </c>
      <c r="H172" s="176">
        <v>4613</v>
      </c>
    </row>
    <row r="173" spans="1:8" s="14" customFormat="1" x14ac:dyDescent="0.2">
      <c r="A173" s="180">
        <v>188801</v>
      </c>
      <c r="B173" s="179" t="s">
        <v>193</v>
      </c>
      <c r="C173" s="174">
        <v>300</v>
      </c>
      <c r="D173" s="179"/>
      <c r="E173" s="174" t="s">
        <v>171</v>
      </c>
      <c r="F173" s="175">
        <v>4710.2359999999999</v>
      </c>
      <c r="G173" s="176">
        <v>0</v>
      </c>
      <c r="H173" s="176">
        <v>6308</v>
      </c>
    </row>
    <row r="174" spans="1:8" s="14" customFormat="1" x14ac:dyDescent="0.2">
      <c r="A174" s="180">
        <v>193801</v>
      </c>
      <c r="B174" s="179" t="s">
        <v>194</v>
      </c>
      <c r="C174" s="174">
        <v>250</v>
      </c>
      <c r="D174" s="179"/>
      <c r="E174" s="174" t="s">
        <v>170</v>
      </c>
      <c r="F174" s="175">
        <v>4713.9409999999998</v>
      </c>
      <c r="G174" s="176">
        <v>4162</v>
      </c>
      <c r="H174" s="176">
        <v>12523</v>
      </c>
    </row>
    <row r="175" spans="1:8" s="14" customFormat="1" x14ac:dyDescent="0.2">
      <c r="A175" s="180">
        <v>212801</v>
      </c>
      <c r="B175" s="179" t="s">
        <v>195</v>
      </c>
      <c r="C175" s="174">
        <v>600</v>
      </c>
      <c r="D175" s="179"/>
      <c r="E175" s="174" t="s">
        <v>170</v>
      </c>
      <c r="F175" s="175">
        <v>4668.5519999999997</v>
      </c>
      <c r="G175" s="176">
        <v>0</v>
      </c>
      <c r="H175" s="176">
        <v>7142</v>
      </c>
    </row>
    <row r="176" spans="1:8" s="14" customFormat="1" x14ac:dyDescent="0.2">
      <c r="A176" s="180">
        <v>212803</v>
      </c>
      <c r="B176" s="179" t="s">
        <v>196</v>
      </c>
      <c r="C176" s="174">
        <v>500</v>
      </c>
      <c r="D176" s="179"/>
      <c r="E176" s="174" t="s">
        <v>171</v>
      </c>
      <c r="F176" s="175">
        <v>4647.2470000000003</v>
      </c>
      <c r="G176" s="176">
        <v>0</v>
      </c>
      <c r="H176" s="176">
        <v>9838</v>
      </c>
    </row>
    <row r="177" spans="1:8" s="14" customFormat="1" x14ac:dyDescent="0.2">
      <c r="A177" s="185">
        <v>212804</v>
      </c>
      <c r="B177" s="186" t="s">
        <v>321</v>
      </c>
      <c r="C177" s="174">
        <v>2400</v>
      </c>
      <c r="D177" s="179"/>
      <c r="E177" s="174" t="s">
        <v>171</v>
      </c>
      <c r="F177" s="175">
        <v>4604.6369999999997</v>
      </c>
      <c r="G177" s="176">
        <v>0</v>
      </c>
      <c r="H177" s="176">
        <v>0</v>
      </c>
    </row>
    <row r="178" spans="1:8" s="14" customFormat="1" x14ac:dyDescent="0.2">
      <c r="A178" s="180">
        <v>213801</v>
      </c>
      <c r="B178" s="179" t="s">
        <v>197</v>
      </c>
      <c r="C178" s="174">
        <v>350</v>
      </c>
      <c r="D178" s="179"/>
      <c r="E178" s="174" t="s">
        <v>170</v>
      </c>
      <c r="F178" s="175">
        <v>4864.0010000000002</v>
      </c>
      <c r="G178" s="176">
        <v>0</v>
      </c>
      <c r="H178" s="176">
        <v>4711</v>
      </c>
    </row>
    <row r="179" spans="1:8" s="14" customFormat="1" x14ac:dyDescent="0.2">
      <c r="A179" s="180">
        <v>220801</v>
      </c>
      <c r="B179" s="179" t="s">
        <v>198</v>
      </c>
      <c r="C179" s="174">
        <v>480</v>
      </c>
      <c r="D179" s="179"/>
      <c r="E179" s="174" t="s">
        <v>170</v>
      </c>
      <c r="F179" s="175">
        <v>4739.8770000000004</v>
      </c>
      <c r="G179" s="176">
        <v>0</v>
      </c>
      <c r="H179" s="176">
        <v>9574</v>
      </c>
    </row>
    <row r="180" spans="1:8" s="14" customFormat="1" x14ac:dyDescent="0.2">
      <c r="A180" s="180">
        <v>220802</v>
      </c>
      <c r="B180" s="179" t="s">
        <v>199</v>
      </c>
      <c r="C180" s="174">
        <v>2000</v>
      </c>
      <c r="D180" s="179"/>
      <c r="E180" s="174" t="s">
        <v>170</v>
      </c>
      <c r="F180" s="175">
        <v>4637.9840000000004</v>
      </c>
      <c r="G180" s="176">
        <v>0</v>
      </c>
      <c r="H180" s="176">
        <v>12730</v>
      </c>
    </row>
    <row r="181" spans="1:8" s="14" customFormat="1" x14ac:dyDescent="0.2">
      <c r="A181" s="180">
        <v>220809</v>
      </c>
      <c r="B181" s="179" t="s">
        <v>200</v>
      </c>
      <c r="C181" s="174">
        <v>1000</v>
      </c>
      <c r="D181" s="179"/>
      <c r="E181" s="174" t="s">
        <v>170</v>
      </c>
      <c r="F181" s="175">
        <v>4788.0450000000001</v>
      </c>
      <c r="G181" s="176">
        <v>0</v>
      </c>
      <c r="H181" s="176">
        <v>10852</v>
      </c>
    </row>
    <row r="182" spans="1:8" s="14" customFormat="1" x14ac:dyDescent="0.2">
      <c r="A182" s="180">
        <v>220810</v>
      </c>
      <c r="B182" s="179" t="s">
        <v>4</v>
      </c>
      <c r="C182" s="174">
        <v>1450</v>
      </c>
      <c r="D182" s="179"/>
      <c r="E182" s="174" t="s">
        <v>171</v>
      </c>
      <c r="F182" s="175">
        <v>4781.5609999999997</v>
      </c>
      <c r="G182" s="176">
        <v>0</v>
      </c>
      <c r="H182" s="176">
        <v>12422</v>
      </c>
    </row>
    <row r="183" spans="1:8" s="14" customFormat="1" x14ac:dyDescent="0.2">
      <c r="A183" s="180">
        <v>220811</v>
      </c>
      <c r="B183" s="179" t="s">
        <v>160</v>
      </c>
      <c r="C183" s="174">
        <v>800</v>
      </c>
      <c r="D183" s="179"/>
      <c r="E183" s="174" t="s">
        <v>170</v>
      </c>
      <c r="F183" s="175">
        <v>4738.0249999999996</v>
      </c>
      <c r="G183" s="176">
        <v>0</v>
      </c>
      <c r="H183" s="176">
        <v>9033</v>
      </c>
    </row>
    <row r="184" spans="1:8" s="14" customFormat="1" x14ac:dyDescent="0.2">
      <c r="A184" s="180">
        <v>220812</v>
      </c>
      <c r="B184" s="174" t="s">
        <v>161</v>
      </c>
      <c r="C184" s="174">
        <v>1000</v>
      </c>
      <c r="D184" s="179"/>
      <c r="E184" s="174" t="s">
        <v>171</v>
      </c>
      <c r="F184" s="175">
        <v>4846.402</v>
      </c>
      <c r="G184" s="176">
        <v>0</v>
      </c>
      <c r="H184" s="176">
        <v>6059</v>
      </c>
    </row>
    <row r="185" spans="1:8" s="55" customFormat="1" x14ac:dyDescent="0.2">
      <c r="A185" s="180">
        <v>220813</v>
      </c>
      <c r="B185" s="179" t="s">
        <v>5</v>
      </c>
      <c r="C185" s="174">
        <v>7000</v>
      </c>
      <c r="D185" s="179"/>
      <c r="E185" s="174" t="s">
        <v>170</v>
      </c>
      <c r="F185" s="175">
        <v>4735.2460000000001</v>
      </c>
      <c r="G185" s="176">
        <v>0</v>
      </c>
      <c r="H185" s="176">
        <v>27452</v>
      </c>
    </row>
    <row r="186" spans="1:8" s="14" customFormat="1" x14ac:dyDescent="0.2">
      <c r="A186" s="180">
        <v>220814</v>
      </c>
      <c r="B186" s="179" t="s">
        <v>167</v>
      </c>
      <c r="C186" s="174">
        <v>750</v>
      </c>
      <c r="D186" s="179"/>
      <c r="E186" s="174" t="s">
        <v>170</v>
      </c>
      <c r="F186" s="175">
        <v>4765.8140000000003</v>
      </c>
      <c r="G186" s="176">
        <v>0</v>
      </c>
      <c r="H186" s="176">
        <v>4560</v>
      </c>
    </row>
    <row r="187" spans="1:8" s="14" customFormat="1" x14ac:dyDescent="0.2">
      <c r="A187" s="180">
        <v>220815</v>
      </c>
      <c r="B187" s="179" t="s">
        <v>11</v>
      </c>
      <c r="C187" s="174">
        <v>520</v>
      </c>
      <c r="D187" s="179"/>
      <c r="E187" s="174" t="s">
        <v>171</v>
      </c>
      <c r="F187" s="175">
        <v>4604.6369999999997</v>
      </c>
      <c r="G187" s="176">
        <v>0</v>
      </c>
      <c r="H187" s="176">
        <v>3931</v>
      </c>
    </row>
    <row r="188" spans="1:8" s="14" customFormat="1" x14ac:dyDescent="0.2">
      <c r="A188" s="180">
        <v>220816</v>
      </c>
      <c r="B188" s="179" t="s">
        <v>12</v>
      </c>
      <c r="C188" s="174">
        <v>4000</v>
      </c>
      <c r="D188" s="179"/>
      <c r="E188" s="174" t="s">
        <v>170</v>
      </c>
      <c r="F188" s="175">
        <v>4745.4350000000004</v>
      </c>
      <c r="G188" s="176">
        <v>0</v>
      </c>
      <c r="H188" s="176">
        <v>17436</v>
      </c>
    </row>
    <row r="189" spans="1:8" s="14" customFormat="1" x14ac:dyDescent="0.2">
      <c r="A189" s="180">
        <v>220817</v>
      </c>
      <c r="B189" s="179" t="s">
        <v>261</v>
      </c>
      <c r="C189" s="174">
        <v>1000</v>
      </c>
      <c r="D189" s="179"/>
      <c r="E189" s="174" t="s">
        <v>171</v>
      </c>
      <c r="F189" s="175">
        <v>4604.6369999999997</v>
      </c>
      <c r="G189" s="176">
        <v>0</v>
      </c>
      <c r="H189" s="176">
        <v>0</v>
      </c>
    </row>
    <row r="190" spans="1:8" s="14" customFormat="1" x14ac:dyDescent="0.2">
      <c r="A190" s="180">
        <v>220818</v>
      </c>
      <c r="B190" s="179" t="s">
        <v>322</v>
      </c>
      <c r="C190" s="174">
        <v>2000</v>
      </c>
      <c r="D190" s="179"/>
      <c r="E190" s="174" t="s">
        <v>171</v>
      </c>
      <c r="F190" s="175">
        <v>4604.6369999999997</v>
      </c>
      <c r="G190" s="176">
        <v>0</v>
      </c>
      <c r="H190" s="176">
        <v>0</v>
      </c>
    </row>
    <row r="191" spans="1:8" s="14" customFormat="1" x14ac:dyDescent="0.2">
      <c r="A191" s="180">
        <v>221801</v>
      </c>
      <c r="B191" s="179" t="s">
        <v>182</v>
      </c>
      <c r="C191" s="174">
        <v>15000</v>
      </c>
      <c r="D191" s="179"/>
      <c r="E191" s="174" t="s">
        <v>170</v>
      </c>
      <c r="F191" s="175">
        <v>4794.5290000000005</v>
      </c>
      <c r="G191" s="176">
        <v>45688</v>
      </c>
      <c r="H191" s="176">
        <v>116386</v>
      </c>
    </row>
    <row r="192" spans="1:8" s="14" customFormat="1" x14ac:dyDescent="0.2">
      <c r="A192" s="180">
        <v>226801</v>
      </c>
      <c r="B192" s="174" t="s">
        <v>285</v>
      </c>
      <c r="C192" s="174">
        <v>2250</v>
      </c>
      <c r="D192" s="179"/>
      <c r="E192" s="174" t="s">
        <v>171</v>
      </c>
      <c r="F192" s="175">
        <v>4629.6469999999999</v>
      </c>
      <c r="G192" s="176">
        <v>0</v>
      </c>
      <c r="H192" s="176">
        <v>0</v>
      </c>
    </row>
    <row r="193" spans="1:8" s="14" customFormat="1" x14ac:dyDescent="0.2">
      <c r="A193" s="180">
        <v>227801</v>
      </c>
      <c r="B193" s="179" t="s">
        <v>6</v>
      </c>
      <c r="C193" s="174">
        <v>750</v>
      </c>
      <c r="D193" s="179"/>
      <c r="E193" s="174" t="s">
        <v>171</v>
      </c>
      <c r="F193" s="175">
        <v>4963.1149999999998</v>
      </c>
      <c r="G193" s="176">
        <v>0</v>
      </c>
      <c r="H193" s="176">
        <v>8434</v>
      </c>
    </row>
    <row r="194" spans="1:8" s="14" customFormat="1" x14ac:dyDescent="0.2">
      <c r="A194" s="180">
        <v>227803</v>
      </c>
      <c r="B194" s="179" t="s">
        <v>201</v>
      </c>
      <c r="C194" s="174">
        <v>1500</v>
      </c>
      <c r="D194" s="179"/>
      <c r="E194" s="174" t="s">
        <v>170</v>
      </c>
      <c r="F194" s="175">
        <v>4853.8119999999999</v>
      </c>
      <c r="G194" s="176">
        <v>0</v>
      </c>
      <c r="H194" s="176">
        <v>5584</v>
      </c>
    </row>
    <row r="195" spans="1:8" s="47" customFormat="1" x14ac:dyDescent="0.2">
      <c r="A195" s="180">
        <v>227804</v>
      </c>
      <c r="B195" s="179" t="s">
        <v>202</v>
      </c>
      <c r="C195" s="174">
        <v>1000</v>
      </c>
      <c r="D195" s="179"/>
      <c r="E195" s="174" t="s">
        <v>171</v>
      </c>
      <c r="F195" s="175">
        <v>4821.3919999999998</v>
      </c>
      <c r="G195" s="176">
        <v>0</v>
      </c>
      <c r="H195" s="176">
        <v>20185</v>
      </c>
    </row>
    <row r="196" spans="1:8" s="47" customFormat="1" x14ac:dyDescent="0.2">
      <c r="A196" s="180">
        <v>227805</v>
      </c>
      <c r="B196" s="179" t="s">
        <v>203</v>
      </c>
      <c r="C196" s="174">
        <v>225</v>
      </c>
      <c r="D196" s="179"/>
      <c r="E196" s="174" t="s">
        <v>170</v>
      </c>
      <c r="F196" s="175">
        <v>4808.4229999999998</v>
      </c>
      <c r="G196" s="176">
        <v>0</v>
      </c>
      <c r="H196" s="176">
        <v>4692</v>
      </c>
    </row>
    <row r="197" spans="1:8" s="47" customFormat="1" x14ac:dyDescent="0.2">
      <c r="A197" s="185">
        <v>227806</v>
      </c>
      <c r="B197" s="186" t="s">
        <v>217</v>
      </c>
      <c r="C197" s="174">
        <v>2000</v>
      </c>
      <c r="D197" s="179"/>
      <c r="E197" s="174" t="s">
        <v>171</v>
      </c>
      <c r="F197" s="175">
        <v>4688.9309999999996</v>
      </c>
      <c r="G197" s="176">
        <v>0</v>
      </c>
      <c r="H197" s="176">
        <v>68817</v>
      </c>
    </row>
    <row r="198" spans="1:8" x14ac:dyDescent="0.2">
      <c r="A198" s="180">
        <v>227814</v>
      </c>
      <c r="B198" s="174" t="s">
        <v>272</v>
      </c>
      <c r="C198" s="174">
        <v>420</v>
      </c>
      <c r="D198" s="179"/>
      <c r="E198" s="174" t="s">
        <v>170</v>
      </c>
      <c r="F198" s="175">
        <v>4964.0420000000004</v>
      </c>
      <c r="G198" s="176">
        <v>0</v>
      </c>
      <c r="H198" s="176">
        <v>8117</v>
      </c>
    </row>
    <row r="199" spans="1:8" x14ac:dyDescent="0.2">
      <c r="A199" s="180">
        <v>227816</v>
      </c>
      <c r="B199" s="174" t="s">
        <v>218</v>
      </c>
      <c r="C199" s="174">
        <v>5000</v>
      </c>
      <c r="D199" s="179"/>
      <c r="E199" s="174" t="s">
        <v>170</v>
      </c>
      <c r="F199" s="175">
        <v>4757.3789999999999</v>
      </c>
      <c r="G199" s="176">
        <v>0</v>
      </c>
      <c r="H199" s="176">
        <v>13351</v>
      </c>
    </row>
    <row r="200" spans="1:8" x14ac:dyDescent="0.2">
      <c r="A200" s="180">
        <v>227817</v>
      </c>
      <c r="B200" s="179" t="s">
        <v>204</v>
      </c>
      <c r="C200" s="174">
        <v>1000</v>
      </c>
      <c r="D200" s="179"/>
      <c r="E200" s="174" t="s">
        <v>170</v>
      </c>
      <c r="F200" s="175">
        <v>4835.2860000000001</v>
      </c>
      <c r="G200" s="176">
        <v>0</v>
      </c>
      <c r="H200" s="176">
        <v>6252</v>
      </c>
    </row>
    <row r="201" spans="1:8" x14ac:dyDescent="0.2">
      <c r="A201" s="185">
        <v>227819</v>
      </c>
      <c r="B201" s="186" t="s">
        <v>219</v>
      </c>
      <c r="C201" s="174">
        <v>300</v>
      </c>
      <c r="D201" s="179"/>
      <c r="E201" s="174" t="s">
        <v>171</v>
      </c>
      <c r="F201" s="175">
        <v>4713.9409999999998</v>
      </c>
      <c r="G201" s="176">
        <v>7195</v>
      </c>
      <c r="H201" s="176">
        <v>8007</v>
      </c>
    </row>
    <row r="202" spans="1:8" x14ac:dyDescent="0.2">
      <c r="A202" s="180">
        <v>227820</v>
      </c>
      <c r="B202" s="179" t="s">
        <v>205</v>
      </c>
      <c r="C202" s="174">
        <v>5280</v>
      </c>
      <c r="D202" s="179"/>
      <c r="E202" s="174" t="s">
        <v>171</v>
      </c>
      <c r="F202" s="175">
        <v>4835.2860000000001</v>
      </c>
      <c r="G202" s="176">
        <v>87195</v>
      </c>
      <c r="H202" s="176">
        <v>16538</v>
      </c>
    </row>
    <row r="203" spans="1:8" x14ac:dyDescent="0.2">
      <c r="A203" s="180">
        <v>227821</v>
      </c>
      <c r="B203" s="179" t="s">
        <v>174</v>
      </c>
      <c r="C203" s="174">
        <v>440</v>
      </c>
      <c r="D203" s="179"/>
      <c r="E203" s="174" t="s">
        <v>170</v>
      </c>
      <c r="F203" s="175">
        <v>4791.75</v>
      </c>
      <c r="G203" s="176">
        <v>0</v>
      </c>
      <c r="H203" s="176">
        <v>7158</v>
      </c>
    </row>
    <row r="204" spans="1:8" x14ac:dyDescent="0.2">
      <c r="A204" s="180">
        <v>227824</v>
      </c>
      <c r="B204" s="179" t="s">
        <v>116</v>
      </c>
      <c r="C204" s="174">
        <v>1200</v>
      </c>
      <c r="D204" s="179"/>
      <c r="E204" s="174" t="s">
        <v>171</v>
      </c>
      <c r="F204" s="175">
        <v>4694.4880000000003</v>
      </c>
      <c r="G204" s="176">
        <v>13619</v>
      </c>
      <c r="H204" s="176">
        <v>0</v>
      </c>
    </row>
    <row r="205" spans="1:8" x14ac:dyDescent="0.2">
      <c r="A205" s="180">
        <v>227825</v>
      </c>
      <c r="B205" s="179" t="s">
        <v>323</v>
      </c>
      <c r="C205" s="174">
        <v>1050</v>
      </c>
      <c r="D205" s="179"/>
      <c r="E205" s="174" t="s">
        <v>171</v>
      </c>
      <c r="F205" s="175">
        <v>4604.6369999999997</v>
      </c>
      <c r="G205" s="176">
        <v>0</v>
      </c>
      <c r="H205" s="176">
        <v>0</v>
      </c>
    </row>
    <row r="206" spans="1:8" x14ac:dyDescent="0.2">
      <c r="A206" s="180">
        <v>234801</v>
      </c>
      <c r="B206" s="179" t="s">
        <v>206</v>
      </c>
      <c r="C206" s="174">
        <v>150</v>
      </c>
      <c r="D206" s="179"/>
      <c r="E206" s="174" t="s">
        <v>171</v>
      </c>
      <c r="F206" s="175">
        <v>4666.6989999999996</v>
      </c>
      <c r="G206" s="176">
        <v>0</v>
      </c>
      <c r="H206" s="176">
        <v>5287</v>
      </c>
    </row>
    <row r="207" spans="1:8" x14ac:dyDescent="0.2">
      <c r="A207" s="180">
        <v>236801</v>
      </c>
      <c r="B207" s="179" t="s">
        <v>207</v>
      </c>
      <c r="C207" s="174">
        <v>400</v>
      </c>
      <c r="D207" s="179"/>
      <c r="E207" s="174" t="s">
        <v>170</v>
      </c>
      <c r="F207" s="175">
        <v>4697.2669999999998</v>
      </c>
      <c r="G207" s="176">
        <v>0</v>
      </c>
      <c r="H207" s="176">
        <v>9226</v>
      </c>
    </row>
    <row r="208" spans="1:8" x14ac:dyDescent="0.2">
      <c r="A208" s="180">
        <v>240801</v>
      </c>
      <c r="B208" s="179" t="s">
        <v>220</v>
      </c>
      <c r="C208" s="174">
        <v>700</v>
      </c>
      <c r="D208" s="179"/>
      <c r="E208" s="174" t="s">
        <v>170</v>
      </c>
      <c r="F208" s="175">
        <v>4760.2560000000003</v>
      </c>
      <c r="G208" s="176">
        <v>0</v>
      </c>
      <c r="H208" s="176">
        <v>19097</v>
      </c>
    </row>
    <row r="209" spans="1:8" x14ac:dyDescent="0.2">
      <c r="A209" s="180">
        <v>243801</v>
      </c>
      <c r="B209" s="179" t="s">
        <v>208</v>
      </c>
      <c r="C209" s="174">
        <v>400</v>
      </c>
      <c r="D209" s="179"/>
      <c r="E209" s="174" t="s">
        <v>171</v>
      </c>
      <c r="F209" s="175">
        <v>4713.0140000000001</v>
      </c>
      <c r="G209" s="176">
        <v>0</v>
      </c>
      <c r="H209" s="176">
        <v>4884</v>
      </c>
    </row>
    <row r="210" spans="1:8" x14ac:dyDescent="0.2">
      <c r="A210" s="180">
        <v>246801</v>
      </c>
      <c r="B210" s="174" t="s">
        <v>278</v>
      </c>
      <c r="C210" s="174">
        <v>1300</v>
      </c>
      <c r="D210" s="179"/>
      <c r="E210" s="174" t="s">
        <v>171</v>
      </c>
      <c r="F210" s="175">
        <v>4604.6369999999997</v>
      </c>
      <c r="G210" s="176">
        <v>0</v>
      </c>
      <c r="H210" s="176">
        <v>0</v>
      </c>
    </row>
  </sheetData>
  <sheetProtection password="EE5D" sheet="1" objects="1" scenarios="1"/>
  <sortState ref="A2:F212">
    <sortCondition ref="A2:A212"/>
  </sortState>
  <phoneticPr fontId="3" type="noConversion"/>
  <printOptions horizontalCentered="1"/>
  <pageMargins left="0.75" right="0.75" top="1" bottom="1" header="0.5" footer="0.5"/>
  <pageSetup scale="7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3"/>
  <sheetViews>
    <sheetView workbookViewId="0">
      <selection activeCell="B1" sqref="B1"/>
    </sheetView>
  </sheetViews>
  <sheetFormatPr defaultRowHeight="12.75" x14ac:dyDescent="0.2"/>
  <cols>
    <col min="1" max="1" width="3.5703125" customWidth="1"/>
    <col min="2" max="2" width="27.5703125" customWidth="1"/>
    <col min="3" max="3" width="24" customWidth="1"/>
    <col min="4" max="5" width="11.42578125" customWidth="1"/>
    <col min="6" max="7" width="12.7109375" customWidth="1"/>
    <col min="10" max="10" width="18.42578125" customWidth="1"/>
  </cols>
  <sheetData>
    <row r="1" spans="1:10" ht="23.25" x14ac:dyDescent="0.35">
      <c r="A1" s="195"/>
      <c r="B1" s="196" t="s">
        <v>230</v>
      </c>
      <c r="C1" s="241" t="str">
        <f>'Enrollment Data'!A2</f>
        <v>NEW TEXAS CHARTER SCHOOL</v>
      </c>
      <c r="D1" s="241"/>
      <c r="E1" s="241"/>
      <c r="F1" s="241"/>
      <c r="G1" s="241"/>
      <c r="H1" s="241"/>
      <c r="I1" s="241"/>
      <c r="J1" s="241"/>
    </row>
    <row r="2" spans="1:10" ht="20.25" x14ac:dyDescent="0.3">
      <c r="A2" s="195"/>
      <c r="B2" s="197" t="s">
        <v>231</v>
      </c>
      <c r="C2" s="198" t="s">
        <v>410</v>
      </c>
      <c r="D2" s="194"/>
      <c r="E2" s="199" t="s">
        <v>411</v>
      </c>
      <c r="F2" s="194"/>
      <c r="G2" s="200"/>
      <c r="H2" s="200"/>
      <c r="I2" s="200"/>
      <c r="J2" s="200"/>
    </row>
    <row r="3" spans="1:10" ht="20.25" x14ac:dyDescent="0.3">
      <c r="A3" s="195"/>
      <c r="B3" s="197" t="s">
        <v>412</v>
      </c>
      <c r="C3" s="201"/>
      <c r="D3" s="202"/>
      <c r="E3" s="203"/>
      <c r="F3" s="203"/>
      <c r="G3" s="200"/>
      <c r="H3" s="200"/>
      <c r="I3" s="200"/>
      <c r="J3" s="200"/>
    </row>
    <row r="4" spans="1:10" ht="21" thickBot="1" x14ac:dyDescent="0.35">
      <c r="A4" s="195"/>
      <c r="B4" s="202"/>
      <c r="C4" s="204"/>
      <c r="D4" s="202"/>
      <c r="E4" s="203"/>
      <c r="F4" s="203"/>
      <c r="G4" s="200"/>
      <c r="H4" s="200"/>
      <c r="I4" s="200"/>
      <c r="J4" s="200"/>
    </row>
    <row r="5" spans="1:10" x14ac:dyDescent="0.2">
      <c r="A5" s="205"/>
      <c r="B5" s="206" t="s">
        <v>245</v>
      </c>
      <c r="C5" s="207"/>
      <c r="D5" s="207"/>
      <c r="E5" s="207"/>
      <c r="F5" s="207"/>
      <c r="G5" s="207"/>
      <c r="H5" s="207"/>
      <c r="I5" s="207"/>
      <c r="J5" s="208"/>
    </row>
    <row r="6" spans="1:10" x14ac:dyDescent="0.2">
      <c r="A6" s="209"/>
      <c r="B6" s="210" t="s">
        <v>246</v>
      </c>
      <c r="C6" s="211"/>
      <c r="D6" s="211"/>
      <c r="E6" s="211"/>
      <c r="F6" s="211"/>
      <c r="G6" s="211"/>
      <c r="H6" s="211"/>
      <c r="I6" s="211"/>
      <c r="J6" s="212"/>
    </row>
    <row r="7" spans="1:10" x14ac:dyDescent="0.2">
      <c r="A7" s="209"/>
      <c r="B7" s="210" t="s">
        <v>247</v>
      </c>
      <c r="C7" s="211"/>
      <c r="D7" s="211"/>
      <c r="E7" s="211"/>
      <c r="F7" s="211"/>
      <c r="G7" s="211"/>
      <c r="H7" s="211"/>
      <c r="I7" s="211"/>
      <c r="J7" s="212"/>
    </row>
    <row r="8" spans="1:10" ht="13.5" thickBot="1" x14ac:dyDescent="0.25">
      <c r="A8" s="213"/>
      <c r="B8" s="214" t="s">
        <v>248</v>
      </c>
      <c r="C8" s="215"/>
      <c r="D8" s="215"/>
      <c r="E8" s="215"/>
      <c r="F8" s="215"/>
      <c r="G8" s="215"/>
      <c r="H8" s="215"/>
      <c r="I8" s="215"/>
      <c r="J8" s="216"/>
    </row>
    <row r="9" spans="1:10" x14ac:dyDescent="0.2">
      <c r="A9" s="203"/>
      <c r="B9" s="203" t="s">
        <v>249</v>
      </c>
      <c r="C9" s="203"/>
      <c r="D9" s="203"/>
      <c r="E9" s="203"/>
      <c r="F9" s="203"/>
      <c r="G9" s="203"/>
      <c r="H9" s="203"/>
      <c r="I9" s="203"/>
      <c r="J9" s="203"/>
    </row>
    <row r="10" spans="1:10" ht="51" x14ac:dyDescent="0.2">
      <c r="A10" s="203"/>
      <c r="B10" s="217"/>
      <c r="C10" s="218" t="s">
        <v>232</v>
      </c>
      <c r="D10" s="218" t="s">
        <v>233</v>
      </c>
      <c r="E10" s="218" t="s">
        <v>234</v>
      </c>
      <c r="F10" s="218" t="s">
        <v>235</v>
      </c>
      <c r="G10" s="219" t="s">
        <v>236</v>
      </c>
      <c r="H10" s="219" t="s">
        <v>237</v>
      </c>
      <c r="I10" s="219" t="s">
        <v>238</v>
      </c>
      <c r="J10" s="218" t="s">
        <v>239</v>
      </c>
    </row>
    <row r="11" spans="1:10" ht="26.25" x14ac:dyDescent="0.4">
      <c r="A11" s="203"/>
      <c r="B11" s="220" t="s">
        <v>240</v>
      </c>
      <c r="C11" s="221"/>
      <c r="D11" s="221" t="s">
        <v>241</v>
      </c>
      <c r="E11" s="221" t="s">
        <v>242</v>
      </c>
      <c r="F11" s="221" t="s">
        <v>243</v>
      </c>
      <c r="G11" s="221" t="s">
        <v>242</v>
      </c>
      <c r="H11" s="221" t="s">
        <v>243</v>
      </c>
      <c r="I11" s="221" t="s">
        <v>242</v>
      </c>
      <c r="J11" s="221" t="s">
        <v>243</v>
      </c>
    </row>
    <row r="12" spans="1:10" x14ac:dyDescent="0.2">
      <c r="A12">
        <v>1</v>
      </c>
      <c r="B12" s="58"/>
      <c r="C12" s="59">
        <v>0</v>
      </c>
      <c r="D12" s="59">
        <v>0</v>
      </c>
      <c r="E12" s="59">
        <v>0</v>
      </c>
      <c r="F12" s="61">
        <f>C12+D12-E12</f>
        <v>0</v>
      </c>
      <c r="G12" s="59">
        <v>0</v>
      </c>
      <c r="H12" s="61">
        <f>F12-G12</f>
        <v>0</v>
      </c>
      <c r="I12" s="59">
        <v>0</v>
      </c>
      <c r="J12" s="60">
        <f>H12-I12</f>
        <v>0</v>
      </c>
    </row>
    <row r="13" spans="1:10" x14ac:dyDescent="0.2">
      <c r="A13">
        <v>2</v>
      </c>
      <c r="B13" s="58"/>
      <c r="C13" s="61">
        <f>F12</f>
        <v>0</v>
      </c>
      <c r="D13" s="59">
        <v>0</v>
      </c>
      <c r="E13" s="59">
        <v>0</v>
      </c>
      <c r="F13" s="61">
        <f>C13+D13-E13</f>
        <v>0</v>
      </c>
      <c r="G13" s="59">
        <v>0</v>
      </c>
      <c r="H13" s="61">
        <f>F13-G13</f>
        <v>0</v>
      </c>
      <c r="I13" s="59">
        <v>0</v>
      </c>
      <c r="J13" s="60">
        <f>H13-I13</f>
        <v>0</v>
      </c>
    </row>
    <row r="14" spans="1:10" x14ac:dyDescent="0.2">
      <c r="A14">
        <v>3</v>
      </c>
      <c r="B14" s="58"/>
      <c r="C14" s="61">
        <f t="shared" ref="C14:C41" si="0">F13</f>
        <v>0</v>
      </c>
      <c r="D14" s="59">
        <v>0</v>
      </c>
      <c r="E14" s="59">
        <v>0</v>
      </c>
      <c r="F14" s="61">
        <f t="shared" ref="F14:F41" si="1">C14+D14-E14</f>
        <v>0</v>
      </c>
      <c r="G14" s="59">
        <v>0</v>
      </c>
      <c r="H14" s="61">
        <f t="shared" ref="H14:H41" si="2">F14-G14</f>
        <v>0</v>
      </c>
      <c r="I14" s="59">
        <v>0</v>
      </c>
      <c r="J14" s="60">
        <f t="shared" ref="J14:J41" si="3">H14-I14</f>
        <v>0</v>
      </c>
    </row>
    <row r="15" spans="1:10" x14ac:dyDescent="0.2">
      <c r="A15">
        <v>4</v>
      </c>
      <c r="B15" s="58"/>
      <c r="C15" s="61">
        <f t="shared" si="0"/>
        <v>0</v>
      </c>
      <c r="D15" s="59">
        <v>0</v>
      </c>
      <c r="E15" s="59">
        <v>0</v>
      </c>
      <c r="F15" s="61">
        <f t="shared" si="1"/>
        <v>0</v>
      </c>
      <c r="G15" s="59">
        <v>0</v>
      </c>
      <c r="H15" s="61">
        <f t="shared" si="2"/>
        <v>0</v>
      </c>
      <c r="I15" s="59">
        <v>0</v>
      </c>
      <c r="J15" s="60">
        <f t="shared" si="3"/>
        <v>0</v>
      </c>
    </row>
    <row r="16" spans="1:10" x14ac:dyDescent="0.2">
      <c r="A16">
        <v>5</v>
      </c>
      <c r="B16" s="58"/>
      <c r="C16" s="61">
        <f t="shared" si="0"/>
        <v>0</v>
      </c>
      <c r="D16" s="59">
        <v>0</v>
      </c>
      <c r="E16" s="59">
        <v>0</v>
      </c>
      <c r="F16" s="61">
        <f t="shared" si="1"/>
        <v>0</v>
      </c>
      <c r="G16" s="59">
        <v>0</v>
      </c>
      <c r="H16" s="61">
        <f t="shared" si="2"/>
        <v>0</v>
      </c>
      <c r="I16" s="59">
        <v>0</v>
      </c>
      <c r="J16" s="60">
        <f t="shared" si="3"/>
        <v>0</v>
      </c>
    </row>
    <row r="17" spans="1:10" x14ac:dyDescent="0.2">
      <c r="A17">
        <v>6</v>
      </c>
      <c r="B17" s="58"/>
      <c r="C17" s="61">
        <f t="shared" si="0"/>
        <v>0</v>
      </c>
      <c r="D17" s="59">
        <v>0</v>
      </c>
      <c r="E17" s="59">
        <v>0</v>
      </c>
      <c r="F17" s="61">
        <f t="shared" si="1"/>
        <v>0</v>
      </c>
      <c r="G17" s="59">
        <v>0</v>
      </c>
      <c r="H17" s="61">
        <f t="shared" si="2"/>
        <v>0</v>
      </c>
      <c r="I17" s="59">
        <v>0</v>
      </c>
      <c r="J17" s="60">
        <f t="shared" si="3"/>
        <v>0</v>
      </c>
    </row>
    <row r="18" spans="1:10" x14ac:dyDescent="0.2">
      <c r="A18">
        <v>7</v>
      </c>
      <c r="B18" s="58"/>
      <c r="C18" s="61">
        <f t="shared" si="0"/>
        <v>0</v>
      </c>
      <c r="D18" s="59">
        <v>0</v>
      </c>
      <c r="E18" s="59">
        <v>0</v>
      </c>
      <c r="F18" s="61">
        <f t="shared" si="1"/>
        <v>0</v>
      </c>
      <c r="G18" s="59">
        <v>0</v>
      </c>
      <c r="H18" s="61">
        <f t="shared" si="2"/>
        <v>0</v>
      </c>
      <c r="I18" s="59">
        <v>0</v>
      </c>
      <c r="J18" s="60">
        <f t="shared" si="3"/>
        <v>0</v>
      </c>
    </row>
    <row r="19" spans="1:10" x14ac:dyDescent="0.2">
      <c r="A19">
        <v>8</v>
      </c>
      <c r="B19" s="58"/>
      <c r="C19" s="61">
        <f t="shared" si="0"/>
        <v>0</v>
      </c>
      <c r="D19" s="59">
        <v>0</v>
      </c>
      <c r="E19" s="59">
        <v>0</v>
      </c>
      <c r="F19" s="61">
        <f t="shared" si="1"/>
        <v>0</v>
      </c>
      <c r="G19" s="59">
        <v>0</v>
      </c>
      <c r="H19" s="61">
        <f t="shared" si="2"/>
        <v>0</v>
      </c>
      <c r="I19" s="59">
        <v>0</v>
      </c>
      <c r="J19" s="60">
        <f t="shared" si="3"/>
        <v>0</v>
      </c>
    </row>
    <row r="20" spans="1:10" x14ac:dyDescent="0.2">
      <c r="A20">
        <v>9</v>
      </c>
      <c r="B20" s="58"/>
      <c r="C20" s="61">
        <f t="shared" si="0"/>
        <v>0</v>
      </c>
      <c r="D20" s="59">
        <v>0</v>
      </c>
      <c r="E20" s="59">
        <v>0</v>
      </c>
      <c r="F20" s="61">
        <f t="shared" si="1"/>
        <v>0</v>
      </c>
      <c r="G20" s="59">
        <v>0</v>
      </c>
      <c r="H20" s="61">
        <f t="shared" si="2"/>
        <v>0</v>
      </c>
      <c r="I20" s="59">
        <v>0</v>
      </c>
      <c r="J20" s="60">
        <f t="shared" si="3"/>
        <v>0</v>
      </c>
    </row>
    <row r="21" spans="1:10" x14ac:dyDescent="0.2">
      <c r="A21">
        <v>10</v>
      </c>
      <c r="B21" s="58"/>
      <c r="C21" s="61">
        <f t="shared" si="0"/>
        <v>0</v>
      </c>
      <c r="D21" s="59">
        <v>0</v>
      </c>
      <c r="E21" s="59">
        <v>0</v>
      </c>
      <c r="F21" s="61">
        <f t="shared" si="1"/>
        <v>0</v>
      </c>
      <c r="G21" s="59">
        <v>0</v>
      </c>
      <c r="H21" s="61">
        <f t="shared" si="2"/>
        <v>0</v>
      </c>
      <c r="I21" s="59">
        <v>0</v>
      </c>
      <c r="J21" s="60">
        <f t="shared" si="3"/>
        <v>0</v>
      </c>
    </row>
    <row r="22" spans="1:10" x14ac:dyDescent="0.2">
      <c r="A22">
        <v>11</v>
      </c>
      <c r="B22" s="58"/>
      <c r="C22" s="61">
        <f t="shared" si="0"/>
        <v>0</v>
      </c>
      <c r="D22" s="59">
        <v>0</v>
      </c>
      <c r="E22" s="59">
        <v>0</v>
      </c>
      <c r="F22" s="61">
        <f t="shared" si="1"/>
        <v>0</v>
      </c>
      <c r="G22" s="59">
        <v>0</v>
      </c>
      <c r="H22" s="61">
        <f t="shared" si="2"/>
        <v>0</v>
      </c>
      <c r="I22" s="59">
        <v>0</v>
      </c>
      <c r="J22" s="60">
        <f t="shared" si="3"/>
        <v>0</v>
      </c>
    </row>
    <row r="23" spans="1:10" x14ac:dyDescent="0.2">
      <c r="A23">
        <v>12</v>
      </c>
      <c r="B23" s="58"/>
      <c r="C23" s="61">
        <f t="shared" si="0"/>
        <v>0</v>
      </c>
      <c r="D23" s="59">
        <v>0</v>
      </c>
      <c r="E23" s="59">
        <v>0</v>
      </c>
      <c r="F23" s="61">
        <f t="shared" si="1"/>
        <v>0</v>
      </c>
      <c r="G23" s="59">
        <v>0</v>
      </c>
      <c r="H23" s="61">
        <f t="shared" si="2"/>
        <v>0</v>
      </c>
      <c r="I23" s="59">
        <v>0</v>
      </c>
      <c r="J23" s="60">
        <f t="shared" si="3"/>
        <v>0</v>
      </c>
    </row>
    <row r="24" spans="1:10" x14ac:dyDescent="0.2">
      <c r="A24">
        <v>13</v>
      </c>
      <c r="B24" s="58"/>
      <c r="C24" s="61">
        <f t="shared" si="0"/>
        <v>0</v>
      </c>
      <c r="D24" s="59">
        <v>0</v>
      </c>
      <c r="E24" s="59">
        <v>0</v>
      </c>
      <c r="F24" s="61">
        <f t="shared" si="1"/>
        <v>0</v>
      </c>
      <c r="G24" s="59">
        <v>0</v>
      </c>
      <c r="H24" s="61">
        <f t="shared" si="2"/>
        <v>0</v>
      </c>
      <c r="I24" s="59">
        <v>0</v>
      </c>
      <c r="J24" s="60">
        <f t="shared" si="3"/>
        <v>0</v>
      </c>
    </row>
    <row r="25" spans="1:10" x14ac:dyDescent="0.2">
      <c r="A25">
        <v>14</v>
      </c>
      <c r="B25" s="58"/>
      <c r="C25" s="61">
        <f t="shared" si="0"/>
        <v>0</v>
      </c>
      <c r="D25" s="59">
        <v>0</v>
      </c>
      <c r="E25" s="59">
        <v>0</v>
      </c>
      <c r="F25" s="61">
        <f t="shared" si="1"/>
        <v>0</v>
      </c>
      <c r="G25" s="59">
        <v>0</v>
      </c>
      <c r="H25" s="61">
        <f t="shared" si="2"/>
        <v>0</v>
      </c>
      <c r="I25" s="59">
        <v>0</v>
      </c>
      <c r="J25" s="60">
        <f t="shared" si="3"/>
        <v>0</v>
      </c>
    </row>
    <row r="26" spans="1:10" x14ac:dyDescent="0.2">
      <c r="A26">
        <v>15</v>
      </c>
      <c r="B26" s="58"/>
      <c r="C26" s="61">
        <f t="shared" si="0"/>
        <v>0</v>
      </c>
      <c r="D26" s="59">
        <v>0</v>
      </c>
      <c r="E26" s="59">
        <v>0</v>
      </c>
      <c r="F26" s="61">
        <f t="shared" si="1"/>
        <v>0</v>
      </c>
      <c r="G26" s="59">
        <v>0</v>
      </c>
      <c r="H26" s="61">
        <f t="shared" si="2"/>
        <v>0</v>
      </c>
      <c r="I26" s="59">
        <v>0</v>
      </c>
      <c r="J26" s="60">
        <f t="shared" si="3"/>
        <v>0</v>
      </c>
    </row>
    <row r="27" spans="1:10" x14ac:dyDescent="0.2">
      <c r="A27">
        <v>16</v>
      </c>
      <c r="C27" s="61">
        <f t="shared" si="0"/>
        <v>0</v>
      </c>
      <c r="D27" s="59">
        <v>0</v>
      </c>
      <c r="E27" s="59">
        <v>0</v>
      </c>
      <c r="F27" s="61">
        <f t="shared" si="1"/>
        <v>0</v>
      </c>
      <c r="G27" s="59">
        <v>0</v>
      </c>
      <c r="H27" s="61">
        <f t="shared" si="2"/>
        <v>0</v>
      </c>
      <c r="I27" s="59">
        <v>0</v>
      </c>
      <c r="J27" s="60">
        <f t="shared" si="3"/>
        <v>0</v>
      </c>
    </row>
    <row r="28" spans="1:10" x14ac:dyDescent="0.2">
      <c r="A28">
        <v>17</v>
      </c>
      <c r="B28" s="58"/>
      <c r="C28" s="61">
        <f t="shared" si="0"/>
        <v>0</v>
      </c>
      <c r="D28" s="59">
        <v>0</v>
      </c>
      <c r="E28" s="59">
        <v>0</v>
      </c>
      <c r="F28" s="61">
        <f t="shared" si="1"/>
        <v>0</v>
      </c>
      <c r="G28" s="59">
        <v>0</v>
      </c>
      <c r="H28" s="61">
        <f t="shared" si="2"/>
        <v>0</v>
      </c>
      <c r="I28" s="59">
        <v>0</v>
      </c>
      <c r="J28" s="60">
        <f t="shared" si="3"/>
        <v>0</v>
      </c>
    </row>
    <row r="29" spans="1:10" x14ac:dyDescent="0.2">
      <c r="A29">
        <v>18</v>
      </c>
      <c r="B29" s="58"/>
      <c r="C29" s="61">
        <f t="shared" si="0"/>
        <v>0</v>
      </c>
      <c r="D29" s="59">
        <v>0</v>
      </c>
      <c r="E29" s="59">
        <v>0</v>
      </c>
      <c r="F29" s="61">
        <f t="shared" si="1"/>
        <v>0</v>
      </c>
      <c r="G29" s="59">
        <v>0</v>
      </c>
      <c r="H29" s="61">
        <f t="shared" si="2"/>
        <v>0</v>
      </c>
      <c r="I29" s="59">
        <v>0</v>
      </c>
      <c r="J29" s="60">
        <f t="shared" si="3"/>
        <v>0</v>
      </c>
    </row>
    <row r="30" spans="1:10" x14ac:dyDescent="0.2">
      <c r="A30">
        <v>19</v>
      </c>
      <c r="B30" s="58"/>
      <c r="C30" s="61">
        <f t="shared" si="0"/>
        <v>0</v>
      </c>
      <c r="D30" s="59">
        <v>0</v>
      </c>
      <c r="E30" s="59">
        <v>0</v>
      </c>
      <c r="F30" s="61">
        <f t="shared" si="1"/>
        <v>0</v>
      </c>
      <c r="G30" s="59">
        <v>0</v>
      </c>
      <c r="H30" s="61">
        <f t="shared" si="2"/>
        <v>0</v>
      </c>
      <c r="I30" s="59">
        <v>0</v>
      </c>
      <c r="J30" s="60">
        <f t="shared" si="3"/>
        <v>0</v>
      </c>
    </row>
    <row r="31" spans="1:10" x14ac:dyDescent="0.2">
      <c r="A31">
        <v>20</v>
      </c>
      <c r="B31" s="58"/>
      <c r="C31" s="61">
        <f t="shared" si="0"/>
        <v>0</v>
      </c>
      <c r="D31" s="59">
        <v>0</v>
      </c>
      <c r="E31" s="59">
        <v>0</v>
      </c>
      <c r="F31" s="61">
        <f t="shared" si="1"/>
        <v>0</v>
      </c>
      <c r="G31" s="59">
        <v>0</v>
      </c>
      <c r="H31" s="61">
        <f t="shared" si="2"/>
        <v>0</v>
      </c>
      <c r="I31" s="59">
        <v>0</v>
      </c>
      <c r="J31" s="60">
        <f t="shared" si="3"/>
        <v>0</v>
      </c>
    </row>
    <row r="32" spans="1:10" x14ac:dyDescent="0.2">
      <c r="A32">
        <v>21</v>
      </c>
      <c r="B32" s="58"/>
      <c r="C32" s="61">
        <f t="shared" si="0"/>
        <v>0</v>
      </c>
      <c r="D32" s="59">
        <v>0</v>
      </c>
      <c r="E32" s="59">
        <v>0</v>
      </c>
      <c r="F32" s="61">
        <f t="shared" si="1"/>
        <v>0</v>
      </c>
      <c r="G32" s="59">
        <v>0</v>
      </c>
      <c r="H32" s="61">
        <f t="shared" si="2"/>
        <v>0</v>
      </c>
      <c r="I32" s="59">
        <v>0</v>
      </c>
      <c r="J32" s="60">
        <f t="shared" si="3"/>
        <v>0</v>
      </c>
    </row>
    <row r="33" spans="1:10" x14ac:dyDescent="0.2">
      <c r="A33">
        <v>22</v>
      </c>
      <c r="B33" s="58"/>
      <c r="C33" s="61">
        <f t="shared" si="0"/>
        <v>0</v>
      </c>
      <c r="D33" s="59">
        <v>0</v>
      </c>
      <c r="E33" s="59">
        <v>0</v>
      </c>
      <c r="F33" s="61">
        <f t="shared" si="1"/>
        <v>0</v>
      </c>
      <c r="G33" s="59">
        <v>0</v>
      </c>
      <c r="H33" s="61">
        <f t="shared" si="2"/>
        <v>0</v>
      </c>
      <c r="I33" s="59">
        <v>0</v>
      </c>
      <c r="J33" s="60">
        <f t="shared" si="3"/>
        <v>0</v>
      </c>
    </row>
    <row r="34" spans="1:10" x14ac:dyDescent="0.2">
      <c r="A34">
        <v>23</v>
      </c>
      <c r="B34" s="58"/>
      <c r="C34" s="61">
        <f>F33</f>
        <v>0</v>
      </c>
      <c r="D34" s="59">
        <v>0</v>
      </c>
      <c r="E34" s="59">
        <v>0</v>
      </c>
      <c r="F34" s="61">
        <f t="shared" si="1"/>
        <v>0</v>
      </c>
      <c r="G34" s="59">
        <v>0</v>
      </c>
      <c r="H34" s="61">
        <f t="shared" si="2"/>
        <v>0</v>
      </c>
      <c r="I34" s="59">
        <v>0</v>
      </c>
      <c r="J34" s="60">
        <f t="shared" si="3"/>
        <v>0</v>
      </c>
    </row>
    <row r="35" spans="1:10" x14ac:dyDescent="0.2">
      <c r="A35">
        <v>24</v>
      </c>
      <c r="B35" s="58"/>
      <c r="C35" s="61">
        <f t="shared" si="0"/>
        <v>0</v>
      </c>
      <c r="D35" s="59">
        <v>0</v>
      </c>
      <c r="E35" s="59">
        <v>0</v>
      </c>
      <c r="F35" s="61">
        <f t="shared" si="1"/>
        <v>0</v>
      </c>
      <c r="G35" s="59">
        <v>0</v>
      </c>
      <c r="H35" s="61">
        <f t="shared" si="2"/>
        <v>0</v>
      </c>
      <c r="I35" s="59">
        <v>0</v>
      </c>
      <c r="J35" s="60">
        <f t="shared" si="3"/>
        <v>0</v>
      </c>
    </row>
    <row r="36" spans="1:10" x14ac:dyDescent="0.2">
      <c r="A36">
        <v>25</v>
      </c>
      <c r="B36" s="58"/>
      <c r="C36" s="61">
        <f t="shared" si="0"/>
        <v>0</v>
      </c>
      <c r="D36" s="59">
        <v>0</v>
      </c>
      <c r="E36" s="59">
        <v>0</v>
      </c>
      <c r="F36" s="61">
        <f t="shared" si="1"/>
        <v>0</v>
      </c>
      <c r="G36" s="59">
        <v>0</v>
      </c>
      <c r="H36" s="61">
        <f t="shared" si="2"/>
        <v>0</v>
      </c>
      <c r="I36" s="59">
        <v>0</v>
      </c>
      <c r="J36" s="60">
        <f t="shared" si="3"/>
        <v>0</v>
      </c>
    </row>
    <row r="37" spans="1:10" x14ac:dyDescent="0.2">
      <c r="A37">
        <v>26</v>
      </c>
      <c r="B37" s="58"/>
      <c r="C37" s="61">
        <f t="shared" si="0"/>
        <v>0</v>
      </c>
      <c r="D37" s="59">
        <v>0</v>
      </c>
      <c r="E37" s="59">
        <v>0</v>
      </c>
      <c r="F37" s="61">
        <f t="shared" si="1"/>
        <v>0</v>
      </c>
      <c r="G37" s="59">
        <v>0</v>
      </c>
      <c r="H37" s="61">
        <f t="shared" si="2"/>
        <v>0</v>
      </c>
      <c r="I37" s="59">
        <v>0</v>
      </c>
      <c r="J37" s="60">
        <f t="shared" si="3"/>
        <v>0</v>
      </c>
    </row>
    <row r="38" spans="1:10" x14ac:dyDescent="0.2">
      <c r="A38">
        <v>27</v>
      </c>
      <c r="B38" s="58"/>
      <c r="C38" s="61">
        <f t="shared" si="0"/>
        <v>0</v>
      </c>
      <c r="D38" s="59">
        <v>0</v>
      </c>
      <c r="E38" s="59">
        <v>0</v>
      </c>
      <c r="F38" s="61">
        <f t="shared" si="1"/>
        <v>0</v>
      </c>
      <c r="G38" s="59">
        <v>0</v>
      </c>
      <c r="H38" s="61">
        <f t="shared" si="2"/>
        <v>0</v>
      </c>
      <c r="I38" s="59">
        <v>0</v>
      </c>
      <c r="J38" s="60">
        <f t="shared" si="3"/>
        <v>0</v>
      </c>
    </row>
    <row r="39" spans="1:10" x14ac:dyDescent="0.2">
      <c r="A39">
        <v>28</v>
      </c>
      <c r="B39" s="58"/>
      <c r="C39" s="61">
        <f>F38</f>
        <v>0</v>
      </c>
      <c r="D39" s="59">
        <v>0</v>
      </c>
      <c r="E39" s="59">
        <v>0</v>
      </c>
      <c r="F39" s="61">
        <f t="shared" si="1"/>
        <v>0</v>
      </c>
      <c r="G39" s="59">
        <v>0</v>
      </c>
      <c r="H39" s="61">
        <f t="shared" si="2"/>
        <v>0</v>
      </c>
      <c r="I39" s="59">
        <v>0</v>
      </c>
      <c r="J39" s="60">
        <f t="shared" si="3"/>
        <v>0</v>
      </c>
    </row>
    <row r="40" spans="1:10" x14ac:dyDescent="0.2">
      <c r="A40">
        <v>29</v>
      </c>
      <c r="B40" s="58"/>
      <c r="C40" s="61">
        <f t="shared" si="0"/>
        <v>0</v>
      </c>
      <c r="D40" s="59">
        <v>0</v>
      </c>
      <c r="E40" s="59">
        <v>0</v>
      </c>
      <c r="F40" s="61">
        <f t="shared" si="1"/>
        <v>0</v>
      </c>
      <c r="G40" s="59">
        <v>0</v>
      </c>
      <c r="H40" s="61">
        <f t="shared" si="2"/>
        <v>0</v>
      </c>
      <c r="I40" s="59">
        <v>0</v>
      </c>
      <c r="J40" s="60">
        <f t="shared" si="3"/>
        <v>0</v>
      </c>
    </row>
    <row r="41" spans="1:10" x14ac:dyDescent="0.2">
      <c r="A41">
        <v>30</v>
      </c>
      <c r="B41" s="58"/>
      <c r="C41" s="61">
        <f t="shared" si="0"/>
        <v>0</v>
      </c>
      <c r="D41" s="59">
        <v>0</v>
      </c>
      <c r="E41" s="59">
        <v>0</v>
      </c>
      <c r="F41" s="61">
        <f t="shared" si="1"/>
        <v>0</v>
      </c>
      <c r="G41" s="59">
        <v>0</v>
      </c>
      <c r="H41" s="61">
        <f t="shared" si="2"/>
        <v>0</v>
      </c>
      <c r="I41" s="59">
        <v>0</v>
      </c>
      <c r="J41" s="60">
        <f t="shared" si="3"/>
        <v>0</v>
      </c>
    </row>
    <row r="42" spans="1:10" s="193" customFormat="1" x14ac:dyDescent="0.2">
      <c r="A42" s="222"/>
      <c r="B42" s="62"/>
      <c r="C42" s="64"/>
      <c r="D42" s="63"/>
      <c r="E42" s="63"/>
      <c r="F42" s="64"/>
      <c r="G42" s="63"/>
      <c r="H42" s="64"/>
      <c r="I42" s="63"/>
      <c r="J42" s="64"/>
    </row>
    <row r="43" spans="1:10" s="193" customFormat="1" x14ac:dyDescent="0.2">
      <c r="A43" s="222"/>
      <c r="B43" s="62"/>
      <c r="C43" s="64"/>
      <c r="D43" s="63"/>
      <c r="E43" s="63"/>
      <c r="F43" s="64"/>
      <c r="G43" s="63"/>
      <c r="H43" s="64"/>
      <c r="I43" s="63"/>
      <c r="J43" s="64"/>
    </row>
    <row r="44" spans="1:10" s="193" customFormat="1" x14ac:dyDescent="0.2">
      <c r="A44" s="222"/>
      <c r="B44" s="62"/>
      <c r="C44" s="64"/>
      <c r="D44" s="63"/>
      <c r="E44" s="63"/>
      <c r="F44" s="64"/>
      <c r="G44" s="63"/>
      <c r="H44" s="64"/>
      <c r="I44" s="63"/>
      <c r="J44" s="64"/>
    </row>
    <row r="45" spans="1:10" s="193" customFormat="1" ht="13.5" thickBot="1" x14ac:dyDescent="0.25">
      <c r="A45" s="222"/>
      <c r="B45" s="62"/>
      <c r="C45" s="64"/>
      <c r="D45" s="63"/>
      <c r="E45" s="63"/>
      <c r="F45" s="64"/>
      <c r="G45" s="63"/>
      <c r="H45" s="64"/>
      <c r="I45" s="63"/>
      <c r="J45" s="64"/>
    </row>
    <row r="46" spans="1:10" s="193" customFormat="1" ht="14.25" thickTop="1" thickBot="1" x14ac:dyDescent="0.25">
      <c r="A46" s="223"/>
      <c r="B46" s="66" t="s">
        <v>119</v>
      </c>
      <c r="C46" s="67">
        <f>SUM(C12:C45)</f>
        <v>0</v>
      </c>
      <c r="D46" s="67">
        <f t="shared" ref="D46:J46" si="4">SUM(D12:D45)</f>
        <v>0</v>
      </c>
      <c r="E46" s="67">
        <f t="shared" si="4"/>
        <v>0</v>
      </c>
      <c r="F46" s="67">
        <f t="shared" si="4"/>
        <v>0</v>
      </c>
      <c r="G46" s="67">
        <f t="shared" si="4"/>
        <v>0</v>
      </c>
      <c r="H46" s="67">
        <f t="shared" si="4"/>
        <v>0</v>
      </c>
      <c r="I46" s="67">
        <f t="shared" si="4"/>
        <v>0</v>
      </c>
      <c r="J46" s="67">
        <f t="shared" si="4"/>
        <v>0</v>
      </c>
    </row>
    <row r="47" spans="1:10" s="193" customFormat="1" ht="14.25" thickTop="1" thickBot="1" x14ac:dyDescent="0.25">
      <c r="A47" s="223"/>
      <c r="B47" s="66" t="s">
        <v>244</v>
      </c>
      <c r="C47" s="68">
        <f>AVERAGE(C12:C45)</f>
        <v>0</v>
      </c>
      <c r="D47" s="68">
        <f t="shared" ref="D47:J47" si="5">AVERAGE(D12:D45)</f>
        <v>0</v>
      </c>
      <c r="E47" s="68">
        <f t="shared" si="5"/>
        <v>0</v>
      </c>
      <c r="F47" s="68">
        <f t="shared" si="5"/>
        <v>0</v>
      </c>
      <c r="G47" s="68">
        <f t="shared" si="5"/>
        <v>0</v>
      </c>
      <c r="H47" s="68">
        <f t="shared" si="5"/>
        <v>0</v>
      </c>
      <c r="I47" s="68">
        <f t="shared" si="5"/>
        <v>0</v>
      </c>
      <c r="J47" s="68">
        <f t="shared" si="5"/>
        <v>0</v>
      </c>
    </row>
    <row r="48" spans="1:10" ht="13.5" thickTop="1" x14ac:dyDescent="0.2"/>
    <row r="49" spans="2:5" x14ac:dyDescent="0.2">
      <c r="B49" s="69"/>
      <c r="C49" s="69"/>
      <c r="E49" s="69"/>
    </row>
    <row r="50" spans="2:5" x14ac:dyDescent="0.2">
      <c r="B50" s="65" t="s">
        <v>250</v>
      </c>
      <c r="C50" s="65"/>
      <c r="E50" s="65" t="s">
        <v>251</v>
      </c>
    </row>
    <row r="53" spans="2:5" x14ac:dyDescent="0.2">
      <c r="B53" s="70"/>
      <c r="C53" s="70"/>
    </row>
  </sheetData>
  <sheetProtection password="EE5D" sheet="1" objects="1" scenarios="1" insertRows="0" deleteRows="0"/>
  <mergeCells count="1">
    <mergeCell ref="C1:J1"/>
  </mergeCells>
  <printOptions horizontalCentered="1"/>
  <pageMargins left="0.3" right="0.3" top="0.5" bottom="0.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Enrollment Data</vt:lpstr>
      <vt:lpstr>ADA Data - SOF</vt:lpstr>
      <vt:lpstr>SCE Worksheet</vt:lpstr>
      <vt:lpstr>Payment Formula</vt:lpstr>
      <vt:lpstr>Charter Data</vt:lpstr>
      <vt:lpstr>Membership Report</vt:lpstr>
      <vt:lpstr>Sheet1</vt:lpstr>
      <vt:lpstr>'ADA Data - SOF'!Print_Area</vt:lpstr>
      <vt:lpstr>'Charter Data'!Print_Area</vt:lpstr>
      <vt:lpstr>'Enrollment Data'!Print_Area</vt:lpstr>
      <vt:lpstr>'Membership Report'!Print_Area</vt:lpstr>
      <vt:lpstr>'Charter Data'!Print_Titles</vt:lpstr>
      <vt:lpstr>'Enrollment Data'!Print_Titles</vt:lpstr>
    </vt:vector>
  </TitlesOfParts>
  <Company>Texas Education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nora rainey</cp:lastModifiedBy>
  <cp:lastPrinted>2014-05-12T18:44:23Z</cp:lastPrinted>
  <dcterms:created xsi:type="dcterms:W3CDTF">1998-05-05T01:54:51Z</dcterms:created>
  <dcterms:modified xsi:type="dcterms:W3CDTF">2014-09-18T12:25:44Z</dcterms:modified>
</cp:coreProperties>
</file>