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_School Finance Unit\State Funding\Facilities and Transportation\IFA\round11\Final\"/>
    </mc:Choice>
  </mc:AlternateContent>
  <bookViews>
    <workbookView xWindow="0" yWindow="0" windowWidth="20160" windowHeight="9030" firstSheet="3" activeTab="3"/>
  </bookViews>
  <sheets>
    <sheet name="mac_plus" sheetId="1" state="hidden" r:id="rId1"/>
    <sheet name="Klein ISD multiple costs " sheetId="3" state="hidden" r:id="rId2"/>
    <sheet name="APP_DATE" sheetId="4" state="hidden" r:id="rId3"/>
    <sheet name="Funded Applications" sheetId="15" r:id="rId4"/>
    <sheet name="Unfunded Applications" sheetId="14" r:id="rId5"/>
  </sheets>
  <definedNames>
    <definedName name="APP_DATE">APP_DATE!$A$1:$AN$240</definedName>
    <definedName name="FINAL_08022016" localSheetId="3">#REF!</definedName>
    <definedName name="FINAL_08022016" localSheetId="4">#REF!</definedName>
    <definedName name="FINAL_08022016">#REF!</definedName>
    <definedName name="FINAL_08022016_ex" localSheetId="3">#REF!</definedName>
    <definedName name="FINAL_08022016_ex" localSheetId="4">#REF!</definedName>
    <definedName name="FINAL_08022016_ex">#REF!</definedName>
    <definedName name="FINAL_08022016_ex_b" localSheetId="3">'Funded Applications'!$B$1:$I$132</definedName>
    <definedName name="FINAL_08022016_ex_b" localSheetId="4">'Unfunded Applications'!$B$1:$H$92</definedName>
    <definedName name="FINAL_08022016_ex_b">#REF!</definedName>
    <definedName name="jackies_dst">#REF!</definedName>
    <definedName name="mac_plus">mac_plus!$A$1:$W$239</definedName>
    <definedName name="mac_plus_ds">#REF!</definedName>
    <definedName name="_xlnm.Print_Area" localSheetId="3">'Funded Applications'!$A$1:$Q$132</definedName>
    <definedName name="_xlnm.Print_Area" localSheetId="4">'Unfunded Applications'!$A$1:$K$105</definedName>
  </definedNames>
  <calcPr calcId="171027"/>
</workbook>
</file>

<file path=xl/calcChain.xml><?xml version="1.0" encoding="utf-8"?>
<calcChain xmlns="http://schemas.openxmlformats.org/spreadsheetml/2006/main">
  <c r="AA223" i="1" l="1"/>
  <c r="AA83" i="1" l="1"/>
  <c r="AA21" i="1"/>
  <c r="AA85" i="1"/>
  <c r="AA86" i="1"/>
  <c r="AA84" i="1"/>
  <c r="AA186" i="1"/>
  <c r="AA216" i="1"/>
  <c r="AA182" i="1"/>
  <c r="AA80" i="1"/>
  <c r="AA169" i="1"/>
  <c r="AA175" i="1"/>
  <c r="AA89" i="1" l="1"/>
  <c r="AA221" i="1"/>
  <c r="Y119" i="1" l="1"/>
  <c r="Z119" i="1" s="1"/>
  <c r="I4" i="3" l="1"/>
  <c r="I5" i="3"/>
  <c r="I6" i="3"/>
  <c r="I9" i="3"/>
  <c r="I10" i="3"/>
  <c r="I11" i="3"/>
  <c r="H47" i="3"/>
  <c r="I45" i="3"/>
  <c r="I44" i="3"/>
  <c r="I43" i="3"/>
  <c r="I42" i="3"/>
  <c r="I41" i="3"/>
  <c r="I40" i="3"/>
  <c r="I39" i="3"/>
  <c r="I38" i="3"/>
  <c r="I37" i="3"/>
  <c r="I36" i="3"/>
  <c r="I35" i="3"/>
  <c r="I34" i="3"/>
  <c r="F47" i="3"/>
  <c r="D45" i="3"/>
  <c r="D44" i="3"/>
  <c r="D43" i="3"/>
  <c r="D42" i="3"/>
  <c r="D39" i="3"/>
  <c r="D37" i="3"/>
  <c r="D36" i="3"/>
  <c r="E47" i="3"/>
  <c r="D41" i="3"/>
  <c r="D40" i="3"/>
  <c r="D38" i="3"/>
  <c r="D35" i="3"/>
  <c r="D34" i="3"/>
  <c r="AA222" i="1"/>
  <c r="I26" i="3"/>
  <c r="I25" i="3"/>
  <c r="I24" i="3"/>
  <c r="I23" i="3"/>
  <c r="I20" i="3"/>
  <c r="I19" i="3"/>
  <c r="H28" i="3"/>
  <c r="D26" i="3"/>
  <c r="D25" i="3"/>
  <c r="D24" i="3"/>
  <c r="D23" i="3"/>
  <c r="D20" i="3"/>
  <c r="D19" i="3"/>
  <c r="I3" i="3"/>
  <c r="H13" i="3"/>
  <c r="D11" i="3"/>
  <c r="D10" i="3"/>
  <c r="D9" i="3"/>
  <c r="D6" i="3"/>
  <c r="D5" i="3"/>
  <c r="D4" i="3"/>
  <c r="I2" i="3"/>
  <c r="F28" i="3"/>
  <c r="Y120" i="1" s="1"/>
  <c r="Z120" i="1" s="1"/>
  <c r="E28" i="3"/>
  <c r="D22" i="3"/>
  <c r="D21" i="3"/>
  <c r="F13" i="3"/>
  <c r="E13" i="3"/>
  <c r="D8" i="3"/>
  <c r="D7" i="3"/>
  <c r="D3" i="3"/>
  <c r="D2" i="3"/>
  <c r="Z117" i="1"/>
  <c r="AA93" i="1"/>
  <c r="Z93" i="1"/>
  <c r="AA111" i="1"/>
  <c r="AA228" i="1"/>
  <c r="AA51" i="1"/>
  <c r="AA50" i="1"/>
  <c r="AA210" i="1"/>
  <c r="AA140" i="1"/>
  <c r="AA139" i="1"/>
  <c r="AA200" i="1"/>
  <c r="AA55" i="1"/>
  <c r="AA188" i="1"/>
  <c r="AA78" i="1"/>
  <c r="AA77" i="1"/>
  <c r="AA76" i="1"/>
  <c r="AA129" i="1"/>
  <c r="AA150" i="1"/>
  <c r="AA96" i="1"/>
  <c r="AA95" i="1"/>
  <c r="AA234" i="1"/>
  <c r="AA17" i="1"/>
  <c r="AA235" i="1"/>
  <c r="AA87" i="1"/>
  <c r="AA102" i="1"/>
  <c r="AA174" i="1"/>
  <c r="AA14" i="1"/>
  <c r="AA3" i="1"/>
  <c r="AA165" i="1"/>
  <c r="AA7" i="1"/>
  <c r="AA125" i="1"/>
  <c r="AA22" i="1"/>
  <c r="AA146" i="1"/>
  <c r="AA232" i="1"/>
  <c r="AA203" i="1"/>
  <c r="AA202" i="1"/>
  <c r="AA201" i="1"/>
  <c r="AA12" i="1"/>
  <c r="AA90" i="1"/>
  <c r="AA211" i="1"/>
  <c r="AA8" i="1"/>
  <c r="AA194" i="1"/>
  <c r="AA206" i="1"/>
  <c r="AA238" i="1"/>
  <c r="AA237" i="1"/>
  <c r="AA49" i="1"/>
  <c r="AA48" i="1"/>
  <c r="AA47" i="1"/>
  <c r="AA46" i="1"/>
  <c r="AA45" i="1"/>
  <c r="AA6" i="1"/>
  <c r="AA147" i="1"/>
  <c r="AA23" i="1"/>
  <c r="AA239" i="1"/>
  <c r="AA189" i="1"/>
  <c r="AA124" i="1"/>
  <c r="AA123" i="1"/>
  <c r="AA205" i="1"/>
  <c r="AA30" i="1"/>
  <c r="AA179" i="1"/>
  <c r="AA178" i="1"/>
  <c r="AA177" i="1"/>
  <c r="AA176" i="1"/>
  <c r="AA56" i="1"/>
  <c r="AA91" i="1"/>
  <c r="AA170" i="1"/>
  <c r="AA195" i="1"/>
  <c r="AA75" i="1"/>
  <c r="AA162" i="1"/>
  <c r="AA161" i="1"/>
  <c r="AA160" i="1"/>
  <c r="AA69" i="1"/>
  <c r="AA137" i="1"/>
  <c r="AA44" i="1"/>
  <c r="AA43" i="1"/>
  <c r="AA171" i="1"/>
  <c r="AA42" i="1"/>
  <c r="AA168" i="1"/>
  <c r="AA128" i="1"/>
  <c r="AA127" i="1"/>
  <c r="AA135" i="1"/>
  <c r="AA134" i="1"/>
  <c r="AA133" i="1"/>
  <c r="AA167" i="1"/>
  <c r="AA164" i="1"/>
  <c r="AA163" i="1"/>
  <c r="AA54" i="1"/>
  <c r="AA53" i="1"/>
  <c r="AA52" i="1"/>
  <c r="AA101" i="1"/>
  <c r="AA191" i="1"/>
  <c r="AA185" i="1"/>
  <c r="AA73" i="1"/>
  <c r="AA72" i="1"/>
  <c r="AA71" i="1"/>
  <c r="AA143" i="1"/>
  <c r="AA142" i="1"/>
  <c r="AA233" i="1"/>
  <c r="AA18" i="1"/>
  <c r="AA136" i="1"/>
  <c r="AA68" i="1"/>
  <c r="AA122" i="1"/>
  <c r="AA121" i="1"/>
  <c r="AA157" i="1"/>
  <c r="AA100" i="1"/>
  <c r="AA99" i="1"/>
  <c r="AA220" i="1"/>
  <c r="AA156" i="1"/>
  <c r="AA155" i="1"/>
  <c r="AA116" i="1"/>
  <c r="AA115" i="1"/>
  <c r="AA114" i="1"/>
  <c r="AA113" i="1"/>
  <c r="AA112" i="1"/>
  <c r="AA15" i="1"/>
  <c r="AA29" i="1"/>
  <c r="AA28" i="1"/>
  <c r="AA27" i="1"/>
  <c r="AA138" i="1"/>
  <c r="AA74" i="1"/>
  <c r="AA231" i="1"/>
  <c r="AA110" i="1"/>
  <c r="AA126" i="1"/>
  <c r="AA5" i="1"/>
  <c r="AA4" i="1"/>
  <c r="AA197" i="1"/>
  <c r="AA196" i="1"/>
  <c r="AA236" i="1"/>
  <c r="AA9" i="1"/>
  <c r="AA10" i="1"/>
  <c r="AA98" i="1"/>
  <c r="AA97" i="1"/>
  <c r="AA144" i="1"/>
  <c r="AA67" i="1"/>
  <c r="AA66" i="1"/>
  <c r="AA65" i="1"/>
  <c r="AA64" i="1"/>
  <c r="AA190" i="1"/>
  <c r="AA59" i="1"/>
  <c r="AA58" i="1"/>
  <c r="AA62" i="1"/>
  <c r="AA63" i="1"/>
  <c r="AA61" i="1"/>
  <c r="AA229" i="1"/>
  <c r="AA41" i="1"/>
  <c r="AA40" i="1"/>
  <c r="AA39" i="1"/>
  <c r="AA38" i="1"/>
  <c r="AA37" i="1"/>
  <c r="AA166" i="1"/>
  <c r="AA2" i="1"/>
  <c r="AA154" i="1"/>
  <c r="AA153" i="1"/>
  <c r="AA219" i="1"/>
  <c r="AA218" i="1"/>
  <c r="AA217" i="1"/>
  <c r="AA26" i="1"/>
  <c r="AA13" i="1"/>
  <c r="AA226" i="1"/>
  <c r="AA92" i="1"/>
  <c r="AA60" i="1"/>
  <c r="AA70" i="1"/>
  <c r="AA57" i="1"/>
  <c r="AA159" i="1"/>
  <c r="AA180" i="1"/>
  <c r="AA181" i="1"/>
  <c r="AA225" i="1"/>
  <c r="AA224" i="1"/>
  <c r="AA109" i="1"/>
  <c r="AA108" i="1"/>
  <c r="AA107" i="1"/>
  <c r="AA152" i="1"/>
  <c r="AA151" i="1"/>
  <c r="AA184" i="1"/>
  <c r="AA183" i="1"/>
  <c r="AA173" i="1"/>
  <c r="AA94" i="1"/>
  <c r="AA79" i="1"/>
  <c r="AA158" i="1"/>
  <c r="AA106" i="1"/>
  <c r="AA36" i="1"/>
  <c r="AA187" i="1"/>
  <c r="AA199" i="1"/>
  <c r="AA198" i="1"/>
  <c r="AA82" i="1"/>
  <c r="AA81" i="1"/>
  <c r="AA172" i="1"/>
  <c r="AA230" i="1"/>
  <c r="AA209" i="1"/>
  <c r="AA88" i="1"/>
  <c r="AA24" i="1"/>
  <c r="AA145" i="1"/>
  <c r="AA16" i="1"/>
  <c r="AA25" i="1"/>
  <c r="AA131" i="1"/>
  <c r="AA130" i="1"/>
  <c r="AA208" i="1"/>
  <c r="AA207" i="1"/>
  <c r="AA212" i="1"/>
  <c r="AA215" i="1"/>
  <c r="AA214" i="1"/>
  <c r="AA213" i="1"/>
  <c r="AA204" i="1"/>
  <c r="AA193" i="1"/>
  <c r="AA192" i="1"/>
  <c r="AA35" i="1"/>
  <c r="AA33" i="1"/>
  <c r="AA32" i="1"/>
  <c r="AA20" i="1"/>
  <c r="AA19" i="1"/>
  <c r="AA149" i="1"/>
  <c r="AA148" i="1"/>
  <c r="AA105" i="1"/>
  <c r="AA227" i="1"/>
  <c r="Z80" i="1"/>
  <c r="Z228" i="1"/>
  <c r="Z51" i="1"/>
  <c r="Z50" i="1"/>
  <c r="Z210" i="1"/>
  <c r="Z140" i="1"/>
  <c r="Z139" i="1"/>
  <c r="Z200" i="1"/>
  <c r="Z55" i="1"/>
  <c r="Z188" i="1"/>
  <c r="Z78" i="1"/>
  <c r="Z77" i="1"/>
  <c r="Z76" i="1"/>
  <c r="Z129" i="1"/>
  <c r="Z150" i="1"/>
  <c r="Z96" i="1"/>
  <c r="Z83" i="1"/>
  <c r="Z95" i="1"/>
  <c r="Z234" i="1"/>
  <c r="Z17" i="1"/>
  <c r="Z235" i="1"/>
  <c r="Z87" i="1"/>
  <c r="Z102" i="1"/>
  <c r="Z175" i="1"/>
  <c r="Z174" i="1"/>
  <c r="Z14" i="1"/>
  <c r="Z86" i="1"/>
  <c r="Z85" i="1"/>
  <c r="Z84" i="1"/>
  <c r="Z3" i="1"/>
  <c r="Z165" i="1"/>
  <c r="Z7" i="1"/>
  <c r="Z125" i="1"/>
  <c r="Z22" i="1"/>
  <c r="Z146" i="1"/>
  <c r="Z232" i="1"/>
  <c r="Z203" i="1"/>
  <c r="Z202" i="1"/>
  <c r="Z201" i="1"/>
  <c r="Z12" i="1"/>
  <c r="Z90" i="1"/>
  <c r="Z211" i="1"/>
  <c r="Z8" i="1"/>
  <c r="Z194" i="1"/>
  <c r="Z206" i="1"/>
  <c r="Z21" i="1"/>
  <c r="Z238" i="1"/>
  <c r="Z237" i="1"/>
  <c r="Z49" i="1"/>
  <c r="Z48" i="1"/>
  <c r="Z47" i="1"/>
  <c r="Z46" i="1"/>
  <c r="Z45" i="1"/>
  <c r="Z6" i="1"/>
  <c r="Z147" i="1"/>
  <c r="Z23" i="1"/>
  <c r="Z239" i="1"/>
  <c r="Z189" i="1"/>
  <c r="Z124" i="1"/>
  <c r="Z123" i="1"/>
  <c r="Z205" i="1"/>
  <c r="Z30" i="1"/>
  <c r="Z179" i="1"/>
  <c r="Z178" i="1"/>
  <c r="Z177" i="1"/>
  <c r="Z176" i="1"/>
  <c r="Z56" i="1"/>
  <c r="Z91" i="1"/>
  <c r="Z170" i="1"/>
  <c r="Z186" i="1"/>
  <c r="Z195" i="1"/>
  <c r="Z75" i="1"/>
  <c r="Z162" i="1"/>
  <c r="Z161" i="1"/>
  <c r="Z160" i="1"/>
  <c r="Z69" i="1"/>
  <c r="Z137" i="1"/>
  <c r="Z44" i="1"/>
  <c r="Z43" i="1"/>
  <c r="Z171" i="1"/>
  <c r="Z42" i="1"/>
  <c r="Z169" i="1"/>
  <c r="Z168" i="1"/>
  <c r="Z128" i="1"/>
  <c r="Z223" i="1"/>
  <c r="Z222" i="1"/>
  <c r="Z221" i="1"/>
  <c r="Z127" i="1"/>
  <c r="Z135" i="1"/>
  <c r="Z134" i="1"/>
  <c r="Z133" i="1"/>
  <c r="Z167" i="1"/>
  <c r="Z164" i="1"/>
  <c r="Z163" i="1"/>
  <c r="Z54" i="1"/>
  <c r="Z53" i="1"/>
  <c r="Z52" i="1"/>
  <c r="Z101" i="1"/>
  <c r="Z191" i="1"/>
  <c r="Z185" i="1"/>
  <c r="Z73" i="1"/>
  <c r="Z72" i="1"/>
  <c r="Z71" i="1"/>
  <c r="Z143" i="1"/>
  <c r="Z142" i="1"/>
  <c r="Z233" i="1"/>
  <c r="Z18" i="1"/>
  <c r="Z136" i="1"/>
  <c r="Z68" i="1"/>
  <c r="Z122" i="1"/>
  <c r="Z121" i="1"/>
  <c r="Z118" i="1"/>
  <c r="Z157" i="1"/>
  <c r="Z100" i="1"/>
  <c r="Z99" i="1"/>
  <c r="Z220" i="1"/>
  <c r="Z156" i="1"/>
  <c r="Z155" i="1"/>
  <c r="Z116" i="1"/>
  <c r="Z115" i="1"/>
  <c r="Z114" i="1"/>
  <c r="Z113" i="1"/>
  <c r="Z112" i="1"/>
  <c r="Z111" i="1"/>
  <c r="Z15" i="1"/>
  <c r="Z29" i="1"/>
  <c r="Z28" i="1"/>
  <c r="Z27" i="1"/>
  <c r="Z138" i="1"/>
  <c r="Z74" i="1"/>
  <c r="Z231" i="1"/>
  <c r="Z110" i="1"/>
  <c r="Z126" i="1"/>
  <c r="Z5" i="1"/>
  <c r="Z4" i="1"/>
  <c r="Z197" i="1"/>
  <c r="Z196" i="1"/>
  <c r="Z236" i="1"/>
  <c r="Z9" i="1"/>
  <c r="Z10" i="1"/>
  <c r="Z98" i="1"/>
  <c r="Z97" i="1"/>
  <c r="Z144" i="1"/>
  <c r="Z67" i="1"/>
  <c r="Z66" i="1"/>
  <c r="Z65" i="1"/>
  <c r="Z64" i="1"/>
  <c r="Z141" i="1"/>
  <c r="Z190" i="1"/>
  <c r="Z59" i="1"/>
  <c r="Z58" i="1"/>
  <c r="Z62" i="1"/>
  <c r="Z63" i="1"/>
  <c r="Z61" i="1"/>
  <c r="Z229" i="1"/>
  <c r="Z41" i="1"/>
  <c r="Z40" i="1"/>
  <c r="Z39" i="1"/>
  <c r="Z38" i="1"/>
  <c r="Z37" i="1"/>
  <c r="Z166" i="1"/>
  <c r="Z2" i="1"/>
  <c r="Z154" i="1"/>
  <c r="Z153" i="1"/>
  <c r="Z219" i="1"/>
  <c r="Z218" i="1"/>
  <c r="Z217" i="1"/>
  <c r="Z26" i="1"/>
  <c r="Z13" i="1"/>
  <c r="Z226" i="1"/>
  <c r="Z89" i="1"/>
  <c r="Z92" i="1"/>
  <c r="Z60" i="1"/>
  <c r="Z70" i="1"/>
  <c r="Z57" i="1"/>
  <c r="Z159" i="1"/>
  <c r="Z180" i="1"/>
  <c r="Z181" i="1"/>
  <c r="Z225" i="1"/>
  <c r="Z224" i="1"/>
  <c r="Z109" i="1"/>
  <c r="Z108" i="1"/>
  <c r="Z107" i="1"/>
  <c r="Z152" i="1"/>
  <c r="Z151" i="1"/>
  <c r="Z182" i="1"/>
  <c r="Z184" i="1"/>
  <c r="Z183" i="1"/>
  <c r="Z173" i="1"/>
  <c r="Z94" i="1"/>
  <c r="Z79" i="1"/>
  <c r="Z158" i="1"/>
  <c r="Z106" i="1"/>
  <c r="Z36" i="1"/>
  <c r="Z187" i="1"/>
  <c r="Z199" i="1"/>
  <c r="Z198" i="1"/>
  <c r="Z82" i="1"/>
  <c r="Z81" i="1"/>
  <c r="Z172" i="1"/>
  <c r="Z230" i="1"/>
  <c r="Z209" i="1"/>
  <c r="Z88" i="1"/>
  <c r="Z24" i="1"/>
  <c r="Z145" i="1"/>
  <c r="Z16" i="1"/>
  <c r="Z216" i="1"/>
  <c r="Z25" i="1"/>
  <c r="Z131" i="1"/>
  <c r="Z130" i="1"/>
  <c r="Z208" i="1"/>
  <c r="Z207" i="1"/>
  <c r="Z212" i="1"/>
  <c r="Z215" i="1"/>
  <c r="Z214" i="1"/>
  <c r="Z213" i="1"/>
  <c r="Z204" i="1"/>
  <c r="Z193" i="1"/>
  <c r="Z192" i="1"/>
  <c r="Z35" i="1"/>
  <c r="Z34" i="1"/>
  <c r="Z33" i="1"/>
  <c r="Z32" i="1"/>
  <c r="Z20" i="1"/>
  <c r="Z19" i="1"/>
  <c r="Z149" i="1"/>
  <c r="Z148" i="1"/>
  <c r="Z105" i="1"/>
  <c r="Z227" i="1"/>
  <c r="Z103" i="1"/>
  <c r="AA103" i="1"/>
  <c r="I47" i="3" l="1"/>
  <c r="I13" i="3"/>
  <c r="AA117" i="1" s="1"/>
  <c r="I28" i="3"/>
  <c r="D13" i="3"/>
  <c r="D28" i="3"/>
  <c r="Z104" i="1"/>
  <c r="AA104" i="1" l="1"/>
</calcChain>
</file>

<file path=xl/comments1.xml><?xml version="1.0" encoding="utf-8"?>
<comments xmlns="http://schemas.openxmlformats.org/spreadsheetml/2006/main">
  <authors>
    <author>amckenzi</author>
  </authors>
  <commentList>
    <comment ref="I95" authorId="0" shapeId="0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bond partially refunded another IFA bond, qualified percentage lowered to reflect that 33% of the bond is a refund</t>
        </r>
      </text>
    </comment>
    <comment ref="I107" authorId="0" shapeId="0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revised to reflect percent which refunds an existing IFA bond</t>
        </r>
      </text>
    </comment>
  </commentList>
</comments>
</file>

<file path=xl/comments2.xml><?xml version="1.0" encoding="utf-8"?>
<comments xmlns="http://schemas.openxmlformats.org/spreadsheetml/2006/main">
  <authors>
    <author>acopelan</author>
    <author>Copeland, Amy</author>
  </authors>
  <commentList>
    <comment ref="H104" authorId="0" shapeId="0">
      <text>
        <r>
          <rPr>
            <b/>
            <sz val="9"/>
            <color indexed="81"/>
            <rFont val="Tahoma"/>
            <family val="2"/>
          </rPr>
          <t>acopelan:</t>
        </r>
        <r>
          <rPr>
            <sz val="9"/>
            <color indexed="81"/>
            <rFont val="Tahoma"/>
            <family val="2"/>
          </rPr>
          <t xml:space="preserve">
Set to zero was fullly funded in round 10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acopelan:</t>
        </r>
        <r>
          <rPr>
            <sz val="9"/>
            <color indexed="81"/>
            <rFont val="Tahoma"/>
            <family val="2"/>
          </rPr>
          <t xml:space="preserve">
Set to zero, no elligible debt in FY17</t>
        </r>
      </text>
    </comment>
    <comment ref="H106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Non-qualified per letter from FA dated July 24, and amendments.</t>
        </r>
      </text>
    </comment>
    <comment ref="H107" authorId="1" shapeId="0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Non-qualified per letter from FA dated July 24, and amendments.</t>
        </r>
      </text>
    </comment>
  </commentList>
</comments>
</file>

<file path=xl/sharedStrings.xml><?xml version="1.0" encoding="utf-8"?>
<sst xmlns="http://schemas.openxmlformats.org/spreadsheetml/2006/main" count="4134" uniqueCount="1265">
  <si>
    <t>District_name</t>
  </si>
  <si>
    <t>C</t>
  </si>
  <si>
    <t>MAC_title</t>
  </si>
  <si>
    <t>CPA_REG_NUM</t>
  </si>
  <si>
    <t>INSTRUMENT_TITLE</t>
  </si>
  <si>
    <t>DS_AMT_MINUS_SUBSIDY</t>
  </si>
  <si>
    <t>MAX_EDA_LIMIT_RATE</t>
  </si>
  <si>
    <t>ALLOWED_RATE</t>
  </si>
  <si>
    <t>ELIGIBLE_DEBT_RATE</t>
  </si>
  <si>
    <t>ADA_TOT_REFINED</t>
  </si>
  <si>
    <t>CPTD_PROPERTY_VALUE</t>
  </si>
  <si>
    <t>district_id</t>
  </si>
  <si>
    <t>IMPORT_DT</t>
  </si>
  <si>
    <t>SALE_DT</t>
  </si>
  <si>
    <t>MAC_INSTRUMENT_ID</t>
  </si>
  <si>
    <t>ds_amt_minus_subsidy16</t>
  </si>
  <si>
    <t>ds_amt_minus_subsidy17</t>
  </si>
  <si>
    <t>ENRL11</t>
  </si>
  <si>
    <t>ENRL16</t>
  </si>
  <si>
    <t>p_change</t>
  </si>
  <si>
    <t>ds_amt_minus_subsidy_max</t>
  </si>
  <si>
    <t>FRANKSTON ISD</t>
  </si>
  <si>
    <t>701-10-113</t>
  </si>
  <si>
    <t>Unlimited Tax School Building Bonds-Series 2012</t>
  </si>
  <si>
    <t>79630</t>
  </si>
  <si>
    <t>U/L Tax Sch Bldg Bds Ser 2012</t>
  </si>
  <si>
    <t>001904</t>
  </si>
  <si>
    <t>1007597</t>
  </si>
  <si>
    <t>SLOCUM ISD</t>
  </si>
  <si>
    <t>Unlimited Tax School Building Bonds, Series 2014</t>
  </si>
  <si>
    <t>83757</t>
  </si>
  <si>
    <t>U/L Tax Sch Bldg Bds Ser 2014</t>
  </si>
  <si>
    <t>001909</t>
  </si>
  <si>
    <t>1011918</t>
  </si>
  <si>
    <t>HOLLIDAY ISD</t>
  </si>
  <si>
    <t>Unlimited Tax School Building Bonds, Series 2013</t>
  </si>
  <si>
    <t>82209</t>
  </si>
  <si>
    <t>U/L Tax Sch Bldg Bds Ser 2013</t>
  </si>
  <si>
    <t>005902</t>
  </si>
  <si>
    <t>1010448</t>
  </si>
  <si>
    <t>Unlimited Tax School Building &amp; Refunding Bonds, Series 2014</t>
  </si>
  <si>
    <t>83146</t>
  </si>
  <si>
    <t>U/L Tax Sch Bldg &amp; Ref Bds Ser 2014</t>
  </si>
  <si>
    <t>1011392</t>
  </si>
  <si>
    <t>POTEET ISD</t>
  </si>
  <si>
    <t>Unlimited Tax School Building Bonds, Series 2012</t>
  </si>
  <si>
    <t>80508</t>
  </si>
  <si>
    <t>007906</t>
  </si>
  <si>
    <t>1008626</t>
  </si>
  <si>
    <t>SKIDMORE-TYNAN ISD</t>
  </si>
  <si>
    <t>Unlimited Tax School Building Bonds, Series 2011</t>
  </si>
  <si>
    <t>78179</t>
  </si>
  <si>
    <t>U/L Tax Sch Bldg Bds Ser 2011</t>
  </si>
  <si>
    <t>013905</t>
  </si>
  <si>
    <t>1006027</t>
  </si>
  <si>
    <t>ROGERS ISD</t>
  </si>
  <si>
    <t>84219</t>
  </si>
  <si>
    <t>014907</t>
  </si>
  <si>
    <t>1012412</t>
  </si>
  <si>
    <t>HARLANDALE ISD</t>
  </si>
  <si>
    <t>U/L Tax Ref Bds Ser 2015</t>
  </si>
  <si>
    <t>015904</t>
  </si>
  <si>
    <t>1013180</t>
  </si>
  <si>
    <t>Variable Rate U/L Tax Sch Bldg Bds Ser 2015</t>
  </si>
  <si>
    <t>85736</t>
  </si>
  <si>
    <t>1014369</t>
  </si>
  <si>
    <t>SAN ANTONIO ISD</t>
  </si>
  <si>
    <t>Unlimited Tax School Building Bonds, Series 2010</t>
  </si>
  <si>
    <t>78092</t>
  </si>
  <si>
    <t>U/L Tax Sch Bldg Bds Taxable Ser 2010B (Direct Subsidy - Build America Bonds)</t>
  </si>
  <si>
    <t>015907</t>
  </si>
  <si>
    <t>1005979</t>
  </si>
  <si>
    <t>Unlimited Tax School Building Bonds, Series 2016</t>
  </si>
  <si>
    <t>D7284</t>
  </si>
  <si>
    <t>U/L Tax Sch Bldg Bds Ser 2016</t>
  </si>
  <si>
    <t>1015456</t>
  </si>
  <si>
    <t>EAST CENTRAL ISD</t>
  </si>
  <si>
    <t>86703</t>
  </si>
  <si>
    <t>U/L Tax Ref Bds Ser 2016</t>
  </si>
  <si>
    <t>015911</t>
  </si>
  <si>
    <t>1015261</t>
  </si>
  <si>
    <t>SOUTHWEST ISD</t>
  </si>
  <si>
    <t>Unlimited Tax School &amp; Refunding Building Bonds, Series 2008 and 2016</t>
  </si>
  <si>
    <t>86409</t>
  </si>
  <si>
    <t>015912</t>
  </si>
  <si>
    <t>1014717</t>
  </si>
  <si>
    <t>U/L Tax Sch Bldg &amp; Ref Bds Ser 2016</t>
  </si>
  <si>
    <t>JUDSON ISD</t>
  </si>
  <si>
    <t>D7632</t>
  </si>
  <si>
    <t>015916</t>
  </si>
  <si>
    <t>1016022</t>
  </si>
  <si>
    <t>BLANCO ISD</t>
  </si>
  <si>
    <t>78954</t>
  </si>
  <si>
    <t>016902</t>
  </si>
  <si>
    <t>1006888</t>
  </si>
  <si>
    <t>TEXARKANA ISD</t>
  </si>
  <si>
    <t>Unlimited Tax School Building  Bonds, Series 2015</t>
  </si>
  <si>
    <t>84778</t>
  </si>
  <si>
    <t>U/L Tax Sch Bldg &amp; Ref Bds Ser 2015</t>
  </si>
  <si>
    <t>019907</t>
  </si>
  <si>
    <t>1012909</t>
  </si>
  <si>
    <t>LIBERTY-EYLAU ISD</t>
  </si>
  <si>
    <t>Unlimited Tax School Building  &amp; Refunding Bonds, Series 2016</t>
  </si>
  <si>
    <t>D7637</t>
  </si>
  <si>
    <t>019908</t>
  </si>
  <si>
    <t>1016027</t>
  </si>
  <si>
    <t>ALVIN ISD</t>
  </si>
  <si>
    <t>86648</t>
  </si>
  <si>
    <t>U/L Tax Schhse &amp; Ref Bds Ser 2016</t>
  </si>
  <si>
    <t>020901</t>
  </si>
  <si>
    <t>1015115</t>
  </si>
  <si>
    <t>RIO HONDO ISD</t>
  </si>
  <si>
    <t>701-16-101</t>
  </si>
  <si>
    <t>D7628</t>
  </si>
  <si>
    <t>031911</t>
  </si>
  <si>
    <t>1016018</t>
  </si>
  <si>
    <t>SANTA MARIA ISD</t>
  </si>
  <si>
    <t>D7665</t>
  </si>
  <si>
    <t>U/L Tax Sch Bldg Bds Ser 216</t>
  </si>
  <si>
    <t>031913</t>
  </si>
  <si>
    <t>1016059</t>
  </si>
  <si>
    <t>PITTSBURG ISD</t>
  </si>
  <si>
    <t>82211</t>
  </si>
  <si>
    <t>032902</t>
  </si>
  <si>
    <t>1010287</t>
  </si>
  <si>
    <t>BLOOMBURG ISD</t>
  </si>
  <si>
    <t>U/L Tax Sch Bldg Bds Ser 2015</t>
  </si>
  <si>
    <t>85551</t>
  </si>
  <si>
    <t>034909</t>
  </si>
  <si>
    <t>1014237</t>
  </si>
  <si>
    <t>BARBERS HILL ISD</t>
  </si>
  <si>
    <t>79651</t>
  </si>
  <si>
    <t>U/L Tax Qualified Sch Constn Bds Taxable Ser 2012 (Direct-Pay Subsidy Bds)</t>
  </si>
  <si>
    <t>036902</t>
  </si>
  <si>
    <t>1007558</t>
  </si>
  <si>
    <t>EAST CHAMBERS ISD</t>
  </si>
  <si>
    <t>86520</t>
  </si>
  <si>
    <t>036903</t>
  </si>
  <si>
    <t>1015171</t>
  </si>
  <si>
    <t>JACKSONVILLE ISD</t>
  </si>
  <si>
    <t>Unlimited Tax Building &amp; Refunding Bonds, Series 2011</t>
  </si>
  <si>
    <t>78205</t>
  </si>
  <si>
    <t>037904</t>
  </si>
  <si>
    <t>1006070</t>
  </si>
  <si>
    <t>Unlimited Tax Qualified School Construction Bonds, Series 2011</t>
  </si>
  <si>
    <t>78702</t>
  </si>
  <si>
    <t>U/L Tax Qualified Sch Constn Bds Taxable Ser 2011 (Direct Subsidy)</t>
  </si>
  <si>
    <t>1006599</t>
  </si>
  <si>
    <t>Unlimited Tax Building Bonds, Series 2014</t>
  </si>
  <si>
    <t>82999</t>
  </si>
  <si>
    <t>1011115</t>
  </si>
  <si>
    <t>PANTHER CREEK CISD</t>
  </si>
  <si>
    <t>701-09-001</t>
  </si>
  <si>
    <t>78434</t>
  </si>
  <si>
    <t>042905</t>
  </si>
  <si>
    <t>1006325</t>
  </si>
  <si>
    <t>ANNA ISD</t>
  </si>
  <si>
    <t>78599</t>
  </si>
  <si>
    <t>043902</t>
  </si>
  <si>
    <t>1006523</t>
  </si>
  <si>
    <t>80518</t>
  </si>
  <si>
    <t>1008578</t>
  </si>
  <si>
    <t>84779</t>
  </si>
  <si>
    <t>1013210</t>
  </si>
  <si>
    <t>86451</t>
  </si>
  <si>
    <t>1015047</t>
  </si>
  <si>
    <t>CELINA ISD</t>
  </si>
  <si>
    <t>86562</t>
  </si>
  <si>
    <t>043903</t>
  </si>
  <si>
    <t>1014952</t>
  </si>
  <si>
    <t>FRISCO ISD</t>
  </si>
  <si>
    <t>83505</t>
  </si>
  <si>
    <t>043905</t>
  </si>
  <si>
    <t>1011635</t>
  </si>
  <si>
    <t>84285</t>
  </si>
  <si>
    <t>1012758</t>
  </si>
  <si>
    <t>Unlimited Tax School Building &amp; Refunding Bonds-Series 2015</t>
  </si>
  <si>
    <t>85303</t>
  </si>
  <si>
    <t>1013402</t>
  </si>
  <si>
    <t>U/L Tax Sch Bldg Bds Ser 2015A</t>
  </si>
  <si>
    <t>86258</t>
  </si>
  <si>
    <t>1014801</t>
  </si>
  <si>
    <t>U/L Tax Sch Bldg &amp; Ref Bds Ser 2016A</t>
  </si>
  <si>
    <t>D7408</t>
  </si>
  <si>
    <t>1015651</t>
  </si>
  <si>
    <t>MCKINNEY ISD</t>
  </si>
  <si>
    <t>U/L Tax Sch Bldg &amp; Ref Bds Ser 2015A</t>
  </si>
  <si>
    <t>85627</t>
  </si>
  <si>
    <t>043907</t>
  </si>
  <si>
    <t>1014134</t>
  </si>
  <si>
    <t>MELISSA ISD</t>
  </si>
  <si>
    <t>82071</t>
  </si>
  <si>
    <t>043908</t>
  </si>
  <si>
    <t>1010256</t>
  </si>
  <si>
    <t>Unlimited Tax School Building Bonds, Series 2015</t>
  </si>
  <si>
    <t>85128</t>
  </si>
  <si>
    <t>1013445</t>
  </si>
  <si>
    <t>PRINCETON ISD</t>
  </si>
  <si>
    <t>82287</t>
  </si>
  <si>
    <t>043911</t>
  </si>
  <si>
    <t>1010105</t>
  </si>
  <si>
    <t>85000</t>
  </si>
  <si>
    <t>1013553</t>
  </si>
  <si>
    <t>86861</t>
  </si>
  <si>
    <t>1015392</t>
  </si>
  <si>
    <t>PROSPER ISD</t>
  </si>
  <si>
    <t>83252</t>
  </si>
  <si>
    <t>043912</t>
  </si>
  <si>
    <t>1011513</t>
  </si>
  <si>
    <t>86634</t>
  </si>
  <si>
    <t>1015120</t>
  </si>
  <si>
    <t>WYLIE ISD</t>
  </si>
  <si>
    <t>80652</t>
  </si>
  <si>
    <t>U/L Tax Sch Bldg &amp; Ref Bds Ser 2012C</t>
  </si>
  <si>
    <t>043914</t>
  </si>
  <si>
    <t>1008642</t>
  </si>
  <si>
    <t>84721</t>
  </si>
  <si>
    <t>1013022</t>
  </si>
  <si>
    <t>LOVEJOY ISD</t>
  </si>
  <si>
    <t>79920</t>
  </si>
  <si>
    <t>043919</t>
  </si>
  <si>
    <t>1007919</t>
  </si>
  <si>
    <t>U/L Tax Sch Bldg &amp; Refunding Bonds, Series  2014</t>
  </si>
  <si>
    <t>83728</t>
  </si>
  <si>
    <t>1011921</t>
  </si>
  <si>
    <t>Unlimited Tax School Building Bonds-Series 2015</t>
  </si>
  <si>
    <t>85678</t>
  </si>
  <si>
    <t>1013792</t>
  </si>
  <si>
    <t>WEIMAR ISD</t>
  </si>
  <si>
    <t>Unlimited Tax School Building  Bonds, Series 2011</t>
  </si>
  <si>
    <t>79015</t>
  </si>
  <si>
    <t>045905</t>
  </si>
  <si>
    <t>1006938</t>
  </si>
  <si>
    <t>NEW BRAUNFELS ISD</t>
  </si>
  <si>
    <t>78183</t>
  </si>
  <si>
    <t>046901</t>
  </si>
  <si>
    <t>1006046</t>
  </si>
  <si>
    <t>DE LEON ISD</t>
  </si>
  <si>
    <t>78015</t>
  </si>
  <si>
    <t>U/L Tax Sch Bldg Bds Ser 2010</t>
  </si>
  <si>
    <t>047902</t>
  </si>
  <si>
    <t>1006028</t>
  </si>
  <si>
    <t>GATESVILLE ISD</t>
  </si>
  <si>
    <t>82854</t>
  </si>
  <si>
    <t>U/L Tax Sch Blds Bds Ser 2013</t>
  </si>
  <si>
    <t>050902</t>
  </si>
  <si>
    <t>1011116</t>
  </si>
  <si>
    <t>82920</t>
  </si>
  <si>
    <t>1011294</t>
  </si>
  <si>
    <t>DESOTO ISD</t>
  </si>
  <si>
    <t>Unlimited Tax School &amp; Refunding Building Bonds, Series 2016B</t>
  </si>
  <si>
    <t>D7388</t>
  </si>
  <si>
    <t>U/L Tax Sch Bldg Bds Ser 2016B</t>
  </si>
  <si>
    <t>057906</t>
  </si>
  <si>
    <t>1015623</t>
  </si>
  <si>
    <t>GARLAND ISD</t>
  </si>
  <si>
    <t>Unlimited Tax School Building Bonds-Series 2011-A</t>
  </si>
  <si>
    <t>79372</t>
  </si>
  <si>
    <t>U/L Tax Ref Bds Ser 2011A</t>
  </si>
  <si>
    <t>057909</t>
  </si>
  <si>
    <t>1007346</t>
  </si>
  <si>
    <t>Unlimited Tax School Building Bonds-Series 2015-A</t>
  </si>
  <si>
    <t>85322</t>
  </si>
  <si>
    <t>1013228</t>
  </si>
  <si>
    <t>GRAND PRAIRIE ISD</t>
  </si>
  <si>
    <t>78799</t>
  </si>
  <si>
    <t>057910</t>
  </si>
  <si>
    <t>1006705</t>
  </si>
  <si>
    <t>81052</t>
  </si>
  <si>
    <t>1009148</t>
  </si>
  <si>
    <t>81234</t>
  </si>
  <si>
    <t>1009292</t>
  </si>
  <si>
    <t>86573</t>
  </si>
  <si>
    <t>1015251</t>
  </si>
  <si>
    <t>LANCASTER ISD</t>
  </si>
  <si>
    <t>U/L Tax Sch Bldg Bds Ser 2015-A</t>
  </si>
  <si>
    <t>85749</t>
  </si>
  <si>
    <t>057913</t>
  </si>
  <si>
    <t>1013996</t>
  </si>
  <si>
    <t>MESQUITE ISD</t>
  </si>
  <si>
    <t>Unlimited Tax School Building Bonds, Series 2015-E</t>
  </si>
  <si>
    <t>86162</t>
  </si>
  <si>
    <t>U/L Tax Sch Bldg Bds Ser 2015E</t>
  </si>
  <si>
    <t>057914</t>
  </si>
  <si>
    <t>1014182</t>
  </si>
  <si>
    <t>DENTON ISD</t>
  </si>
  <si>
    <t>Variable Rate Unlimited Tax School Building Bonds, Series 2012-A</t>
  </si>
  <si>
    <t>79945</t>
  </si>
  <si>
    <t>Variable Rate U/L Tax Sch Bldg Bds Ser 2012-A</t>
  </si>
  <si>
    <t>061901</t>
  </si>
  <si>
    <t>1007923</t>
  </si>
  <si>
    <t>LITTLE ELM ISD</t>
  </si>
  <si>
    <t>Unlimited Tax Building &amp; Refunding Bonds, Series 2012</t>
  </si>
  <si>
    <t>80451</t>
  </si>
  <si>
    <t>U/L Tax Sch Bldg &amp; Ref Bds Ser 2012</t>
  </si>
  <si>
    <t>061914</t>
  </si>
  <si>
    <t>1008463</t>
  </si>
  <si>
    <t>Unlimited Tax Building &amp; Refunding Bonds, Series 2013</t>
  </si>
  <si>
    <t>82458</t>
  </si>
  <si>
    <t>U/L Tax Sch Bldg &amp; Ref Bds Ser 2013</t>
  </si>
  <si>
    <t>1010082</t>
  </si>
  <si>
    <t>87020</t>
  </si>
  <si>
    <t>1015467</t>
  </si>
  <si>
    <t>ITALY ISD</t>
  </si>
  <si>
    <t>0</t>
  </si>
  <si>
    <t>85601</t>
  </si>
  <si>
    <t>070907</t>
  </si>
  <si>
    <t>1013976</t>
  </si>
  <si>
    <t>MIDLOTHIAN ISD</t>
  </si>
  <si>
    <t>Unlimited Tax School Building Bonds, Series 2011-A</t>
  </si>
  <si>
    <t>78948</t>
  </si>
  <si>
    <t>U/L Tax Sch Bldg Bds Ser 2011A</t>
  </si>
  <si>
    <t>070908</t>
  </si>
  <si>
    <t>1006889</t>
  </si>
  <si>
    <t>WAXAHACHIE ISD</t>
  </si>
  <si>
    <t>78700</t>
  </si>
  <si>
    <t>U/L Tax Ref Bds Ser 2011</t>
  </si>
  <si>
    <t>070912</t>
  </si>
  <si>
    <t>1006614</t>
  </si>
  <si>
    <t>85521</t>
  </si>
  <si>
    <t>1014057</t>
  </si>
  <si>
    <t>86723</t>
  </si>
  <si>
    <t>1015122</t>
  </si>
  <si>
    <t>CLINT ISD</t>
  </si>
  <si>
    <t>84981</t>
  </si>
  <si>
    <t>071901</t>
  </si>
  <si>
    <t>1013293</t>
  </si>
  <si>
    <t>YSLETA ISD</t>
  </si>
  <si>
    <t>86507</t>
  </si>
  <si>
    <t>071905</t>
  </si>
  <si>
    <t>1014980</t>
  </si>
  <si>
    <t>CANUTILLO ISD</t>
  </si>
  <si>
    <t>Unlimited Tax School Building &amp; Refunding Bonds, Series 2011</t>
  </si>
  <si>
    <t>78867</t>
  </si>
  <si>
    <t>U/L Tax Sch Bldg &amp; Ref Bds Ser 2011</t>
  </si>
  <si>
    <t>071907</t>
  </si>
  <si>
    <t>1006798</t>
  </si>
  <si>
    <t>82054</t>
  </si>
  <si>
    <t>1010056</t>
  </si>
  <si>
    <t>TORNILLO ISD</t>
  </si>
  <si>
    <t>D7627</t>
  </si>
  <si>
    <t>071908</t>
  </si>
  <si>
    <t>1016017</t>
  </si>
  <si>
    <t>SOCORRO ISD</t>
  </si>
  <si>
    <t>78880</t>
  </si>
  <si>
    <t>071909</t>
  </si>
  <si>
    <t>1006813</t>
  </si>
  <si>
    <t>Unlimited Tax School Building  Bonds, Series 2012</t>
  </si>
  <si>
    <t>80374</t>
  </si>
  <si>
    <t>1008358</t>
  </si>
  <si>
    <t>Unlimited Tax School Building  Bonds, Series 2013</t>
  </si>
  <si>
    <t>82093</t>
  </si>
  <si>
    <t>U/L Tax School Bldg Bds Ser 2013</t>
  </si>
  <si>
    <t>1010048</t>
  </si>
  <si>
    <t>STEPHENVILLE ISD</t>
  </si>
  <si>
    <t>Unlimited Tax School Building Bonds, Series 2012-B</t>
  </si>
  <si>
    <t>80529</t>
  </si>
  <si>
    <t>U/L Tax Sch Bldg Bds Ser 2012-B</t>
  </si>
  <si>
    <t>072903</t>
  </si>
  <si>
    <t>1008609</t>
  </si>
  <si>
    <t>BONHAM ISD</t>
  </si>
  <si>
    <t>80523</t>
  </si>
  <si>
    <t>074903</t>
  </si>
  <si>
    <t>1008528</t>
  </si>
  <si>
    <t>DODD CITY ISD</t>
  </si>
  <si>
    <t>83841</t>
  </si>
  <si>
    <t>074904</t>
  </si>
  <si>
    <t>1011928</t>
  </si>
  <si>
    <t>SAM RAYBURN ISD</t>
  </si>
  <si>
    <t>85558</t>
  </si>
  <si>
    <t>074917</t>
  </si>
  <si>
    <t>1013989</t>
  </si>
  <si>
    <t>NEEDVILLE ISD</t>
  </si>
  <si>
    <t>Unlimited Tax School Building Bonds, Series 2010-A</t>
  </si>
  <si>
    <t>76661</t>
  </si>
  <si>
    <t>U/L Tax Sch Bldg Bds Ser 2010A</t>
  </si>
  <si>
    <t>079906</t>
  </si>
  <si>
    <t>MAC</t>
  </si>
  <si>
    <t>DICKINSON ISD</t>
  </si>
  <si>
    <t>D7652</t>
  </si>
  <si>
    <t>U/L Tax Sch House Bds Ser 2016A</t>
  </si>
  <si>
    <t>084901</t>
  </si>
  <si>
    <t>1016046</t>
  </si>
  <si>
    <t>SANTA FE ISD</t>
  </si>
  <si>
    <t>78143</t>
  </si>
  <si>
    <t>084909</t>
  </si>
  <si>
    <t>1006042</t>
  </si>
  <si>
    <t>COLLINSVILLE ISD</t>
  </si>
  <si>
    <t>86576</t>
  </si>
  <si>
    <t>091902</t>
  </si>
  <si>
    <t>1014954</t>
  </si>
  <si>
    <t>TIOGA ISD</t>
  </si>
  <si>
    <t>79472</t>
  </si>
  <si>
    <t>091907</t>
  </si>
  <si>
    <t>1007472</t>
  </si>
  <si>
    <t>VAN ALSTYNE ISD</t>
  </si>
  <si>
    <t>84688</t>
  </si>
  <si>
    <t>091908</t>
  </si>
  <si>
    <t>1012913</t>
  </si>
  <si>
    <t>GUNTER ISD</t>
  </si>
  <si>
    <t>79909</t>
  </si>
  <si>
    <t>091917</t>
  </si>
  <si>
    <t>1007925</t>
  </si>
  <si>
    <t>85309</t>
  </si>
  <si>
    <t>1013589</t>
  </si>
  <si>
    <t>KILGORE ISD</t>
  </si>
  <si>
    <t>Unlimited Tax School Building Bonds-Series 2011</t>
  </si>
  <si>
    <t>79013</t>
  </si>
  <si>
    <t>092902</t>
  </si>
  <si>
    <t>1006933</t>
  </si>
  <si>
    <t>81151</t>
  </si>
  <si>
    <t>1009211</t>
  </si>
  <si>
    <t>LONGVIEW ISD</t>
  </si>
  <si>
    <t>78982</t>
  </si>
  <si>
    <t>092903</t>
  </si>
  <si>
    <t>1006925</t>
  </si>
  <si>
    <t>SPRING HILL ISD</t>
  </si>
  <si>
    <t>85037</t>
  </si>
  <si>
    <t>092907</t>
  </si>
  <si>
    <t>1013547</t>
  </si>
  <si>
    <t>ABERNATHY ISD</t>
  </si>
  <si>
    <t>80643</t>
  </si>
  <si>
    <t>095901</t>
  </si>
  <si>
    <t>1008669</t>
  </si>
  <si>
    <t>84738</t>
  </si>
  <si>
    <t>1012908</t>
  </si>
  <si>
    <t>ALDINE ISD</t>
  </si>
  <si>
    <t>77816</t>
  </si>
  <si>
    <t>101902</t>
  </si>
  <si>
    <t>1005656</t>
  </si>
  <si>
    <t>CHANNELVIEW ISD</t>
  </si>
  <si>
    <t>Unlimited Tax Qualified School Construction Bonds, Series 2011Q</t>
  </si>
  <si>
    <t>76772</t>
  </si>
  <si>
    <t>U/L Tax Sch Bldg Bds Taxable Ser 2010B (Build America Bds - Direct Payment to Issuer)</t>
  </si>
  <si>
    <t>101905</t>
  </si>
  <si>
    <t>1004748</t>
  </si>
  <si>
    <t>CROSBY ISD</t>
  </si>
  <si>
    <t>82208</t>
  </si>
  <si>
    <t>101906</t>
  </si>
  <si>
    <t>1010283</t>
  </si>
  <si>
    <t>84282</t>
  </si>
  <si>
    <t>1012574</t>
  </si>
  <si>
    <t>85533</t>
  </si>
  <si>
    <t>1014145</t>
  </si>
  <si>
    <t>HUMBLE ISD</t>
  </si>
  <si>
    <t>D7650</t>
  </si>
  <si>
    <t>U/L Tax Sch Bldg Bds Ser 2016A</t>
  </si>
  <si>
    <t>101913</t>
  </si>
  <si>
    <t>1016044</t>
  </si>
  <si>
    <t>KATY ISD</t>
  </si>
  <si>
    <t>Unlimited Tax School Building Bonds, Series 2010-C</t>
  </si>
  <si>
    <t>78093</t>
  </si>
  <si>
    <t>U/L Tax Sch Bldg Bds Ser 2010C</t>
  </si>
  <si>
    <t>101914</t>
  </si>
  <si>
    <t>1005923</t>
  </si>
  <si>
    <t>Unlimited Tax School Building Bonds, Series 2010-D</t>
  </si>
  <si>
    <t>78094</t>
  </si>
  <si>
    <t>U/L Tax Sch Bldg Bds Taxable Ser 2010D (Build America Bonds - Direct Payment to Issuer)</t>
  </si>
  <si>
    <t>1005924</t>
  </si>
  <si>
    <t>Unlimited Tax School Building Bonds, Series 2012-A</t>
  </si>
  <si>
    <t>80251</t>
  </si>
  <si>
    <t>U/L Tax Sch Bldg &amp; Ref Bds Ser 2012-A</t>
  </si>
  <si>
    <t>1008286</t>
  </si>
  <si>
    <t>Unlimited Tax School Building Bonds, Series 2013-A</t>
  </si>
  <si>
    <t>82136</t>
  </si>
  <si>
    <t>1010193</t>
  </si>
  <si>
    <t>Unlimited Tax School Building Bonds, Series 2015-A</t>
  </si>
  <si>
    <t>84711</t>
  </si>
  <si>
    <t>U/L Tax Ref Bds Ser 2015B</t>
  </si>
  <si>
    <t>1013174</t>
  </si>
  <si>
    <t>Unlimited Tax School Building Bonds-Series 2016-A</t>
  </si>
  <si>
    <t>86559</t>
  </si>
  <si>
    <t>1014788</t>
  </si>
  <si>
    <t>KLEIN ISD</t>
  </si>
  <si>
    <t>78424</t>
  </si>
  <si>
    <t>U/L Tax Schhse Bds Ser 2011</t>
  </si>
  <si>
    <t>101915</t>
  </si>
  <si>
    <t>1006311</t>
  </si>
  <si>
    <t>Unlimited Tax Schoolhouse Bonds, Series 2015-A</t>
  </si>
  <si>
    <t>84597</t>
  </si>
  <si>
    <t>U/L Tax Schhse Bds Ser 2015</t>
  </si>
  <si>
    <t>1012905</t>
  </si>
  <si>
    <t>LA PORTE ISD</t>
  </si>
  <si>
    <t>Unlimited Tax Schoolhouse Bonds, Series 2014</t>
  </si>
  <si>
    <t>84009</t>
  </si>
  <si>
    <t>101916</t>
  </si>
  <si>
    <t>1011919</t>
  </si>
  <si>
    <t>Unlimited Tax Schoolhouse Bonds, Series 2015</t>
  </si>
  <si>
    <t>84900</t>
  </si>
  <si>
    <t>1013442</t>
  </si>
  <si>
    <t>PASADENA ISD</t>
  </si>
  <si>
    <t>101917</t>
  </si>
  <si>
    <t>Unlimited Tax School Building Bonds, Series 2012-C</t>
  </si>
  <si>
    <t>79623</t>
  </si>
  <si>
    <t>U/L Tax Qualified Sch Constn Bds Taxable Ser 2012C (Direct Subsidy)</t>
  </si>
  <si>
    <t>1007639</t>
  </si>
  <si>
    <t>81461</t>
  </si>
  <si>
    <t>1009625</t>
  </si>
  <si>
    <t>SHELDON ISD</t>
  </si>
  <si>
    <t>78238</t>
  </si>
  <si>
    <t>101924</t>
  </si>
  <si>
    <t>1006157</t>
  </si>
  <si>
    <t>MARSHALL ISD</t>
  </si>
  <si>
    <t>85657</t>
  </si>
  <si>
    <t>102902</t>
  </si>
  <si>
    <t>1014051</t>
  </si>
  <si>
    <t>D7046</t>
  </si>
  <si>
    <t>1015121</t>
  </si>
  <si>
    <t>WASKOM ISD</t>
  </si>
  <si>
    <t>86521</t>
  </si>
  <si>
    <t>102903</t>
  </si>
  <si>
    <t>1014860</t>
  </si>
  <si>
    <t>ATHENS ISD</t>
  </si>
  <si>
    <t>Unlimited Tax Qualified School Construction Building Bonds, Series 2011</t>
  </si>
  <si>
    <t>78724</t>
  </si>
  <si>
    <t>107901</t>
  </si>
  <si>
    <t>1006670</t>
  </si>
  <si>
    <t>86539</t>
  </si>
  <si>
    <t>1014865</t>
  </si>
  <si>
    <t>BROWNSBORO ISD</t>
  </si>
  <si>
    <t>78239</t>
  </si>
  <si>
    <t>107902</t>
  </si>
  <si>
    <t>1006176</t>
  </si>
  <si>
    <t>MALAKOFF ISD</t>
  </si>
  <si>
    <t>77481</t>
  </si>
  <si>
    <t>107906</t>
  </si>
  <si>
    <t>1005283</t>
  </si>
  <si>
    <t>80034</t>
  </si>
  <si>
    <t>1008046</t>
  </si>
  <si>
    <t>85650</t>
  </si>
  <si>
    <t>1014027</t>
  </si>
  <si>
    <t>LAPOYNOR ISD</t>
  </si>
  <si>
    <t>85617</t>
  </si>
  <si>
    <t>107910</t>
  </si>
  <si>
    <t>1014029</t>
  </si>
  <si>
    <t>MERCEDES ISD</t>
  </si>
  <si>
    <t>85316</t>
  </si>
  <si>
    <t>108907</t>
  </si>
  <si>
    <t>1012879</t>
  </si>
  <si>
    <t>ITASCA ISD</t>
  </si>
  <si>
    <t>77300</t>
  </si>
  <si>
    <t>109907</t>
  </si>
  <si>
    <t>WHITNEY ISD</t>
  </si>
  <si>
    <t>80457</t>
  </si>
  <si>
    <t>109911</t>
  </si>
  <si>
    <t>1008536</t>
  </si>
  <si>
    <t>85621</t>
  </si>
  <si>
    <t>1014003</t>
  </si>
  <si>
    <t>GRANBURY ISD</t>
  </si>
  <si>
    <t>Unlimited Tax Building &amp; Refunding Bonds, Series 2015</t>
  </si>
  <si>
    <t>85571</t>
  </si>
  <si>
    <t>111901</t>
  </si>
  <si>
    <t>1013692</t>
  </si>
  <si>
    <t>LIPAN ISD</t>
  </si>
  <si>
    <t>78833</t>
  </si>
  <si>
    <t>111902</t>
  </si>
  <si>
    <t>1006847</t>
  </si>
  <si>
    <t>Unlimited Tax Qualified Construction Bonds Taxable, Series 2015</t>
  </si>
  <si>
    <t>85631</t>
  </si>
  <si>
    <t>U/L Tax Qualified Sch Constn Bds Taxable Ser 2015 (Direct Subsidy)</t>
  </si>
  <si>
    <t>1014025</t>
  </si>
  <si>
    <t>GREENVILLE ISD</t>
  </si>
  <si>
    <t>83724</t>
  </si>
  <si>
    <t>116905</t>
  </si>
  <si>
    <t>1011925</t>
  </si>
  <si>
    <t>BLAND ISD</t>
  </si>
  <si>
    <t>D7594</t>
  </si>
  <si>
    <t>116915</t>
  </si>
  <si>
    <t>1015962</t>
  </si>
  <si>
    <t>SANFORD-FRITCH ISD</t>
  </si>
  <si>
    <t>83910</t>
  </si>
  <si>
    <t>117903</t>
  </si>
  <si>
    <t>1011988</t>
  </si>
  <si>
    <t>PORT ARTHUR ISD</t>
  </si>
  <si>
    <t>Unlimited Tax School Building Bonds, Series 2015 A</t>
  </si>
  <si>
    <t>84785</t>
  </si>
  <si>
    <t>123907</t>
  </si>
  <si>
    <t>1012942</t>
  </si>
  <si>
    <t>ALVARADO ISD</t>
  </si>
  <si>
    <t>82373</t>
  </si>
  <si>
    <t>126901</t>
  </si>
  <si>
    <t>1010286</t>
  </si>
  <si>
    <t>Unlimited Tax Qualified School Construction Bonds, Series 2014</t>
  </si>
  <si>
    <t>83901</t>
  </si>
  <si>
    <t>U/L Tax Sch Bldg Qualified Sch Constn Bds Taxable Ser 2014 (Tax Credit Bds)</t>
  </si>
  <si>
    <t>1011633</t>
  </si>
  <si>
    <t>VENUS ISD</t>
  </si>
  <si>
    <t>D7636</t>
  </si>
  <si>
    <t>126908</t>
  </si>
  <si>
    <t>1016026</t>
  </si>
  <si>
    <t>CRANDALL ISD</t>
  </si>
  <si>
    <t>77279</t>
  </si>
  <si>
    <t>129901</t>
  </si>
  <si>
    <t>1005100</t>
  </si>
  <si>
    <t>D7288</t>
  </si>
  <si>
    <t>1015468</t>
  </si>
  <si>
    <t>FORNEY ISD</t>
  </si>
  <si>
    <t>Unlimited Tax School Building  &amp; Refunding Bonds, Series 2011</t>
  </si>
  <si>
    <t>78279</t>
  </si>
  <si>
    <t>129902</t>
  </si>
  <si>
    <t>1006195</t>
  </si>
  <si>
    <t>Unlimited Tax School Building  Bonds, Series 2011-A</t>
  </si>
  <si>
    <t>78955</t>
  </si>
  <si>
    <t>1006896</t>
  </si>
  <si>
    <t>KAUFMAN ISD</t>
  </si>
  <si>
    <t>85282</t>
  </si>
  <si>
    <t>129903</t>
  </si>
  <si>
    <t>1013083</t>
  </si>
  <si>
    <t>86828</t>
  </si>
  <si>
    <t>1015299</t>
  </si>
  <si>
    <t>KINGSVILLE ISD</t>
  </si>
  <si>
    <t>Unlimited Tax Qualified School Construction Bonds, Taxable Series 2012 (Direct Subsidy)</t>
  </si>
  <si>
    <t>80762</t>
  </si>
  <si>
    <t>U/L Tax Qualified Sch Construction Bds Taxable Ser 2012 (Direct-Pay Subsidy Bds)</t>
  </si>
  <si>
    <t>137901</t>
  </si>
  <si>
    <t>1008783</t>
  </si>
  <si>
    <t>CLEVELAND ISD</t>
  </si>
  <si>
    <t>U/L Tx Sch Bldg Bds Ser 2016</t>
  </si>
  <si>
    <t>86870</t>
  </si>
  <si>
    <t>146901</t>
  </si>
  <si>
    <t>1015272</t>
  </si>
  <si>
    <t>DAYTON ISD</t>
  </si>
  <si>
    <t>85652</t>
  </si>
  <si>
    <t>146902</t>
  </si>
  <si>
    <t>1013908</t>
  </si>
  <si>
    <t>MEXIA ISD</t>
  </si>
  <si>
    <t>85629</t>
  </si>
  <si>
    <t>147903</t>
  </si>
  <si>
    <t>1014226</t>
  </si>
  <si>
    <t>Unlimited Tax School Building &amp; Refunding Bonds, Series 2015-B</t>
  </si>
  <si>
    <t>85630</t>
  </si>
  <si>
    <t>1014229</t>
  </si>
  <si>
    <t>LUBBOCK ISD</t>
  </si>
  <si>
    <t>Unlimited Tax Building Bonds, Series 2011</t>
  </si>
  <si>
    <t>78258</t>
  </si>
  <si>
    <t>152901</t>
  </si>
  <si>
    <t>1006153</t>
  </si>
  <si>
    <t>Unlimited Tax Building Bonds, Series 2012A</t>
  </si>
  <si>
    <t>80795</t>
  </si>
  <si>
    <t>U/L Tax Sch Bldg Bds Ser 2012-A</t>
  </si>
  <si>
    <t>1008844</t>
  </si>
  <si>
    <t>SLATON ISD</t>
  </si>
  <si>
    <t>85580</t>
  </si>
  <si>
    <t>152903</t>
  </si>
  <si>
    <t>1013991</t>
  </si>
  <si>
    <t>FRENSHIP ISD</t>
  </si>
  <si>
    <t>83792</t>
  </si>
  <si>
    <t>152907</t>
  </si>
  <si>
    <t>1011926</t>
  </si>
  <si>
    <t>MADISONVILLE CISD</t>
  </si>
  <si>
    <t>D7489</t>
  </si>
  <si>
    <t>154901</t>
  </si>
  <si>
    <t>1015780</t>
  </si>
  <si>
    <t>MASON ISD</t>
  </si>
  <si>
    <t>86554</t>
  </si>
  <si>
    <t>157901</t>
  </si>
  <si>
    <t>1014917</t>
  </si>
  <si>
    <t>MCGREGOR ISD</t>
  </si>
  <si>
    <t>82243</t>
  </si>
  <si>
    <t>U/L Tax Sch Bldg Bds Ser 2013A</t>
  </si>
  <si>
    <t>161909</t>
  </si>
  <si>
    <t>1010269</t>
  </si>
  <si>
    <t>MOODY ISD</t>
  </si>
  <si>
    <t>76850</t>
  </si>
  <si>
    <t>161910</t>
  </si>
  <si>
    <t>1004649</t>
  </si>
  <si>
    <t>MEDINA VALLEY ISD</t>
  </si>
  <si>
    <t>86783</t>
  </si>
  <si>
    <t>163908</t>
  </si>
  <si>
    <t>1015289</t>
  </si>
  <si>
    <t>CAMERON ISD</t>
  </si>
  <si>
    <t>83752</t>
  </si>
  <si>
    <t>166901</t>
  </si>
  <si>
    <t>1012015</t>
  </si>
  <si>
    <t>COLORADO ISD</t>
  </si>
  <si>
    <t>Unlimited Tax School Building Bonds,  Series 2013</t>
  </si>
  <si>
    <t>82349</t>
  </si>
  <si>
    <t>168901</t>
  </si>
  <si>
    <t>1010258</t>
  </si>
  <si>
    <t>SPLENDORA ISD</t>
  </si>
  <si>
    <t>81857</t>
  </si>
  <si>
    <t>170907</t>
  </si>
  <si>
    <t>1009791</t>
  </si>
  <si>
    <t>D7692</t>
  </si>
  <si>
    <t>1016086</t>
  </si>
  <si>
    <t>NEW CANEY ISD</t>
  </si>
  <si>
    <t>80454</t>
  </si>
  <si>
    <t>170908</t>
  </si>
  <si>
    <t>1008468</t>
  </si>
  <si>
    <t>82149</t>
  </si>
  <si>
    <t>1010376</t>
  </si>
  <si>
    <t>83694</t>
  </si>
  <si>
    <t>1011632</t>
  </si>
  <si>
    <t>85537</t>
  </si>
  <si>
    <t>1014053</t>
  </si>
  <si>
    <t>DAINGERFIELD-LONE STAR ISD</t>
  </si>
  <si>
    <t>Unlimited Tax Qualified School Construction Bonds, Series 2012</t>
  </si>
  <si>
    <t>80698</t>
  </si>
  <si>
    <t>U/L Tax Qualified Sch Constn Bds Taxable Ser 2012 (Direct Subsidy)</t>
  </si>
  <si>
    <t>172902</t>
  </si>
  <si>
    <t>1008736</t>
  </si>
  <si>
    <t>CUSHING ISD</t>
  </si>
  <si>
    <t>82363</t>
  </si>
  <si>
    <t>174902</t>
  </si>
  <si>
    <t>1010298</t>
  </si>
  <si>
    <t>CORSICANA ISD</t>
  </si>
  <si>
    <t>Unlimited Tax School building Bonds,  Series 2015</t>
  </si>
  <si>
    <t>84616</t>
  </si>
  <si>
    <t>175903</t>
  </si>
  <si>
    <t>1013133</t>
  </si>
  <si>
    <t>CORPUS CHRISTI ISD</t>
  </si>
  <si>
    <t>Unlimited Tax School Building Bonds, Series 2010-B (BABS)</t>
  </si>
  <si>
    <t>78114</t>
  </si>
  <si>
    <t>U/L Tax Sch Bldg Bds Taxable Ser 2010B ( Direct Subsidy - Build America Bonds)</t>
  </si>
  <si>
    <t>178904</t>
  </si>
  <si>
    <t>1006015</t>
  </si>
  <si>
    <t>Unlimited Tax School Qualified School Constructions Bonds, Taxable Series 2011 (Direct Pay Subsidy Bonds)</t>
  </si>
  <si>
    <t>79338</t>
  </si>
  <si>
    <t>U/L Tax Sch Bldg Qualified Sch Constn Bds Taxable Ser 2011 ( Direct - Pay Subsidy Bonds)</t>
  </si>
  <si>
    <t>1007108</t>
  </si>
  <si>
    <t>MINERAL WELLS ISD</t>
  </si>
  <si>
    <t>83044</t>
  </si>
  <si>
    <t>182903</t>
  </si>
  <si>
    <t>1011146</t>
  </si>
  <si>
    <t>Non-qualified</t>
  </si>
  <si>
    <t>Keller ISD</t>
  </si>
  <si>
    <t>Arlington ISD</t>
  </si>
  <si>
    <t>Miles ISD</t>
  </si>
  <si>
    <t>Weatherford ISD</t>
  </si>
  <si>
    <t>Unlimited Tax School  Refunding Building Bonds, Series 2014</t>
  </si>
  <si>
    <t>Richland Springs ISD</t>
  </si>
  <si>
    <t>Notes</t>
  </si>
  <si>
    <t>application identified as U/L qualified school construction bonds taxable Series 2015</t>
  </si>
  <si>
    <t>Everman ISD</t>
  </si>
  <si>
    <t>Amarillo ISD</t>
  </si>
  <si>
    <t>New Summerfield ISD</t>
  </si>
  <si>
    <t>Mansfield ISD</t>
  </si>
  <si>
    <t>Crowley ISD</t>
  </si>
  <si>
    <t>Odem-Edroy ISD</t>
  </si>
  <si>
    <t>Carthage ISD</t>
  </si>
  <si>
    <t>Quitman ISD</t>
  </si>
  <si>
    <t>Arp ISD</t>
  </si>
  <si>
    <t>Bullard ISD</t>
  </si>
  <si>
    <t>Unlimited Tax School Building  &amp; Refunding Bonds, Series 2015</t>
  </si>
  <si>
    <t>Fruitvale ISD</t>
  </si>
  <si>
    <t>Unlimited Tax School Building Bonds-Series 2016</t>
  </si>
  <si>
    <t>Burkburnett ISD</t>
  </si>
  <si>
    <t>Roma ISD</t>
  </si>
  <si>
    <t>Little Cypress-Mauriceville CISD</t>
  </si>
  <si>
    <t>Goodrich ISD</t>
  </si>
  <si>
    <t>Unlimited Tax School Building Bonds, Series 2008</t>
  </si>
  <si>
    <t>Mexia ISD</t>
  </si>
  <si>
    <t>San Perlita ISD</t>
  </si>
  <si>
    <t xml:space="preserve">                                                                          </t>
  </si>
  <si>
    <t>Birdville ISD</t>
  </si>
  <si>
    <t>Aransas Pass ISD</t>
  </si>
  <si>
    <t>Thrall ISD</t>
  </si>
  <si>
    <t>Unlimited Tax School Building  Bonds, Series 2016</t>
  </si>
  <si>
    <t>Huffman ISD</t>
  </si>
  <si>
    <t>Alvin ISD</t>
  </si>
  <si>
    <t>Unlimited Tax School &amp; refunding Bonds, Series 2016-A</t>
  </si>
  <si>
    <t>Abilene ISD</t>
  </si>
  <si>
    <t>Peaster ISD</t>
  </si>
  <si>
    <t>Unlimited Tax School Building Bonds, Series 2014-B</t>
  </si>
  <si>
    <t>San Augstine ISD</t>
  </si>
  <si>
    <t>Hawkins ISD</t>
  </si>
  <si>
    <t>Unlimited Tax School Building Bonds Series 2010</t>
  </si>
  <si>
    <t>Unlimited Tax School Building Bonds Series 2013</t>
  </si>
  <si>
    <t>Henderson ISD</t>
  </si>
  <si>
    <t>Unlimited Tax Qualified School Construction Bonds, Series 2013</t>
  </si>
  <si>
    <t>Unlimited Tax Schoo Building  Bonds, Series 2012-C</t>
  </si>
  <si>
    <t>7/21/206</t>
  </si>
  <si>
    <t>Iowa Park CISD</t>
  </si>
  <si>
    <t>Variable rate Unlimited Tax School Building Bonds, Series 2012</t>
  </si>
  <si>
    <t>Rockwall ISD</t>
  </si>
  <si>
    <t>West Rusk CCISD</t>
  </si>
  <si>
    <t>Livingston ISD</t>
  </si>
  <si>
    <t>Unlimited Tax School Building Bonds, Series 2012 &amp; Series 2012B Refunding Bonds</t>
  </si>
  <si>
    <t>Liberty Hill ISD</t>
  </si>
  <si>
    <t>Eagle-Mountain Saginaw</t>
  </si>
  <si>
    <t>Carlisle ISD</t>
  </si>
  <si>
    <t>Garland ISD</t>
  </si>
  <si>
    <t>Unlimited Tax School Building Bonds-Series 2011-B (direct Sudsidy)</t>
  </si>
  <si>
    <t>Stockdale ISD</t>
  </si>
  <si>
    <t>Unlimited Tax School Construction Building Bonds, Taxable Series 2011 (Direct-Pay Subsidy Bonds)</t>
  </si>
  <si>
    <t>Winona ISD</t>
  </si>
  <si>
    <t>Unlimited Tax School Building  Bonds, Series 2010A</t>
  </si>
  <si>
    <t>Plains ISD</t>
  </si>
  <si>
    <t>Unlimited Tax School Building  Bonds, Series 2015 A and B</t>
  </si>
  <si>
    <t>Looking for application</t>
  </si>
  <si>
    <t>check</t>
  </si>
  <si>
    <t>Klein ISD 2011 Series</t>
  </si>
  <si>
    <t>total qualified/total cost</t>
  </si>
  <si>
    <t>total non-qualified costs</t>
  </si>
  <si>
    <t>total qualified costs</t>
  </si>
  <si>
    <t>Total</t>
  </si>
  <si>
    <t>Klein ISD 2012A &amp; B Series</t>
  </si>
  <si>
    <t>total cost</t>
  </si>
  <si>
    <t>Klein ISD 2015A</t>
  </si>
  <si>
    <t>037908</t>
  </si>
  <si>
    <t>220907</t>
  </si>
  <si>
    <t>85547</t>
  </si>
  <si>
    <t>85323</t>
  </si>
  <si>
    <t>U/L Tax Sch Bldg Bds Ser 2015B</t>
  </si>
  <si>
    <t>D7739</t>
  </si>
  <si>
    <t>D7447</t>
  </si>
  <si>
    <t>85680</t>
  </si>
  <si>
    <t>85509</t>
  </si>
  <si>
    <t>83759</t>
  </si>
  <si>
    <t>U/L Tax Sch Bldg Bds Ser 2014A</t>
  </si>
  <si>
    <t>80030</t>
  </si>
  <si>
    <t>82216</t>
  </si>
  <si>
    <t>85130</t>
  </si>
  <si>
    <t>U/L Tax Schhse Bds Ser 2012A</t>
  </si>
  <si>
    <t>U/L Tax Ref Bds Ser 2012B</t>
  </si>
  <si>
    <t>79726</t>
  </si>
  <si>
    <t>85612</t>
  </si>
  <si>
    <t>82387</t>
  </si>
  <si>
    <t>82388</t>
  </si>
  <si>
    <t>U/L Tax Qualified Sch Constn Bds Taxable Ser 2013 (Direct Subsidy)</t>
  </si>
  <si>
    <t>78800</t>
  </si>
  <si>
    <t>78801</t>
  </si>
  <si>
    <t>U/L Tax Qualified Sch Constn Bds Taxable Ser 2011 (Direct-Pay Subsidy Bds)</t>
  </si>
  <si>
    <t>79631</t>
  </si>
  <si>
    <t>80212</t>
  </si>
  <si>
    <t>81348</t>
  </si>
  <si>
    <t>79010</t>
  </si>
  <si>
    <t>D7675</t>
  </si>
  <si>
    <t>85694</t>
  </si>
  <si>
    <t>84797</t>
  </si>
  <si>
    <t>84741</t>
  </si>
  <si>
    <t>86854</t>
  </si>
  <si>
    <t>85695</t>
  </si>
  <si>
    <t>77962</t>
  </si>
  <si>
    <t>D7631</t>
  </si>
  <si>
    <t>220901</t>
  </si>
  <si>
    <t>79681</t>
  </si>
  <si>
    <t>85478</t>
  </si>
  <si>
    <t>83024</t>
  </si>
  <si>
    <t>81454</t>
  </si>
  <si>
    <t>D7785</t>
  </si>
  <si>
    <t>82217</t>
  </si>
  <si>
    <t>85522</t>
  </si>
  <si>
    <t>86422</t>
  </si>
  <si>
    <t>84581</t>
  </si>
  <si>
    <t>79728</t>
  </si>
  <si>
    <t>Variable Rate U/L Tax Sch Bldg Bds Ser 2012</t>
  </si>
  <si>
    <t>84477</t>
  </si>
  <si>
    <t>77895</t>
  </si>
  <si>
    <t>85699</t>
  </si>
  <si>
    <t>78629</t>
  </si>
  <si>
    <t>Variable Rate U/L Tax Sch Bldg Bds Ser 2011</t>
  </si>
  <si>
    <t>83039</t>
  </si>
  <si>
    <t>85614</t>
  </si>
  <si>
    <t>D7783</t>
  </si>
  <si>
    <t>86667</t>
  </si>
  <si>
    <t>80557</t>
  </si>
  <si>
    <t>D7634</t>
  </si>
  <si>
    <t>78186</t>
  </si>
  <si>
    <t>78178</t>
  </si>
  <si>
    <t>U/L Tax Sch Bldg Qualified Sch Constn Bds Taxable Ser 2011 (Direct - Pay Subsidy Bds)</t>
  </si>
  <si>
    <t>82364</t>
  </si>
  <si>
    <t>86381</t>
  </si>
  <si>
    <t>86518</t>
  </si>
  <si>
    <t>78095</t>
  </si>
  <si>
    <t>not in MAC</t>
  </si>
  <si>
    <t>S</t>
  </si>
  <si>
    <t>T</t>
  </si>
  <si>
    <t>Total_from_4B</t>
  </si>
  <si>
    <t>Total_Qualified/Total_Cost</t>
  </si>
  <si>
    <t>App_Name</t>
  </si>
  <si>
    <t>App_date</t>
  </si>
  <si>
    <t>Non_qualified</t>
  </si>
  <si>
    <t>Total_Qualified_Total_Cost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</si>
  <si>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</si>
  <si>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</si>
  <si>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</si>
  <si>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</si>
  <si>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</si>
  <si>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</si>
  <si>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</si>
  <si>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</si>
  <si>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</si>
  <si>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</si>
  <si>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</si>
  <si>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85737</t>
  </si>
  <si>
    <t>1005720</t>
  </si>
  <si>
    <t>Unlimited Tax School Refunding Bonds-Series 2012</t>
  </si>
  <si>
    <t>070901</t>
  </si>
  <si>
    <t>79961</t>
  </si>
  <si>
    <t>79962</t>
  </si>
  <si>
    <t>7/19/2016</t>
  </si>
  <si>
    <t>101925</t>
  </si>
  <si>
    <t>181908</t>
  </si>
  <si>
    <t>183902</t>
  </si>
  <si>
    <t>184903</t>
  </si>
  <si>
    <t>184908</t>
  </si>
  <si>
    <t>187903</t>
  </si>
  <si>
    <t>187907</t>
  </si>
  <si>
    <t>188901</t>
  </si>
  <si>
    <t>199901</t>
  </si>
  <si>
    <t>200902</t>
  </si>
  <si>
    <t>201902</t>
  </si>
  <si>
    <t>201913</t>
  </si>
  <si>
    <t>201914</t>
  </si>
  <si>
    <t>203901</t>
  </si>
  <si>
    <t>205901</t>
  </si>
  <si>
    <t>205905</t>
  </si>
  <si>
    <t>206902</t>
  </si>
  <si>
    <t>212901</t>
  </si>
  <si>
    <t>212902</t>
  </si>
  <si>
    <t>212910</t>
  </si>
  <si>
    <t>214903</t>
  </si>
  <si>
    <t>220902</t>
  </si>
  <si>
    <t>220904</t>
  </si>
  <si>
    <t>220908</t>
  </si>
  <si>
    <t>85691</t>
  </si>
  <si>
    <t>220912</t>
  </si>
  <si>
    <t>220918</t>
  </si>
  <si>
    <t>221901</t>
  </si>
  <si>
    <t>221912</t>
  </si>
  <si>
    <t>234909</t>
  </si>
  <si>
    <t>243901</t>
  </si>
  <si>
    <t>243903</t>
  </si>
  <si>
    <t>245904</t>
  </si>
  <si>
    <t>246908</t>
  </si>
  <si>
    <t>246912</t>
  </si>
  <si>
    <t>247906</t>
  </si>
  <si>
    <t>250902</t>
  </si>
  <si>
    <t>250904</t>
  </si>
  <si>
    <t>251902</t>
  </si>
  <si>
    <t>NEW SUMMERFIELD ISD</t>
  </si>
  <si>
    <t>HUFFMAN ISD</t>
  </si>
  <si>
    <t>LITTLE CYPRESS-MAURICEVILLE CISD</t>
  </si>
  <si>
    <t>CARTHAGE ISD</t>
  </si>
  <si>
    <t>WEATHERFORD ISD</t>
  </si>
  <si>
    <t>PEASTER ISD</t>
  </si>
  <si>
    <t>LIVINGSTON ISD</t>
  </si>
  <si>
    <t>AMARILLO ISD</t>
  </si>
  <si>
    <t>ROCKWALL ISD</t>
  </si>
  <si>
    <t>MILES ISD</t>
  </si>
  <si>
    <t>HENDERSON ISD</t>
  </si>
  <si>
    <t>CARLISLE ISD</t>
  </si>
  <si>
    <t>SAN AUGUSTINE ISD</t>
  </si>
  <si>
    <t>ARANSAS PASS ISD</t>
  </si>
  <si>
    <t>ODEM-EDROY ISD</t>
  </si>
  <si>
    <t>RICHLAND SPRINGS ISD</t>
  </si>
  <si>
    <t>ARP ISD</t>
  </si>
  <si>
    <t>BULLARD ISD</t>
  </si>
  <si>
    <t>WINONA ISD</t>
  </si>
  <si>
    <t>ROMA ISD</t>
  </si>
  <si>
    <t>ARLINGTON ISD</t>
  </si>
  <si>
    <t>BIRDVILLE ISD</t>
  </si>
  <si>
    <t>EVERMAN ISD</t>
  </si>
  <si>
    <t>KELLER ISD</t>
  </si>
  <si>
    <t>MANSFIELD ISD</t>
  </si>
  <si>
    <t>CROWLEY ISD</t>
  </si>
  <si>
    <t>EAGLE MT-SAGINAW ISD</t>
  </si>
  <si>
    <t>ABILENE ISD</t>
  </si>
  <si>
    <t>FRUITVALE ISD</t>
  </si>
  <si>
    <t>BURKBURNETT ISD</t>
  </si>
  <si>
    <t>IOWA PARK CISD</t>
  </si>
  <si>
    <t>SAN PERLITA ISD</t>
  </si>
  <si>
    <t>LIBERTY HILL ISD</t>
  </si>
  <si>
    <t>STOCKDALE ISD</t>
  </si>
  <si>
    <t>HAWKINS ISD</t>
  </si>
  <si>
    <t>QUITMAN ISD</t>
  </si>
  <si>
    <t>PLAINS ISD</t>
  </si>
  <si>
    <t>Unlimited Tax School Refunding Building Bonds, Series 2014</t>
  </si>
  <si>
    <t>Estimated State Share percentage</t>
  </si>
  <si>
    <t>NOA1</t>
  </si>
  <si>
    <t>Document Control #</t>
  </si>
  <si>
    <t>701-16-101/001</t>
  </si>
  <si>
    <t>701-16-101/002</t>
  </si>
  <si>
    <t>701-16-101/003</t>
  </si>
  <si>
    <t>701-16-101/004</t>
  </si>
  <si>
    <t>701-16-101/005</t>
  </si>
  <si>
    <t>701-16-101/006</t>
  </si>
  <si>
    <t>701-16-101/007</t>
  </si>
  <si>
    <t>701-16-101/008</t>
  </si>
  <si>
    <t>701-16-101/009</t>
  </si>
  <si>
    <t>701-16-101/010</t>
  </si>
  <si>
    <t>701-16-101/011</t>
  </si>
  <si>
    <t>701-16-101/012</t>
  </si>
  <si>
    <t>701-16-101/013</t>
  </si>
  <si>
    <t>701-16-101/014</t>
  </si>
  <si>
    <t>701-16-101/015</t>
  </si>
  <si>
    <t>701-16-101/016</t>
  </si>
  <si>
    <t>701-16-101/017</t>
  </si>
  <si>
    <t>701-16-101/018</t>
  </si>
  <si>
    <t>701-16-101/019</t>
  </si>
  <si>
    <t>701-16-101/020</t>
  </si>
  <si>
    <t>701-16-101/021</t>
  </si>
  <si>
    <t>701-16-101/022</t>
  </si>
  <si>
    <t>701-16-101/023</t>
  </si>
  <si>
    <t>701-16-101/024</t>
  </si>
  <si>
    <t>701-16-101/025</t>
  </si>
  <si>
    <t>701-16-101/026</t>
  </si>
  <si>
    <t>701-16-101/027</t>
  </si>
  <si>
    <t>701-16-101/028</t>
  </si>
  <si>
    <t>701-16-101/029</t>
  </si>
  <si>
    <t>701-16-101/030</t>
  </si>
  <si>
    <t>701-16-101/031</t>
  </si>
  <si>
    <t>701-16-101/032</t>
  </si>
  <si>
    <t>701-16-101/033</t>
  </si>
  <si>
    <t>701-16-101/034</t>
  </si>
  <si>
    <t>701-16-101/035</t>
  </si>
  <si>
    <t>701-16-101/036</t>
  </si>
  <si>
    <t>701-16-101/037</t>
  </si>
  <si>
    <t>701-16-101/038</t>
  </si>
  <si>
    <t>701-16-101/039</t>
  </si>
  <si>
    <t>701-16-101/040</t>
  </si>
  <si>
    <t>701-16-101/041</t>
  </si>
  <si>
    <t>701-16-101/042</t>
  </si>
  <si>
    <t>701-16-101/043</t>
  </si>
  <si>
    <t>701-16-101/044</t>
  </si>
  <si>
    <t>701-16-101/045</t>
  </si>
  <si>
    <t>701-16-101/046</t>
  </si>
  <si>
    <t>701-16-101/047</t>
  </si>
  <si>
    <t>701-16-101/048</t>
  </si>
  <si>
    <t>701-16-101/049</t>
  </si>
  <si>
    <t>701-16-101/050</t>
  </si>
  <si>
    <t>701-16-101/051</t>
  </si>
  <si>
    <t>701-16-101/052</t>
  </si>
  <si>
    <t>701-16-101/053</t>
  </si>
  <si>
    <t>701-16-101/054</t>
  </si>
  <si>
    <t>701-16-101/055</t>
  </si>
  <si>
    <t>701-16-101/056</t>
  </si>
  <si>
    <t>701-16-101/057</t>
  </si>
  <si>
    <t>701-16-101/058</t>
  </si>
  <si>
    <t>701-16-101/059</t>
  </si>
  <si>
    <t>701-16-101/060</t>
  </si>
  <si>
    <t>701-16-101/061</t>
  </si>
  <si>
    <t>701-16-101/062</t>
  </si>
  <si>
    <t>701-16-101/063</t>
  </si>
  <si>
    <t>701-16-101/064</t>
  </si>
  <si>
    <t>701-16-101/065</t>
  </si>
  <si>
    <t>701-16-101/066</t>
  </si>
  <si>
    <t>701-16-101/067</t>
  </si>
  <si>
    <t>701-16-101/068</t>
  </si>
  <si>
    <t>701-16-101/069</t>
  </si>
  <si>
    <t>701-16-101/070</t>
  </si>
  <si>
    <t>701-16-101/071</t>
  </si>
  <si>
    <t>701-16-101/072</t>
  </si>
  <si>
    <t>701-16-101/073</t>
  </si>
  <si>
    <t>701-16-101/074</t>
  </si>
  <si>
    <t>701-16-101/075</t>
  </si>
  <si>
    <t>701-16-101/076</t>
  </si>
  <si>
    <t>701-16-101/077</t>
  </si>
  <si>
    <t>701-16-101/078</t>
  </si>
  <si>
    <t>701-16-101/079</t>
  </si>
  <si>
    <t>701-16-101/080</t>
  </si>
  <si>
    <t>701-16-101/081</t>
  </si>
  <si>
    <t>701-16-101/082</t>
  </si>
  <si>
    <t>701-16-101/083</t>
  </si>
  <si>
    <t>701-16-101/084</t>
  </si>
  <si>
    <t>701-16-101/085</t>
  </si>
  <si>
    <t>701-16-101/086</t>
  </si>
  <si>
    <t>701-16-101/087</t>
  </si>
  <si>
    <t>701-16-101/088</t>
  </si>
  <si>
    <t>701-16-101/089</t>
  </si>
  <si>
    <t>701-16-101/090</t>
  </si>
  <si>
    <t>701-16-101/091</t>
  </si>
  <si>
    <t>701-16-101/092</t>
  </si>
  <si>
    <t>701-16-101/093</t>
  </si>
  <si>
    <t>701-16-101/094</t>
  </si>
  <si>
    <t>701-16-101/095</t>
  </si>
  <si>
    <t>701-16-101/096</t>
  </si>
  <si>
    <t>701-16-101/097</t>
  </si>
  <si>
    <t>701-16-101/098</t>
  </si>
  <si>
    <t>701-16-101/099</t>
  </si>
  <si>
    <t>701-16-101/100</t>
  </si>
  <si>
    <t>701-16-101/101</t>
  </si>
  <si>
    <t>701-16-101/102</t>
  </si>
  <si>
    <t>701-16-101/103</t>
  </si>
  <si>
    <t>701-16-101/104</t>
  </si>
  <si>
    <t>701-16-101/105</t>
  </si>
  <si>
    <t>701-16-101/106</t>
  </si>
  <si>
    <t>701-16-101/107</t>
  </si>
  <si>
    <t>701-16-101/108</t>
  </si>
  <si>
    <t>701-16-101/109</t>
  </si>
  <si>
    <t>701-16-101/110</t>
  </si>
  <si>
    <t>701-16-101/111</t>
  </si>
  <si>
    <t>Covered by EDA flag</t>
  </si>
  <si>
    <t>701-09-001/001</t>
  </si>
  <si>
    <t>701-09-001/002</t>
  </si>
  <si>
    <t>701-09-001/003</t>
  </si>
  <si>
    <t>701-09-001/004</t>
  </si>
  <si>
    <t>701-09-001/005</t>
  </si>
  <si>
    <t>701-09-001/006</t>
  </si>
  <si>
    <t>701-09-001/007</t>
  </si>
  <si>
    <t>701-09-001/008</t>
  </si>
  <si>
    <t>701-09-001/009</t>
  </si>
  <si>
    <t>701-09-001/010</t>
  </si>
  <si>
    <t>701-09-001/011</t>
  </si>
  <si>
    <t>701-09-001/012</t>
  </si>
  <si>
    <t>701-09-001/013</t>
  </si>
  <si>
    <t>701-09-001/014</t>
  </si>
  <si>
    <t>701-09-001/015</t>
  </si>
  <si>
    <t>701-10-113/001</t>
  </si>
  <si>
    <t>701-10-113/002</t>
  </si>
  <si>
    <t>701-10-113/003</t>
  </si>
  <si>
    <t>701-10-113/004</t>
  </si>
  <si>
    <t>701-10-113/005</t>
  </si>
  <si>
    <t>701-10-113/006</t>
  </si>
  <si>
    <t>701-10-113/007</t>
  </si>
  <si>
    <t>701-10-113/008</t>
  </si>
  <si>
    <t>701-10-113/009</t>
  </si>
  <si>
    <t>701-10-113/010</t>
  </si>
  <si>
    <t>701-10-113/011</t>
  </si>
  <si>
    <t>701-10-113/012</t>
  </si>
  <si>
    <t>701-10-113/013</t>
  </si>
  <si>
    <t>701-10-113/014</t>
  </si>
  <si>
    <t>701-10-113/015</t>
  </si>
  <si>
    <t>701-10-113/016</t>
  </si>
  <si>
    <t>701-10-113/017</t>
  </si>
  <si>
    <t>701-10-113/018</t>
  </si>
  <si>
    <t>701-10-113/019</t>
  </si>
  <si>
    <t>701-10-113/020</t>
  </si>
  <si>
    <t>701-10-113/021</t>
  </si>
  <si>
    <t>701-10-113/022</t>
  </si>
  <si>
    <t>701-10-113/023</t>
  </si>
  <si>
    <t>701-10-113/024</t>
  </si>
  <si>
    <t>701-10-113/025</t>
  </si>
  <si>
    <t>701-10-113/026</t>
  </si>
  <si>
    <t>701-10-113/027</t>
  </si>
  <si>
    <t>701-10-113/028</t>
  </si>
  <si>
    <t>701-10-113/029</t>
  </si>
  <si>
    <t>701-10-113/030</t>
  </si>
  <si>
    <t>701-10-113/031</t>
  </si>
  <si>
    <t>701-10-113/032</t>
  </si>
  <si>
    <t>701-10-113/033</t>
  </si>
  <si>
    <t>701-10-113/034</t>
  </si>
  <si>
    <t>701-10-113/035</t>
  </si>
  <si>
    <t>701-10-113/036</t>
  </si>
  <si>
    <t>701-10-113/037</t>
  </si>
  <si>
    <t>701-10-113/038</t>
  </si>
  <si>
    <t>701-10-113/039</t>
  </si>
  <si>
    <t>701-10-113/040</t>
  </si>
  <si>
    <t>701-10-113/041</t>
  </si>
  <si>
    <t>701-10-113/042</t>
  </si>
  <si>
    <t>701-10-113/043</t>
  </si>
  <si>
    <t>701-10-113/044</t>
  </si>
  <si>
    <t>701-10-113/045</t>
  </si>
  <si>
    <t>701-10-113/046</t>
  </si>
  <si>
    <t>701-10-113/047</t>
  </si>
  <si>
    <t>701-10-113/048</t>
  </si>
  <si>
    <t>701-10-113/049</t>
  </si>
  <si>
    <t>701-10-113/050</t>
  </si>
  <si>
    <t>701-10-113/051</t>
  </si>
  <si>
    <t>701-10-113/052</t>
  </si>
  <si>
    <t>701-10-113/053</t>
  </si>
  <si>
    <t>701-10-113/054</t>
  </si>
  <si>
    <t>701-10-113/055</t>
  </si>
  <si>
    <t>701-10-113/056</t>
  </si>
  <si>
    <t>701-10-113/057</t>
  </si>
  <si>
    <t>701-10-113/058</t>
  </si>
  <si>
    <t>701-10-113/059</t>
  </si>
  <si>
    <t>701-10-113/060</t>
  </si>
  <si>
    <t>701-10-113/061</t>
  </si>
  <si>
    <t>701-10-113/062</t>
  </si>
  <si>
    <t>701-10-113/063</t>
  </si>
  <si>
    <t>701-10-113/064</t>
  </si>
  <si>
    <t>701-10-113/065</t>
  </si>
  <si>
    <t>701-10-113/066</t>
  </si>
  <si>
    <t>701-10-113/067</t>
  </si>
  <si>
    <t>701-10-113/068</t>
  </si>
  <si>
    <t>701-10-113/069</t>
  </si>
  <si>
    <t>701-10-113/070</t>
  </si>
  <si>
    <t>701-10-113/071</t>
  </si>
  <si>
    <t>701-10-113/072</t>
  </si>
  <si>
    <t>701-10-113/073</t>
  </si>
  <si>
    <t>701-10-113/074</t>
  </si>
  <si>
    <t>701-10-113/075</t>
  </si>
  <si>
    <t>701-10-113/076</t>
  </si>
  <si>
    <t>701-10-113/077</t>
  </si>
  <si>
    <t>701-10-113/078</t>
  </si>
  <si>
    <t>701-10-113/079</t>
  </si>
  <si>
    <t>701-10-113/080</t>
  </si>
  <si>
    <t>701-10-113/081</t>
  </si>
  <si>
    <t>701-10-113/082</t>
  </si>
  <si>
    <t>701-10-113/083</t>
  </si>
  <si>
    <t>701-10-113/084</t>
  </si>
  <si>
    <t>701-10-113/085</t>
  </si>
  <si>
    <t>701-10-113/086</t>
  </si>
  <si>
    <t>701-10-113/087</t>
  </si>
  <si>
    <t>701-10-113/088</t>
  </si>
  <si>
    <t>701-10-113/089</t>
  </si>
  <si>
    <t>701-10-113/090</t>
  </si>
  <si>
    <t>701-10-113/091</t>
  </si>
  <si>
    <t>701-10-113/092</t>
  </si>
  <si>
    <t>701-10-113/093</t>
  </si>
  <si>
    <t>701-10-113/094</t>
  </si>
  <si>
    <t>701-10-113/095</t>
  </si>
  <si>
    <t>701-10-113/096</t>
  </si>
  <si>
    <t>701-10-113/097</t>
  </si>
  <si>
    <t>701-10-113/098</t>
  </si>
  <si>
    <t>701-10-113/099</t>
  </si>
  <si>
    <t>701-10-113/100</t>
  </si>
  <si>
    <t>701-10-113/101</t>
  </si>
  <si>
    <t>701-10-113/102</t>
  </si>
  <si>
    <t>701-10-113/103</t>
  </si>
  <si>
    <t>701-10-113/104</t>
  </si>
  <si>
    <t>701-10-113/105</t>
  </si>
  <si>
    <t>701-10-113/106</t>
  </si>
  <si>
    <t>701-16-101/112</t>
  </si>
  <si>
    <t>701-10-113/107</t>
  </si>
  <si>
    <t>87297</t>
  </si>
  <si>
    <t>87340</t>
  </si>
  <si>
    <t>87401</t>
  </si>
  <si>
    <t>87416</t>
  </si>
  <si>
    <t>701-16-101/113</t>
  </si>
  <si>
    <t>701-10-113/108</t>
  </si>
  <si>
    <t>Percent Qualified</t>
  </si>
  <si>
    <t>701-10-113/109</t>
  </si>
  <si>
    <t>701-10-113/110</t>
  </si>
  <si>
    <t>87808</t>
  </si>
  <si>
    <t>District Name</t>
  </si>
  <si>
    <t>87163</t>
  </si>
  <si>
    <t>88134</t>
  </si>
  <si>
    <t>U/L Tax Sch Bldg &amp; Ref Bds Ser 2016B</t>
  </si>
  <si>
    <t>87597</t>
  </si>
  <si>
    <t>87550</t>
  </si>
  <si>
    <t>88098</t>
  </si>
  <si>
    <t>87229</t>
  </si>
  <si>
    <t>87182</t>
  </si>
  <si>
    <t>87594</t>
  </si>
  <si>
    <t>88038</t>
  </si>
  <si>
    <t>87670</t>
  </si>
  <si>
    <t>87807</t>
  </si>
  <si>
    <t>87385</t>
  </si>
  <si>
    <t>87381</t>
  </si>
  <si>
    <t>87880</t>
  </si>
  <si>
    <t>88061</t>
  </si>
  <si>
    <t>87825</t>
  </si>
  <si>
    <t>87506</t>
  </si>
  <si>
    <t>Unlimited Tax School Building Bonds, Series 2016A</t>
  </si>
  <si>
    <t>Unlimited Tax School Building Bonds Series 2010A</t>
  </si>
  <si>
    <t>Total cost_from_4B</t>
  </si>
  <si>
    <t>Unlimited Tax School Building Bonds, Series 2013A</t>
  </si>
  <si>
    <t>88144</t>
  </si>
  <si>
    <t>Unlimited Tax School Building Bonds &amp; Refunding Bonds, Series 2016B</t>
  </si>
  <si>
    <t>U/L Tax Sch Bldg Bds and Refunding Ser 2016B</t>
  </si>
  <si>
    <t>THRALL ISD</t>
  </si>
  <si>
    <t>WEST RUSK COUNTY CONSOLIDATED ISD</t>
  </si>
  <si>
    <t>Reduction to NOA1</t>
  </si>
  <si>
    <t>State Share</t>
  </si>
  <si>
    <t>Cumulative 
State Share</t>
  </si>
  <si>
    <t>GOODRICH ISD</t>
  </si>
  <si>
    <t>Unlimited Tax Qualified School Construction Bonds Taxable-Series 2012</t>
  </si>
  <si>
    <t>Debt Service Amount for NOA</t>
  </si>
  <si>
    <t/>
  </si>
  <si>
    <t>Bond Title</t>
  </si>
  <si>
    <t>CDN</t>
  </si>
  <si>
    <t>Wealth per ADA</t>
  </si>
  <si>
    <t>Wealth Adjustment 1 (growth factor)</t>
  </si>
  <si>
    <t>Wealth Adjustment 2 no debt</t>
  </si>
  <si>
    <t>NOA after ADA $250, 100,000 Restriction</t>
  </si>
  <si>
    <t>Max per District for Biennium = ($250 per ADA or 100,000)</t>
  </si>
  <si>
    <t>Estimated State Share Percentage</t>
  </si>
  <si>
    <t>Wealth Adjustment 2 No Debt</t>
  </si>
  <si>
    <t>Wealth Adjustment 1 (Growth Factor)</t>
  </si>
  <si>
    <t>Unlimited Tax School Building and Refunding Bonds, Series 2016</t>
  </si>
  <si>
    <t>Y</t>
  </si>
  <si>
    <t>Unlimited Tax School Building  Bonds, Series 2015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</si>
</sst>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  <numFmt numFmtId="167" formatCode="0.000000000"/>
    <numFmt numFmtId="168" formatCode="000000"/>
    <numFmt numFmtId="169" formatCode="mm/dd/yy;@"/>
    <numFmt numFmtId="170" formatCode="&quot;$&quot;#,##0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4" borderId="2" applyNumberFormat="0" applyAlignment="0" applyProtection="0"/>
    <xf numFmtId="0" fontId="11" fillId="5" borderId="0" applyNumberFormat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 applyProtection="1">
      <alignment vertical="center"/>
    </xf>
    <xf numFmtId="0" fontId="3" fillId="0" borderId="0" xfId="0" applyFont="1" applyFill="1"/>
    <xf numFmtId="14" fontId="3" fillId="0" borderId="0" xfId="0" applyNumberFormat="1" applyFont="1" applyFill="1" applyAlignment="1" applyProtection="1">
      <alignment vertical="center"/>
    </xf>
    <xf numFmtId="14" fontId="1" fillId="0" borderId="0" xfId="0" applyNumberFormat="1" applyFont="1" applyFill="1"/>
    <xf numFmtId="14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/>
    <xf numFmtId="0" fontId="4" fillId="0" borderId="0" xfId="0" applyFont="1"/>
    <xf numFmtId="0" fontId="6" fillId="2" borderId="0" xfId="0" applyFont="1" applyFill="1"/>
    <xf numFmtId="167" fontId="6" fillId="2" borderId="0" xfId="0" applyNumberFormat="1" applyFont="1" applyFill="1"/>
    <xf numFmtId="49" fontId="1" fillId="0" borderId="0" xfId="0" applyNumberFormat="1" applyFont="1"/>
    <xf numFmtId="49" fontId="1" fillId="0" borderId="0" xfId="0" applyNumberFormat="1" applyFont="1" applyFill="1"/>
    <xf numFmtId="49" fontId="3" fillId="0" borderId="0" xfId="0" applyNumberFormat="1" applyFont="1" applyFill="1"/>
    <xf numFmtId="168" fontId="1" fillId="0" borderId="0" xfId="0" applyNumberFormat="1" applyFont="1"/>
    <xf numFmtId="168" fontId="1" fillId="0" borderId="0" xfId="0" applyNumberFormat="1" applyFont="1" applyFill="1"/>
    <xf numFmtId="168" fontId="3" fillId="0" borderId="0" xfId="0" applyNumberFormat="1" applyFont="1" applyFill="1"/>
    <xf numFmtId="168" fontId="3" fillId="0" borderId="0" xfId="0" applyNumberFormat="1" applyFont="1" applyFill="1" applyAlignment="1">
      <alignment horizontal="left"/>
    </xf>
    <xf numFmtId="14" fontId="1" fillId="0" borderId="0" xfId="0" applyNumberFormat="1" applyFont="1" applyAlignment="1" applyProtection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9" fontId="1" fillId="0" borderId="0" xfId="0" applyNumberFormat="1" applyFont="1"/>
    <xf numFmtId="169" fontId="1" fillId="0" borderId="0" xfId="0" applyNumberFormat="1" applyFont="1" applyAlignment="1" applyProtection="1">
      <alignment vertical="center"/>
    </xf>
    <xf numFmtId="0" fontId="1" fillId="2" borderId="0" xfId="0" applyFont="1" applyFill="1"/>
    <xf numFmtId="169" fontId="1" fillId="2" borderId="0" xfId="0" applyNumberFormat="1" applyFont="1" applyFill="1" applyAlignment="1" applyProtection="1">
      <alignment vertical="center"/>
    </xf>
    <xf numFmtId="169" fontId="1" fillId="2" borderId="0" xfId="0" applyNumberFormat="1" applyFont="1" applyFill="1"/>
    <xf numFmtId="14" fontId="1" fillId="2" borderId="0" xfId="0" applyNumberFormat="1" applyFont="1" applyFill="1" applyAlignment="1" applyProtection="1">
      <alignment vertical="center"/>
    </xf>
    <xf numFmtId="0" fontId="1" fillId="3" borderId="0" xfId="0" applyFont="1" applyFill="1"/>
    <xf numFmtId="49" fontId="3" fillId="3" borderId="0" xfId="0" applyNumberFormat="1" applyFont="1" applyFill="1"/>
    <xf numFmtId="0" fontId="3" fillId="3" borderId="0" xfId="0" applyFont="1" applyFill="1"/>
    <xf numFmtId="14" fontId="1" fillId="3" borderId="0" xfId="0" applyNumberFormat="1" applyFont="1" applyFill="1" applyAlignment="1" applyProtection="1">
      <alignment vertical="center"/>
    </xf>
    <xf numFmtId="168" fontId="3" fillId="3" borderId="0" xfId="0" applyNumberFormat="1" applyFont="1" applyFill="1"/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4" fontId="1" fillId="3" borderId="0" xfId="0" applyNumberFormat="1" applyFont="1" applyFill="1"/>
    <xf numFmtId="49" fontId="1" fillId="3" borderId="0" xfId="0" applyNumberFormat="1" applyFont="1" applyFill="1"/>
    <xf numFmtId="14" fontId="3" fillId="3" borderId="0" xfId="0" applyNumberFormat="1" applyFont="1" applyFill="1"/>
    <xf numFmtId="168" fontId="1" fillId="3" borderId="0" xfId="0" applyNumberFormat="1" applyFont="1" applyFill="1"/>
    <xf numFmtId="3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4" fontId="1" fillId="6" borderId="0" xfId="0" applyNumberFormat="1" applyFont="1" applyFill="1" applyAlignment="1" applyProtection="1">
      <alignment vertical="center"/>
    </xf>
    <xf numFmtId="0" fontId="1" fillId="6" borderId="0" xfId="0" applyFont="1" applyFill="1"/>
    <xf numFmtId="168" fontId="1" fillId="6" borderId="0" xfId="0" applyNumberFormat="1" applyFont="1" applyFill="1"/>
    <xf numFmtId="0" fontId="1" fillId="6" borderId="0" xfId="0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4" fontId="1" fillId="6" borderId="0" xfId="0" applyNumberFormat="1" applyFont="1" applyFill="1"/>
    <xf numFmtId="0" fontId="3" fillId="6" borderId="0" xfId="0" applyFont="1" applyFill="1"/>
    <xf numFmtId="14" fontId="3" fillId="3" borderId="0" xfId="0" applyNumberFormat="1" applyFont="1" applyFill="1" applyAlignment="1" applyProtection="1">
      <alignment vertical="center"/>
    </xf>
    <xf numFmtId="0" fontId="7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14" fontId="3" fillId="6" borderId="0" xfId="0" applyNumberFormat="1" applyFont="1" applyFill="1" applyAlignment="1" applyProtection="1">
      <alignment vertical="center"/>
    </xf>
    <xf numFmtId="168" fontId="3" fillId="6" borderId="0" xfId="0" applyNumberFormat="1" applyFont="1" applyFill="1"/>
    <xf numFmtId="49" fontId="3" fillId="6" borderId="0" xfId="0" applyNumberFormat="1" applyFont="1" applyFill="1"/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4" fontId="3" fillId="6" borderId="0" xfId="0" applyNumberFormat="1" applyFont="1" applyFill="1"/>
    <xf numFmtId="165" fontId="1" fillId="3" borderId="0" xfId="1" applyNumberFormat="1" applyFont="1" applyFill="1" applyBorder="1" applyAlignment="1">
      <alignment horizontal="center"/>
    </xf>
    <xf numFmtId="3" fontId="1" fillId="3" borderId="0" xfId="1" applyNumberFormat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/>
    </xf>
    <xf numFmtId="3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right"/>
    </xf>
    <xf numFmtId="14" fontId="1" fillId="6" borderId="0" xfId="0" applyNumberFormat="1" applyFont="1" applyFill="1" applyAlignment="1">
      <alignment horizontal="right"/>
    </xf>
    <xf numFmtId="165" fontId="3" fillId="6" borderId="0" xfId="1" applyNumberFormat="1" applyFont="1" applyFill="1" applyBorder="1" applyAlignment="1">
      <alignment horizontal="right"/>
    </xf>
    <xf numFmtId="3" fontId="3" fillId="6" borderId="0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49" fontId="14" fillId="0" borderId="0" xfId="0" applyNumberFormat="1" applyFont="1" applyFill="1"/>
    <xf numFmtId="0" fontId="14" fillId="0" borderId="0" xfId="0" applyFont="1" applyFill="1"/>
    <xf numFmtId="170" fontId="14" fillId="0" borderId="0" xfId="0" applyNumberFormat="1" applyFont="1" applyFill="1"/>
    <xf numFmtId="10" fontId="14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/>
    <xf numFmtId="170" fontId="15" fillId="0" borderId="0" xfId="0" applyNumberFormat="1" applyFont="1" applyFill="1"/>
    <xf numFmtId="10" fontId="15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9" fontId="14" fillId="2" borderId="0" xfId="0" applyNumberFormat="1" applyFont="1" applyFill="1"/>
    <xf numFmtId="0" fontId="14" fillId="2" borderId="0" xfId="0" applyFont="1" applyFill="1"/>
    <xf numFmtId="170" fontId="14" fillId="2" borderId="0" xfId="0" applyNumberFormat="1" applyFont="1" applyFill="1"/>
    <xf numFmtId="10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9" fillId="0" borderId="0" xfId="0" applyNumberFormat="1" applyFont="1" applyFill="1"/>
    <xf numFmtId="0" fontId="9" fillId="0" borderId="0" xfId="0" applyFont="1" applyFill="1"/>
    <xf numFmtId="0" fontId="18" fillId="0" borderId="0" xfId="0" applyFont="1" applyFill="1"/>
    <xf numFmtId="170" fontId="9" fillId="0" borderId="0" xfId="0" applyNumberFormat="1" applyFont="1" applyFill="1"/>
    <xf numFmtId="10" fontId="9" fillId="0" borderId="0" xfId="0" applyNumberFormat="1" applyFont="1" applyFill="1"/>
    <xf numFmtId="14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wrapText="1"/>
    </xf>
    <xf numFmtId="10" fontId="9" fillId="0" borderId="0" xfId="0" applyNumberFormat="1" applyFont="1" applyFill="1" applyBorder="1" applyAlignment="1" applyProtection="1">
      <alignment horizontal="right" wrapText="1"/>
    </xf>
    <xf numFmtId="49" fontId="9" fillId="0" borderId="0" xfId="0" applyNumberFormat="1" applyFont="1" applyFill="1" applyBorder="1"/>
    <xf numFmtId="0" fontId="9" fillId="0" borderId="0" xfId="0" applyFont="1" applyFill="1" applyBorder="1"/>
    <xf numFmtId="10" fontId="9" fillId="0" borderId="0" xfId="0" applyNumberFormat="1" applyFont="1" applyFill="1" applyBorder="1"/>
    <xf numFmtId="14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170" fontId="9" fillId="0" borderId="0" xfId="0" applyNumberFormat="1" applyFont="1" applyFill="1" applyBorder="1"/>
    <xf numFmtId="170" fontId="9" fillId="0" borderId="0" xfId="0" applyNumberFormat="1" applyFont="1" applyFill="1" applyBorder="1" applyAlignment="1" applyProtection="1">
      <alignment horizontal="right" wrapText="1"/>
    </xf>
    <xf numFmtId="8" fontId="9" fillId="0" borderId="0" xfId="0" applyNumberFormat="1" applyFont="1" applyFill="1" applyBorder="1" applyAlignment="1" applyProtection="1">
      <alignment horizontal="right" wrapText="1"/>
    </xf>
    <xf numFmtId="10" fontId="9" fillId="0" borderId="0" xfId="2" applyNumberFormat="1" applyFont="1" applyFill="1" applyBorder="1" applyAlignment="1" applyProtection="1">
      <alignment horizontal="right" wrapText="1"/>
    </xf>
    <xf numFmtId="10" fontId="9" fillId="0" borderId="0" xfId="2" applyNumberFormat="1" applyFont="1" applyFill="1" applyBorder="1"/>
    <xf numFmtId="0" fontId="0" fillId="0" borderId="0" xfId="0" applyFont="1" applyFill="1"/>
    <xf numFmtId="0" fontId="0" fillId="7" borderId="0" xfId="0" applyFont="1" applyFill="1"/>
    <xf numFmtId="2" fontId="9" fillId="0" borderId="0" xfId="0" applyNumberFormat="1" applyFont="1" applyFill="1" applyAlignment="1" applyProtection="1">
      <alignment vertical="center"/>
    </xf>
    <xf numFmtId="3" fontId="9" fillId="0" borderId="0" xfId="0" applyNumberFormat="1" applyFont="1" applyFill="1" applyBorder="1"/>
    <xf numFmtId="3" fontId="9" fillId="0" borderId="0" xfId="0" applyNumberFormat="1" applyFont="1" applyFill="1"/>
    <xf numFmtId="0" fontId="9" fillId="0" borderId="0" xfId="3" applyFont="1" applyFill="1"/>
    <xf numFmtId="49" fontId="9" fillId="0" borderId="0" xfId="0" applyNumberFormat="1" applyFont="1" applyFill="1" applyBorder="1" applyAlignment="1" applyProtection="1">
      <alignment horizontal="left" wrapText="1"/>
    </xf>
    <xf numFmtId="170" fontId="9" fillId="0" borderId="0" xfId="0" applyNumberFormat="1" applyFont="1" applyFill="1" applyAlignment="1">
      <alignment horizontal="center"/>
    </xf>
    <xf numFmtId="49" fontId="0" fillId="8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170" fontId="0" fillId="8" borderId="1" xfId="0" applyNumberFormat="1" applyFont="1" applyFill="1" applyBorder="1" applyAlignment="1">
      <alignment horizontal="center" wrapText="1"/>
    </xf>
    <xf numFmtId="10" fontId="0" fillId="8" borderId="1" xfId="0" applyNumberFormat="1" applyFont="1" applyFill="1" applyBorder="1" applyAlignment="1">
      <alignment horizontal="center" wrapText="1"/>
    </xf>
    <xf numFmtId="170" fontId="9" fillId="8" borderId="1" xfId="0" applyNumberFormat="1" applyFont="1" applyFill="1" applyBorder="1" applyAlignment="1">
      <alignment horizontal="center" wrapText="1"/>
    </xf>
  </cellXfs>
  <cellStyles count="4">
    <cellStyle name="60% - Accent4" xfId="3" builtinId="44"/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9"/>
  <sheetViews>
    <sheetView workbookViewId="0">
      <pane xSplit="1" ySplit="1" topLeftCell="F117" activePane="bottomRight" state="frozen"/>
      <selection activeCell="G1" sqref="G1:G1048576"/>
      <selection pane="topRight" activeCell="G1" sqref="G1:G1048576"/>
      <selection pane="bottomLeft" activeCell="G1" sqref="G1:G1048576"/>
      <selection pane="bottomRight" activeCell="F128" sqref="F128"/>
    </sheetView>
  </sheetViews>
  <sheetFormatPr defaultColWidth="9.140625" defaultRowHeight="21" x14ac:dyDescent="0.35"/>
  <cols>
    <col min="1" max="1" width="55.7109375" style="1" bestFit="1" customWidth="1"/>
    <col min="2" max="2" width="16.28515625" style="1" bestFit="1" customWidth="1"/>
    <col min="3" max="3" width="15.7109375" style="1" bestFit="1" customWidth="1"/>
    <col min="4" max="4" width="13.5703125" style="29" bestFit="1" customWidth="1"/>
    <col min="5" max="5" width="136.140625" style="1" bestFit="1" customWidth="1"/>
    <col min="6" max="6" width="20.5703125" style="26" bestFit="1" customWidth="1"/>
    <col min="7" max="7" width="40.42578125" style="1" bestFit="1" customWidth="1"/>
    <col min="8" max="8" width="113" style="1" bestFit="1" customWidth="1"/>
    <col min="9" max="9" width="29.5703125" style="1" bestFit="1" customWidth="1"/>
    <col min="10" max="10" width="34.28515625" style="1" bestFit="1" customWidth="1"/>
    <col min="11" max="11" width="30" style="1" bestFit="1" customWidth="1"/>
    <col min="12" max="12" width="21.42578125" style="1" bestFit="1" customWidth="1"/>
    <col min="13" max="13" width="27.42578125" style="1" bestFit="1" customWidth="1"/>
    <col min="14" max="14" width="25.140625" style="1" bestFit="1" customWidth="1"/>
    <col min="15" max="15" width="31.85546875" style="1" bestFit="1" customWidth="1"/>
    <col min="16" max="17" width="33.5703125" style="1" bestFit="1" customWidth="1"/>
    <col min="18" max="18" width="37.140625" style="1" bestFit="1" customWidth="1"/>
    <col min="19" max="19" width="17.140625" style="1" bestFit="1" customWidth="1"/>
    <col min="20" max="20" width="18" style="1" bestFit="1" customWidth="1"/>
    <col min="21" max="21" width="12.28515625" style="1" bestFit="1" customWidth="1"/>
    <col min="22" max="22" width="10.7109375" style="1" bestFit="1" customWidth="1"/>
    <col min="23" max="23" width="13" style="1" bestFit="1" customWidth="1"/>
    <col min="24" max="24" width="18.140625" style="1" bestFit="1" customWidth="1"/>
    <col min="25" max="25" width="28.7109375" style="1" customWidth="1"/>
    <col min="26" max="26" width="19.7109375" style="1" bestFit="1" customWidth="1"/>
    <col min="27" max="27" width="34.7109375" style="1" bestFit="1" customWidth="1"/>
    <col min="28" max="28" width="107.140625" style="1" bestFit="1" customWidth="1"/>
    <col min="29" max="29" width="14.5703125" style="1" customWidth="1"/>
    <col min="30" max="30" width="14.7109375" style="1" bestFit="1" customWidth="1"/>
    <col min="31" max="37" width="9.140625" style="1"/>
    <col min="38" max="38" width="14.7109375" style="1" bestFit="1" customWidth="1"/>
    <col min="39" max="16384" width="9.140625" style="1"/>
  </cols>
  <sheetData>
    <row r="1" spans="1:28" x14ac:dyDescent="0.35">
      <c r="A1" s="1" t="s">
        <v>12</v>
      </c>
      <c r="B1" s="1" t="s">
        <v>13</v>
      </c>
      <c r="C1" s="1" t="s">
        <v>1</v>
      </c>
      <c r="D1" s="29" t="s">
        <v>11</v>
      </c>
      <c r="E1" s="1" t="s">
        <v>2</v>
      </c>
      <c r="F1" s="26" t="s">
        <v>3</v>
      </c>
      <c r="G1" s="1" t="s">
        <v>0</v>
      </c>
      <c r="H1" s="1" t="s">
        <v>4</v>
      </c>
      <c r="I1" s="1" t="s">
        <v>14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15</v>
      </c>
      <c r="Q1" s="1" t="s">
        <v>16</v>
      </c>
      <c r="R1" s="1" t="s">
        <v>20</v>
      </c>
      <c r="S1" s="1" t="s">
        <v>866</v>
      </c>
      <c r="T1" s="1" t="s">
        <v>867</v>
      </c>
      <c r="U1" s="1" t="s">
        <v>17</v>
      </c>
      <c r="V1" s="1" t="s">
        <v>18</v>
      </c>
      <c r="W1" s="1" t="s">
        <v>19</v>
      </c>
      <c r="X1" s="2" t="s">
        <v>724</v>
      </c>
      <c r="Y1" s="2" t="s">
        <v>1238</v>
      </c>
      <c r="Z1" s="2" t="s">
        <v>790</v>
      </c>
      <c r="AA1" s="2" t="s">
        <v>869</v>
      </c>
      <c r="AB1" s="2" t="s">
        <v>731</v>
      </c>
    </row>
    <row r="2" spans="1:28" s="3" customFormat="1" x14ac:dyDescent="0.35">
      <c r="A2" s="4">
        <v>41400.408969907403</v>
      </c>
      <c r="B2" s="4">
        <v>40931</v>
      </c>
      <c r="C2" s="3" t="s">
        <v>22</v>
      </c>
      <c r="D2" s="30" t="s">
        <v>26</v>
      </c>
      <c r="E2" s="3" t="s">
        <v>23</v>
      </c>
      <c r="F2" s="27" t="s">
        <v>24</v>
      </c>
      <c r="G2" s="3" t="s">
        <v>21</v>
      </c>
      <c r="H2" s="3" t="s">
        <v>25</v>
      </c>
      <c r="I2" s="3" t="s">
        <v>27</v>
      </c>
      <c r="J2" s="3">
        <v>389952</v>
      </c>
      <c r="K2" s="3">
        <v>0.3322</v>
      </c>
      <c r="L2" s="3">
        <v>0.28999999999999998</v>
      </c>
      <c r="M2" s="3">
        <v>0.34399999999999997</v>
      </c>
      <c r="N2" s="3">
        <v>739.79899999999998</v>
      </c>
      <c r="O2" s="3">
        <v>248392651</v>
      </c>
      <c r="P2" s="3">
        <v>390744</v>
      </c>
      <c r="Q2" s="3">
        <v>389952</v>
      </c>
      <c r="R2" s="3">
        <v>390744</v>
      </c>
      <c r="S2" s="3">
        <v>700000</v>
      </c>
      <c r="T2" s="3">
        <v>700000</v>
      </c>
      <c r="U2" s="3">
        <v>792</v>
      </c>
      <c r="V2" s="3">
        <v>841</v>
      </c>
      <c r="W2" s="3">
        <v>6.19</v>
      </c>
      <c r="X2" s="34">
        <v>0</v>
      </c>
      <c r="Y2" s="35">
        <v>900000</v>
      </c>
      <c r="Z2" s="34">
        <f t="shared" ref="Z2:Z10" si="0">1-(X2/Y2)</f>
        <v>1</v>
      </c>
      <c r="AA2" s="36">
        <f>900000/900000</f>
        <v>1</v>
      </c>
      <c r="AB2" s="7">
        <v>42572</v>
      </c>
    </row>
    <row r="3" spans="1:28" s="3" customFormat="1" x14ac:dyDescent="0.35">
      <c r="A3" s="4">
        <v>41927.558125000003</v>
      </c>
      <c r="B3" s="4">
        <v>41837.416666666701</v>
      </c>
      <c r="C3" s="3" t="s">
        <v>22</v>
      </c>
      <c r="D3" s="30" t="s">
        <v>32</v>
      </c>
      <c r="E3" s="3" t="s">
        <v>29</v>
      </c>
      <c r="F3" s="27" t="s">
        <v>30</v>
      </c>
      <c r="G3" s="3" t="s">
        <v>28</v>
      </c>
      <c r="H3" s="3" t="s">
        <v>31</v>
      </c>
      <c r="I3" s="3" t="s">
        <v>33</v>
      </c>
      <c r="J3" s="3">
        <v>203075</v>
      </c>
      <c r="K3" s="3">
        <v>0.15229999999999999</v>
      </c>
      <c r="L3" s="3">
        <v>0.14499999999999999</v>
      </c>
      <c r="M3" s="3">
        <v>0.14499999999999999</v>
      </c>
      <c r="N3" s="3">
        <v>360.77</v>
      </c>
      <c r="O3" s="3">
        <v>103747742</v>
      </c>
      <c r="P3" s="3">
        <v>200850</v>
      </c>
      <c r="Q3" s="3">
        <v>203075</v>
      </c>
      <c r="R3" s="3">
        <v>203075</v>
      </c>
      <c r="S3" s="3">
        <v>900000</v>
      </c>
      <c r="T3" s="3">
        <v>900000</v>
      </c>
      <c r="U3" s="3">
        <v>404</v>
      </c>
      <c r="V3" s="3">
        <v>399</v>
      </c>
      <c r="W3" s="3">
        <v>-1.24</v>
      </c>
      <c r="X3" s="34">
        <v>0</v>
      </c>
      <c r="Y3" s="35">
        <v>3300000</v>
      </c>
      <c r="Z3" s="34">
        <f t="shared" si="0"/>
        <v>1</v>
      </c>
      <c r="AA3" s="36">
        <f>3300000/3300000</f>
        <v>1</v>
      </c>
      <c r="AB3" s="7">
        <v>42572</v>
      </c>
    </row>
    <row r="4" spans="1:28" s="5" customFormat="1" x14ac:dyDescent="0.35">
      <c r="A4" s="4">
        <v>41522.484340277799</v>
      </c>
      <c r="B4" s="4">
        <v>41466</v>
      </c>
      <c r="C4" s="3" t="s">
        <v>22</v>
      </c>
      <c r="D4" s="30" t="s">
        <v>38</v>
      </c>
      <c r="E4" s="3" t="s">
        <v>35</v>
      </c>
      <c r="F4" s="27" t="s">
        <v>36</v>
      </c>
      <c r="G4" s="3" t="s">
        <v>34</v>
      </c>
      <c r="H4" s="3" t="s">
        <v>37</v>
      </c>
      <c r="I4" s="3" t="s">
        <v>39</v>
      </c>
      <c r="J4" s="3">
        <v>527825</v>
      </c>
      <c r="K4" s="3">
        <v>0.46949999999999997</v>
      </c>
      <c r="L4" s="3">
        <v>0.28999999999999998</v>
      </c>
      <c r="M4" s="3">
        <v>0.38890000000000002</v>
      </c>
      <c r="N4" s="3">
        <v>875</v>
      </c>
      <c r="O4" s="3">
        <v>310262087</v>
      </c>
      <c r="P4" s="3">
        <v>531525</v>
      </c>
      <c r="Q4" s="3">
        <v>527825</v>
      </c>
      <c r="R4" s="3">
        <v>531525</v>
      </c>
      <c r="S4" s="3">
        <v>1000000</v>
      </c>
      <c r="T4" s="3">
        <v>1000000</v>
      </c>
      <c r="U4" s="3">
        <v>896</v>
      </c>
      <c r="V4" s="3">
        <v>945</v>
      </c>
      <c r="W4" s="3">
        <v>5.47</v>
      </c>
      <c r="X4" s="34">
        <v>0</v>
      </c>
      <c r="Y4" s="35">
        <v>9500000</v>
      </c>
      <c r="Z4" s="34">
        <f t="shared" si="0"/>
        <v>1</v>
      </c>
      <c r="AA4" s="36">
        <f>9500000/9500000</f>
        <v>1</v>
      </c>
      <c r="AB4" s="7">
        <v>42572</v>
      </c>
    </row>
    <row r="5" spans="1:28" s="3" customFormat="1" x14ac:dyDescent="0.35">
      <c r="A5" s="4">
        <v>41828.576689814799</v>
      </c>
      <c r="B5" s="4">
        <v>41701</v>
      </c>
      <c r="C5" s="3" t="s">
        <v>22</v>
      </c>
      <c r="D5" s="30" t="s">
        <v>38</v>
      </c>
      <c r="E5" s="3" t="s">
        <v>40</v>
      </c>
      <c r="F5" s="27" t="s">
        <v>41</v>
      </c>
      <c r="G5" s="3" t="s">
        <v>34</v>
      </c>
      <c r="H5" s="3" t="s">
        <v>42</v>
      </c>
      <c r="I5" s="3" t="s">
        <v>43</v>
      </c>
      <c r="J5" s="3">
        <v>500610</v>
      </c>
      <c r="K5" s="3">
        <v>0.46949999999999997</v>
      </c>
      <c r="L5" s="3">
        <v>0.28999999999999998</v>
      </c>
      <c r="M5" s="3">
        <v>0.38890000000000002</v>
      </c>
      <c r="N5" s="3">
        <v>875</v>
      </c>
      <c r="O5" s="3">
        <v>310262087</v>
      </c>
      <c r="P5" s="3">
        <v>499260</v>
      </c>
      <c r="Q5" s="3">
        <v>500610</v>
      </c>
      <c r="R5" s="3">
        <v>500610</v>
      </c>
      <c r="S5" s="3">
        <v>2000000</v>
      </c>
      <c r="T5" s="3">
        <v>2000000</v>
      </c>
      <c r="U5" s="3">
        <v>896</v>
      </c>
      <c r="V5" s="3">
        <v>945</v>
      </c>
      <c r="W5" s="3">
        <v>5.47</v>
      </c>
      <c r="X5" s="34">
        <v>0</v>
      </c>
      <c r="Y5" s="35">
        <v>5500000</v>
      </c>
      <c r="Z5" s="34">
        <f t="shared" si="0"/>
        <v>1</v>
      </c>
      <c r="AA5" s="36">
        <f>5500000/5500000</f>
        <v>1</v>
      </c>
      <c r="AB5" s="7">
        <v>42572</v>
      </c>
    </row>
    <row r="6" spans="1:28" s="3" customFormat="1" x14ac:dyDescent="0.35">
      <c r="A6" s="4">
        <v>41222.398356481499</v>
      </c>
      <c r="B6" s="4">
        <v>41123</v>
      </c>
      <c r="C6" s="3" t="s">
        <v>22</v>
      </c>
      <c r="D6" s="30" t="s">
        <v>47</v>
      </c>
      <c r="E6" s="3" t="s">
        <v>45</v>
      </c>
      <c r="F6" s="27" t="s">
        <v>46</v>
      </c>
      <c r="G6" s="3" t="s">
        <v>44</v>
      </c>
      <c r="H6" s="3" t="s">
        <v>25</v>
      </c>
      <c r="I6" s="3" t="s">
        <v>48</v>
      </c>
      <c r="J6" s="3">
        <v>1344775</v>
      </c>
      <c r="K6" s="3">
        <v>0.2427</v>
      </c>
      <c r="L6" s="3">
        <v>0.18149999999999999</v>
      </c>
      <c r="M6" s="3">
        <v>0.18149999999999999</v>
      </c>
      <c r="N6" s="3">
        <v>1603.9369999999999</v>
      </c>
      <c r="O6" s="3">
        <v>234601853</v>
      </c>
      <c r="P6" s="3">
        <v>1347375</v>
      </c>
      <c r="Q6" s="3">
        <v>1344775</v>
      </c>
      <c r="R6" s="3">
        <v>1347375</v>
      </c>
      <c r="S6" s="3">
        <v>1373413</v>
      </c>
      <c r="T6" s="3">
        <v>1377313</v>
      </c>
      <c r="U6" s="3">
        <v>1763</v>
      </c>
      <c r="V6" s="3">
        <v>1779</v>
      </c>
      <c r="W6" s="3">
        <v>0.91</v>
      </c>
      <c r="X6" s="34">
        <v>0</v>
      </c>
      <c r="Y6" s="35">
        <v>23450000</v>
      </c>
      <c r="Z6" s="34">
        <f t="shared" si="0"/>
        <v>1</v>
      </c>
      <c r="AA6" s="36">
        <f>23450000/23450000</f>
        <v>1</v>
      </c>
      <c r="AB6" s="7">
        <v>42572</v>
      </c>
    </row>
    <row r="7" spans="1:28" s="3" customFormat="1" x14ac:dyDescent="0.35">
      <c r="A7" s="4">
        <v>40909</v>
      </c>
      <c r="B7" s="4">
        <v>40553</v>
      </c>
      <c r="C7" s="3" t="s">
        <v>22</v>
      </c>
      <c r="D7" s="30" t="s">
        <v>53</v>
      </c>
      <c r="E7" s="3" t="s">
        <v>50</v>
      </c>
      <c r="F7" s="27" t="s">
        <v>51</v>
      </c>
      <c r="G7" s="3" t="s">
        <v>49</v>
      </c>
      <c r="H7" s="3" t="s">
        <v>52</v>
      </c>
      <c r="I7" s="3" t="s">
        <v>54</v>
      </c>
      <c r="J7" s="3">
        <v>376788</v>
      </c>
      <c r="K7" s="3">
        <v>0.1905</v>
      </c>
      <c r="L7" s="3">
        <v>0.1497</v>
      </c>
      <c r="M7" s="3">
        <v>0.1497</v>
      </c>
      <c r="N7" s="3">
        <v>744.24</v>
      </c>
      <c r="O7" s="3">
        <v>157726811</v>
      </c>
      <c r="P7" s="3">
        <v>376788</v>
      </c>
      <c r="Q7" s="3">
        <v>376788</v>
      </c>
      <c r="R7" s="3">
        <v>376788</v>
      </c>
      <c r="S7" s="3">
        <v>395275</v>
      </c>
      <c r="T7" s="3">
        <v>395275</v>
      </c>
      <c r="U7" s="3">
        <v>814</v>
      </c>
      <c r="V7" s="3">
        <v>839</v>
      </c>
      <c r="W7" s="3">
        <v>3.07</v>
      </c>
      <c r="X7" s="34">
        <v>0</v>
      </c>
      <c r="Y7" s="35">
        <v>6800000</v>
      </c>
      <c r="Z7" s="34">
        <f t="shared" si="0"/>
        <v>1</v>
      </c>
      <c r="AA7" s="36">
        <f>6800000/6800000</f>
        <v>1</v>
      </c>
      <c r="AB7" s="7">
        <v>42573</v>
      </c>
    </row>
    <row r="8" spans="1:28" s="3" customFormat="1" x14ac:dyDescent="0.35">
      <c r="A8" s="4">
        <v>42017.432453703703</v>
      </c>
      <c r="B8" s="4">
        <v>41934</v>
      </c>
      <c r="C8" s="3" t="s">
        <v>22</v>
      </c>
      <c r="D8" s="30" t="s">
        <v>57</v>
      </c>
      <c r="E8" s="3" t="s">
        <v>40</v>
      </c>
      <c r="F8" s="27" t="s">
        <v>56</v>
      </c>
      <c r="G8" s="3" t="s">
        <v>55</v>
      </c>
      <c r="H8" s="3" t="s">
        <v>42</v>
      </c>
      <c r="I8" s="3" t="s">
        <v>58</v>
      </c>
      <c r="J8" s="3">
        <v>450400</v>
      </c>
      <c r="K8" s="3">
        <v>0.1779</v>
      </c>
      <c r="L8" s="3">
        <v>8.4000000000000005E-2</v>
      </c>
      <c r="M8" s="3">
        <v>8.4000000000000005E-2</v>
      </c>
      <c r="N8" s="3">
        <v>826.1</v>
      </c>
      <c r="O8" s="3">
        <v>161620667</v>
      </c>
      <c r="P8" s="3">
        <v>439550</v>
      </c>
      <c r="Q8" s="3">
        <v>450400</v>
      </c>
      <c r="R8" s="3">
        <v>450400</v>
      </c>
      <c r="S8" s="3">
        <v>462200</v>
      </c>
      <c r="T8" s="3">
        <v>470200</v>
      </c>
      <c r="U8" s="3">
        <v>887</v>
      </c>
      <c r="V8" s="3">
        <v>876</v>
      </c>
      <c r="W8" s="3">
        <v>-1.24</v>
      </c>
      <c r="X8" s="34">
        <v>0</v>
      </c>
      <c r="Y8" s="35">
        <v>494000000</v>
      </c>
      <c r="Z8" s="34">
        <f t="shared" si="0"/>
        <v>1</v>
      </c>
      <c r="AA8" s="36">
        <f>494000000/494000000</f>
        <v>1</v>
      </c>
      <c r="AB8" s="7">
        <v>42572</v>
      </c>
    </row>
    <row r="9" spans="1:28" s="5" customFormat="1" x14ac:dyDescent="0.35">
      <c r="A9" s="4">
        <v>42263.389016203699</v>
      </c>
      <c r="B9" s="4">
        <v>42228</v>
      </c>
      <c r="C9" s="3" t="s">
        <v>22</v>
      </c>
      <c r="D9" s="30" t="s">
        <v>61</v>
      </c>
      <c r="E9" s="3" t="s">
        <v>63</v>
      </c>
      <c r="F9" s="27" t="s">
        <v>64</v>
      </c>
      <c r="G9" s="3" t="s">
        <v>59</v>
      </c>
      <c r="H9" s="3" t="s">
        <v>63</v>
      </c>
      <c r="I9" s="3" t="s">
        <v>65</v>
      </c>
      <c r="J9" s="3"/>
      <c r="K9" s="3"/>
      <c r="L9" s="3">
        <v>0.23649999999999999</v>
      </c>
      <c r="M9" s="3">
        <v>0.2465</v>
      </c>
      <c r="N9" s="3">
        <v>14507.592000000001</v>
      </c>
      <c r="O9" s="3">
        <v>1305590316</v>
      </c>
      <c r="P9" s="3">
        <v>1172474</v>
      </c>
      <c r="Q9" s="3">
        <v>1216400</v>
      </c>
      <c r="R9" s="3">
        <v>1216400</v>
      </c>
      <c r="S9" s="3">
        <v>1182691.67</v>
      </c>
      <c r="T9" s="3">
        <v>1227000</v>
      </c>
      <c r="U9" s="3">
        <v>14844</v>
      </c>
      <c r="V9" s="3">
        <v>15080</v>
      </c>
      <c r="W9" s="3">
        <v>1.59</v>
      </c>
      <c r="X9" s="34">
        <v>0</v>
      </c>
      <c r="Y9" s="35">
        <v>61350000</v>
      </c>
      <c r="Z9" s="34">
        <f t="shared" si="0"/>
        <v>1</v>
      </c>
      <c r="AA9" s="36">
        <f>61350000/61350000</f>
        <v>1</v>
      </c>
      <c r="AB9" s="7">
        <v>42570</v>
      </c>
    </row>
    <row r="10" spans="1:28" s="3" customFormat="1" x14ac:dyDescent="0.35">
      <c r="A10" s="4">
        <v>42111.427094907398</v>
      </c>
      <c r="B10" s="4">
        <v>42040</v>
      </c>
      <c r="C10" s="3" t="s">
        <v>22</v>
      </c>
      <c r="D10" s="30" t="s">
        <v>61</v>
      </c>
      <c r="E10" s="3" t="s">
        <v>60</v>
      </c>
      <c r="F10" s="27">
        <v>85737</v>
      </c>
      <c r="G10" s="3" t="s">
        <v>59</v>
      </c>
      <c r="H10" s="3" t="s">
        <v>60</v>
      </c>
      <c r="I10" s="3" t="s">
        <v>62</v>
      </c>
      <c r="L10" s="3">
        <v>0.23649999999999999</v>
      </c>
      <c r="M10" s="3">
        <v>0.2465</v>
      </c>
      <c r="N10" s="3">
        <v>14507.592000000001</v>
      </c>
      <c r="O10" s="3">
        <v>1305590316</v>
      </c>
      <c r="P10" s="3">
        <v>777900</v>
      </c>
      <c r="Q10" s="3">
        <v>777900</v>
      </c>
      <c r="R10" s="3">
        <v>777900</v>
      </c>
      <c r="S10" s="3">
        <v>1185930</v>
      </c>
      <c r="T10" s="3">
        <v>1186000</v>
      </c>
      <c r="U10" s="3">
        <v>14844</v>
      </c>
      <c r="V10" s="3">
        <v>15080</v>
      </c>
      <c r="W10" s="3">
        <v>1.59</v>
      </c>
      <c r="X10" s="34">
        <v>0</v>
      </c>
      <c r="Y10" s="35">
        <v>34200000</v>
      </c>
      <c r="Z10" s="34">
        <f t="shared" si="0"/>
        <v>1</v>
      </c>
      <c r="AA10" s="36">
        <f>34200000/34200000</f>
        <v>1</v>
      </c>
      <c r="AB10" s="7">
        <v>42570</v>
      </c>
    </row>
    <row r="11" spans="1:28" s="3" customFormat="1" x14ac:dyDescent="0.35">
      <c r="A11" s="4">
        <v>41612.446331018502</v>
      </c>
      <c r="B11" s="4">
        <v>40527</v>
      </c>
      <c r="C11" s="3" t="s">
        <v>22</v>
      </c>
      <c r="D11" s="30" t="s">
        <v>70</v>
      </c>
      <c r="E11" s="3" t="s">
        <v>67</v>
      </c>
      <c r="F11" s="27" t="s">
        <v>68</v>
      </c>
      <c r="G11" s="3" t="s">
        <v>66</v>
      </c>
      <c r="H11" s="3" t="s">
        <v>69</v>
      </c>
      <c r="I11" s="3" t="s">
        <v>71</v>
      </c>
      <c r="J11" s="3">
        <v>9351251</v>
      </c>
      <c r="K11" s="3">
        <v>0.13780000000000001</v>
      </c>
      <c r="L11" s="3">
        <v>0.1515</v>
      </c>
      <c r="M11" s="3">
        <v>0.1522</v>
      </c>
      <c r="N11" s="3">
        <v>47632.103999999999</v>
      </c>
      <c r="O11" s="3">
        <v>14358452226</v>
      </c>
      <c r="P11" s="3">
        <v>9341713</v>
      </c>
      <c r="Q11" s="3">
        <v>9337116</v>
      </c>
      <c r="R11" s="3">
        <v>9341713</v>
      </c>
      <c r="S11" s="3">
        <v>8805811</v>
      </c>
      <c r="T11" s="3">
        <v>8806545</v>
      </c>
      <c r="U11" s="3">
        <v>54880</v>
      </c>
      <c r="V11" s="3">
        <v>53016</v>
      </c>
      <c r="W11" s="3">
        <v>-3.4</v>
      </c>
      <c r="X11" s="34">
        <v>0</v>
      </c>
      <c r="Y11" s="35">
        <v>0</v>
      </c>
      <c r="Z11" s="34">
        <v>0</v>
      </c>
      <c r="AA11" s="34">
        <v>0</v>
      </c>
      <c r="AB11" s="7">
        <v>42573</v>
      </c>
    </row>
    <row r="12" spans="1:28" s="76" customFormat="1" x14ac:dyDescent="0.35">
      <c r="A12" s="75">
        <v>42453.6401736111</v>
      </c>
      <c r="B12" s="75">
        <v>42501</v>
      </c>
      <c r="D12" s="77" t="s">
        <v>70</v>
      </c>
      <c r="E12" s="76" t="s">
        <v>72</v>
      </c>
      <c r="F12" s="88" t="s">
        <v>1218</v>
      </c>
      <c r="G12" s="76" t="s">
        <v>66</v>
      </c>
      <c r="H12" s="76" t="s">
        <v>74</v>
      </c>
      <c r="I12" s="76" t="s">
        <v>75</v>
      </c>
      <c r="L12" s="76">
        <v>0.1515</v>
      </c>
      <c r="M12" s="76">
        <v>0.1522</v>
      </c>
      <c r="N12" s="76">
        <v>47632.103999999999</v>
      </c>
      <c r="O12" s="76">
        <v>14358452226</v>
      </c>
      <c r="S12" s="76">
        <v>0</v>
      </c>
      <c r="T12" s="76">
        <v>8257500</v>
      </c>
      <c r="U12" s="76">
        <v>54880</v>
      </c>
      <c r="V12" s="76">
        <v>53016</v>
      </c>
      <c r="W12" s="76">
        <v>-3.4</v>
      </c>
      <c r="X12" s="96">
        <v>1849690</v>
      </c>
      <c r="Y12" s="97">
        <v>100000000</v>
      </c>
      <c r="Z12" s="78">
        <f t="shared" ref="Z12:Z30" si="1">1-(X12/Y12)</f>
        <v>0.98150309999999996</v>
      </c>
      <c r="AA12" s="80">
        <f>100000000/101849690</f>
        <v>0.98183902179770999</v>
      </c>
      <c r="AB12" s="81">
        <v>42571</v>
      </c>
    </row>
    <row r="13" spans="1:28" s="3" customFormat="1" x14ac:dyDescent="0.35">
      <c r="A13" s="4">
        <v>42536.352407407401</v>
      </c>
      <c r="B13" s="4">
        <v>42425</v>
      </c>
      <c r="D13" s="30" t="s">
        <v>79</v>
      </c>
      <c r="E13" s="3" t="s">
        <v>72</v>
      </c>
      <c r="F13" s="27" t="s">
        <v>77</v>
      </c>
      <c r="G13" s="3" t="s">
        <v>76</v>
      </c>
      <c r="H13" s="3" t="s">
        <v>78</v>
      </c>
      <c r="I13" s="3" t="s">
        <v>80</v>
      </c>
      <c r="L13" s="3">
        <v>7.6799999999999993E-2</v>
      </c>
      <c r="M13" s="3">
        <v>7.7499999999999999E-2</v>
      </c>
      <c r="N13" s="3">
        <v>9252.7999999999993</v>
      </c>
      <c r="O13" s="3">
        <v>3003860341</v>
      </c>
      <c r="P13" s="3">
        <v>387521</v>
      </c>
      <c r="Q13" s="3">
        <v>796950</v>
      </c>
      <c r="R13" s="3">
        <v>796950</v>
      </c>
      <c r="S13" s="3">
        <v>0</v>
      </c>
      <c r="T13" s="3">
        <v>3019792</v>
      </c>
      <c r="U13" s="3">
        <v>9569</v>
      </c>
      <c r="V13" s="3">
        <v>10055</v>
      </c>
      <c r="W13" s="3">
        <v>5.08</v>
      </c>
      <c r="X13" s="34">
        <v>0</v>
      </c>
      <c r="Y13" s="35">
        <v>43050000</v>
      </c>
      <c r="Z13" s="34">
        <f t="shared" si="1"/>
        <v>1</v>
      </c>
      <c r="AA13" s="36">
        <f>43050000/43050000</f>
        <v>1</v>
      </c>
      <c r="AB13" s="7">
        <v>42571</v>
      </c>
    </row>
    <row r="14" spans="1:28" s="3" customFormat="1" x14ac:dyDescent="0.35">
      <c r="A14" s="4">
        <v>42419.304305555597</v>
      </c>
      <c r="B14" s="4">
        <v>42340</v>
      </c>
      <c r="D14" s="30" t="s">
        <v>84</v>
      </c>
      <c r="E14" s="3" t="s">
        <v>82</v>
      </c>
      <c r="F14" s="27" t="s">
        <v>83</v>
      </c>
      <c r="G14" s="3" t="s">
        <v>81</v>
      </c>
      <c r="H14" s="3" t="s">
        <v>78</v>
      </c>
      <c r="I14" s="3" t="s">
        <v>85</v>
      </c>
      <c r="L14" s="3">
        <v>0.25829999999999997</v>
      </c>
      <c r="M14" s="3">
        <v>0.25829999999999997</v>
      </c>
      <c r="N14" s="3">
        <v>13690.516</v>
      </c>
      <c r="O14" s="3">
        <v>2943852732</v>
      </c>
      <c r="P14" s="3">
        <v>617350</v>
      </c>
      <c r="Q14" s="3">
        <v>3743125</v>
      </c>
      <c r="R14" s="3">
        <v>3743125</v>
      </c>
      <c r="S14" s="3">
        <v>0</v>
      </c>
      <c r="T14" s="3">
        <v>1682463</v>
      </c>
      <c r="U14" s="3">
        <v>11778</v>
      </c>
      <c r="V14" s="3">
        <v>13657</v>
      </c>
      <c r="W14" s="3">
        <v>15.95</v>
      </c>
      <c r="X14" s="34">
        <v>1200000</v>
      </c>
      <c r="Y14" s="35">
        <v>18800000</v>
      </c>
      <c r="Z14" s="34">
        <f t="shared" si="1"/>
        <v>0.93617021276595747</v>
      </c>
      <c r="AA14" s="36">
        <f>18800000/20000000</f>
        <v>0.94</v>
      </c>
      <c r="AB14" s="7">
        <v>42571</v>
      </c>
    </row>
    <row r="15" spans="1:28" s="76" customFormat="1" x14ac:dyDescent="0.35">
      <c r="A15" s="75">
        <v>42536.352407407401</v>
      </c>
      <c r="B15" s="75">
        <v>42565</v>
      </c>
      <c r="D15" s="77" t="s">
        <v>89</v>
      </c>
      <c r="E15" s="76" t="s">
        <v>72</v>
      </c>
      <c r="F15" s="88" t="s">
        <v>1216</v>
      </c>
      <c r="G15" s="76" t="s">
        <v>87</v>
      </c>
      <c r="H15" s="76" t="s">
        <v>74</v>
      </c>
      <c r="I15" s="76" t="s">
        <v>90</v>
      </c>
      <c r="L15" s="76">
        <v>0.28910000000000002</v>
      </c>
      <c r="M15" s="76">
        <v>0.28910000000000002</v>
      </c>
      <c r="N15" s="76">
        <v>22285.954000000002</v>
      </c>
      <c r="O15" s="76">
        <v>7487013431</v>
      </c>
      <c r="S15" s="76">
        <v>0</v>
      </c>
      <c r="T15" s="76">
        <v>7836750</v>
      </c>
      <c r="U15" s="76">
        <v>22005</v>
      </c>
      <c r="V15" s="76">
        <v>23248</v>
      </c>
      <c r="W15" s="76">
        <v>5.65</v>
      </c>
      <c r="X15" s="78">
        <v>22390000</v>
      </c>
      <c r="Y15" s="79">
        <v>186590000</v>
      </c>
      <c r="Z15" s="78">
        <f t="shared" si="1"/>
        <v>0.88000428747521298</v>
      </c>
      <c r="AA15" s="80">
        <f>186590000/208980000</f>
        <v>0.89286056081921716</v>
      </c>
      <c r="AB15" s="81">
        <v>42571</v>
      </c>
    </row>
    <row r="16" spans="1:28" s="3" customFormat="1" x14ac:dyDescent="0.35">
      <c r="A16" s="4">
        <v>40909</v>
      </c>
      <c r="B16" s="4">
        <v>40772</v>
      </c>
      <c r="C16" s="3" t="s">
        <v>22</v>
      </c>
      <c r="D16" s="30" t="s">
        <v>93</v>
      </c>
      <c r="E16" s="3" t="s">
        <v>50</v>
      </c>
      <c r="F16" s="27" t="s">
        <v>92</v>
      </c>
      <c r="G16" s="3" t="s">
        <v>91</v>
      </c>
      <c r="H16" s="3" t="s">
        <v>52</v>
      </c>
      <c r="I16" s="3" t="s">
        <v>94</v>
      </c>
      <c r="J16" s="3">
        <v>414265</v>
      </c>
      <c r="K16" s="3">
        <v>0.12770000000000001</v>
      </c>
      <c r="L16" s="3">
        <v>0.12709999999999999</v>
      </c>
      <c r="M16" s="3">
        <v>0.23400000000000001</v>
      </c>
      <c r="N16" s="3">
        <v>943.78599999999994</v>
      </c>
      <c r="O16" s="3">
        <v>764015673</v>
      </c>
      <c r="P16" s="3">
        <v>387665</v>
      </c>
      <c r="Q16" s="3">
        <v>414265</v>
      </c>
      <c r="R16" s="3">
        <v>414265</v>
      </c>
      <c r="S16" s="3">
        <v>451900</v>
      </c>
      <c r="T16" s="3">
        <v>477400</v>
      </c>
      <c r="U16" s="3">
        <v>962</v>
      </c>
      <c r="V16" s="3">
        <v>990</v>
      </c>
      <c r="W16" s="3">
        <v>2.91</v>
      </c>
      <c r="X16" s="34">
        <v>875000</v>
      </c>
      <c r="Y16" s="35">
        <v>7120000</v>
      </c>
      <c r="Z16" s="34">
        <f t="shared" si="1"/>
        <v>0.8771067415730337</v>
      </c>
      <c r="AA16" s="36">
        <f>7120000/7995000</f>
        <v>0.89055659787367103</v>
      </c>
      <c r="AB16" s="7">
        <v>42573</v>
      </c>
    </row>
    <row r="17" spans="1:28" s="3" customFormat="1" x14ac:dyDescent="0.35">
      <c r="A17" s="4">
        <v>42111.427094907398</v>
      </c>
      <c r="B17" s="4">
        <v>42052</v>
      </c>
      <c r="C17" s="3" t="s">
        <v>22</v>
      </c>
      <c r="D17" s="30" t="s">
        <v>99</v>
      </c>
      <c r="E17" s="3" t="s">
        <v>96</v>
      </c>
      <c r="F17" s="27" t="s">
        <v>97</v>
      </c>
      <c r="G17" s="3" t="s">
        <v>95</v>
      </c>
      <c r="H17" s="3" t="s">
        <v>98</v>
      </c>
      <c r="I17" s="3" t="s">
        <v>100</v>
      </c>
      <c r="J17" s="3">
        <v>1429038</v>
      </c>
      <c r="K17" s="3">
        <v>0.16950000000000001</v>
      </c>
      <c r="L17" s="3">
        <v>0.17050000000000001</v>
      </c>
      <c r="M17" s="3">
        <v>0.2422</v>
      </c>
      <c r="N17" s="3">
        <v>6825.3069999999998</v>
      </c>
      <c r="O17" s="3">
        <v>1845468946</v>
      </c>
      <c r="P17" s="3">
        <v>1436162</v>
      </c>
      <c r="Q17" s="3">
        <v>1429038</v>
      </c>
      <c r="R17" s="3">
        <v>1436162</v>
      </c>
      <c r="S17" s="3">
        <v>4000000</v>
      </c>
      <c r="T17" s="3">
        <v>4000000</v>
      </c>
      <c r="U17" s="3">
        <v>6817</v>
      </c>
      <c r="V17" s="3">
        <v>6959</v>
      </c>
      <c r="W17" s="3">
        <v>2.08</v>
      </c>
      <c r="X17" s="34">
        <v>0</v>
      </c>
      <c r="Y17" s="35">
        <v>29900000</v>
      </c>
      <c r="Z17" s="34">
        <f t="shared" si="1"/>
        <v>1</v>
      </c>
      <c r="AA17" s="36">
        <f>29900000/29900000</f>
        <v>1</v>
      </c>
      <c r="AB17" s="7">
        <v>42570</v>
      </c>
    </row>
    <row r="18" spans="1:28" s="76" customFormat="1" x14ac:dyDescent="0.35">
      <c r="A18" s="75">
        <v>42536.352407407401</v>
      </c>
      <c r="B18" s="75">
        <v>42572</v>
      </c>
      <c r="D18" s="77" t="s">
        <v>104</v>
      </c>
      <c r="E18" s="76" t="s">
        <v>72</v>
      </c>
      <c r="F18" s="88" t="s">
        <v>1221</v>
      </c>
      <c r="G18" s="76" t="s">
        <v>101</v>
      </c>
      <c r="H18" s="76" t="s">
        <v>74</v>
      </c>
      <c r="I18" s="76" t="s">
        <v>105</v>
      </c>
      <c r="L18" s="76">
        <v>5.0900000000000001E-2</v>
      </c>
      <c r="M18" s="76">
        <v>5.0900000000000001E-2</v>
      </c>
      <c r="N18" s="76">
        <v>2325.3420000000001</v>
      </c>
      <c r="O18" s="76">
        <v>522643962</v>
      </c>
      <c r="S18" s="76">
        <v>0</v>
      </c>
      <c r="T18" s="76">
        <v>1050575</v>
      </c>
      <c r="U18" s="76">
        <v>2805</v>
      </c>
      <c r="V18" s="76">
        <v>2597</v>
      </c>
      <c r="W18" s="76">
        <v>-7.42</v>
      </c>
      <c r="X18" s="98">
        <v>1385000</v>
      </c>
      <c r="Y18" s="97">
        <v>19500000</v>
      </c>
      <c r="Z18" s="78">
        <f t="shared" si="1"/>
        <v>0.92897435897435898</v>
      </c>
      <c r="AA18" s="80">
        <f>19500000/20885000</f>
        <v>0.93368446253291837</v>
      </c>
      <c r="AB18" s="99">
        <v>42571</v>
      </c>
    </row>
    <row r="19" spans="1:28" s="3" customFormat="1" x14ac:dyDescent="0.35">
      <c r="A19" s="4">
        <v>42536.352407407401</v>
      </c>
      <c r="B19" s="4">
        <v>42417</v>
      </c>
      <c r="D19" s="30" t="s">
        <v>109</v>
      </c>
      <c r="E19" s="3" t="s">
        <v>86</v>
      </c>
      <c r="F19" s="27" t="s">
        <v>107</v>
      </c>
      <c r="G19" s="3" t="s">
        <v>106</v>
      </c>
      <c r="H19" s="3" t="s">
        <v>108</v>
      </c>
      <c r="I19" s="3" t="s">
        <v>110</v>
      </c>
      <c r="L19" s="3">
        <v>0.28999999999999998</v>
      </c>
      <c r="M19" s="3">
        <v>0.39679999999999999</v>
      </c>
      <c r="N19" s="3">
        <v>21755.238000000001</v>
      </c>
      <c r="O19" s="3">
        <v>5100366861</v>
      </c>
      <c r="P19" s="3">
        <v>2556965</v>
      </c>
      <c r="Q19" s="3">
        <v>5987150</v>
      </c>
      <c r="R19" s="3">
        <v>5987150</v>
      </c>
      <c r="S19" s="3">
        <v>2350813</v>
      </c>
      <c r="T19" s="3">
        <v>6267050</v>
      </c>
      <c r="U19" s="3">
        <v>17170</v>
      </c>
      <c r="V19" s="3">
        <v>22064</v>
      </c>
      <c r="W19" s="3">
        <v>28.5</v>
      </c>
      <c r="X19" s="37">
        <v>41905755</v>
      </c>
      <c r="Y19" s="38">
        <v>89689245</v>
      </c>
      <c r="Z19" s="34">
        <f t="shared" si="1"/>
        <v>0.53276722309347124</v>
      </c>
      <c r="AA19" s="36">
        <f>89689245/131595000</f>
        <v>0.68155511227630228</v>
      </c>
      <c r="AB19" s="7">
        <v>42571</v>
      </c>
    </row>
    <row r="20" spans="1:28" s="3" customFormat="1" x14ac:dyDescent="0.35">
      <c r="A20" s="6"/>
      <c r="B20" s="6"/>
      <c r="C20" s="8">
        <v>42417</v>
      </c>
      <c r="D20" s="31" t="s">
        <v>109</v>
      </c>
      <c r="E20" s="5" t="s">
        <v>760</v>
      </c>
      <c r="F20" s="26">
        <v>86648</v>
      </c>
      <c r="G20" s="5" t="s">
        <v>759</v>
      </c>
      <c r="H20" s="5" t="s">
        <v>108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58893</v>
      </c>
      <c r="T20" s="5">
        <v>4200040</v>
      </c>
      <c r="U20" s="5"/>
      <c r="V20" s="5"/>
      <c r="W20" s="5"/>
      <c r="X20" s="40">
        <v>14583528</v>
      </c>
      <c r="Y20" s="41">
        <v>60416472</v>
      </c>
      <c r="Z20" s="34">
        <f t="shared" si="1"/>
        <v>0.75861668983253439</v>
      </c>
      <c r="AA20" s="42">
        <f>60416472/75000000</f>
        <v>0.80555295999999998</v>
      </c>
      <c r="AB20" s="8">
        <v>42571</v>
      </c>
    </row>
    <row r="21" spans="1:28" s="61" customFormat="1" x14ac:dyDescent="0.35">
      <c r="A21" s="64">
        <v>42536.352407407401</v>
      </c>
      <c r="B21" s="64">
        <v>42562</v>
      </c>
      <c r="C21" s="61" t="s">
        <v>112</v>
      </c>
      <c r="D21" s="72" t="s">
        <v>114</v>
      </c>
      <c r="E21" s="61" t="s">
        <v>72</v>
      </c>
      <c r="F21" s="62" t="s">
        <v>1222</v>
      </c>
      <c r="G21" s="61" t="s">
        <v>111</v>
      </c>
      <c r="H21" s="61" t="s">
        <v>74</v>
      </c>
      <c r="I21" s="61" t="s">
        <v>115</v>
      </c>
      <c r="L21" s="61">
        <v>7.9399999999999998E-2</v>
      </c>
      <c r="M21" s="61">
        <v>8.6300000000000002E-2</v>
      </c>
      <c r="N21" s="61">
        <v>1920.33</v>
      </c>
      <c r="O21" s="61">
        <v>250114447</v>
      </c>
      <c r="S21" s="61">
        <v>6635</v>
      </c>
      <c r="T21" s="61">
        <v>597128</v>
      </c>
      <c r="U21" s="61">
        <v>2282</v>
      </c>
      <c r="V21" s="61">
        <v>2101</v>
      </c>
      <c r="W21" s="61">
        <v>-7.93</v>
      </c>
      <c r="X21" s="43">
        <v>0</v>
      </c>
      <c r="Y21" s="73">
        <v>18395000</v>
      </c>
      <c r="Z21" s="43">
        <f t="shared" si="1"/>
        <v>1</v>
      </c>
      <c r="AA21" s="74">
        <f>18395000/18395000</f>
        <v>1</v>
      </c>
      <c r="AB21" s="69">
        <v>42571</v>
      </c>
    </row>
    <row r="22" spans="1:28" s="61" customFormat="1" x14ac:dyDescent="0.35">
      <c r="A22" s="64">
        <v>42536.352407407401</v>
      </c>
      <c r="B22" s="64">
        <v>42569</v>
      </c>
      <c r="D22" s="72" t="s">
        <v>119</v>
      </c>
      <c r="E22" s="61" t="s">
        <v>1236</v>
      </c>
      <c r="F22" s="62" t="s">
        <v>1223</v>
      </c>
      <c r="G22" s="61" t="s">
        <v>116</v>
      </c>
      <c r="H22" s="61" t="s">
        <v>446</v>
      </c>
      <c r="I22" s="61" t="s">
        <v>120</v>
      </c>
      <c r="L22" s="61">
        <v>8.4000000000000005E-2</v>
      </c>
      <c r="M22" s="61">
        <v>8.8099999999999998E-2</v>
      </c>
      <c r="N22" s="61">
        <v>706.56200000000001</v>
      </c>
      <c r="O22" s="61">
        <v>40983432</v>
      </c>
      <c r="S22" s="61">
        <v>4760</v>
      </c>
      <c r="T22" s="61">
        <v>596494</v>
      </c>
      <c r="U22" s="61">
        <v>712</v>
      </c>
      <c r="V22" s="61">
        <v>692</v>
      </c>
      <c r="W22" s="61">
        <v>-2.81</v>
      </c>
      <c r="X22" s="43">
        <v>0</v>
      </c>
      <c r="Y22" s="73">
        <v>9410000</v>
      </c>
      <c r="Z22" s="43">
        <f t="shared" si="1"/>
        <v>1</v>
      </c>
      <c r="AA22" s="74">
        <f>9410000/9410000</f>
        <v>1</v>
      </c>
      <c r="AB22" s="69">
        <v>42571</v>
      </c>
    </row>
    <row r="23" spans="1:28" s="3" customFormat="1" x14ac:dyDescent="0.35">
      <c r="A23" s="4">
        <v>41522.484340277799</v>
      </c>
      <c r="B23" s="4">
        <v>41466.416666666701</v>
      </c>
      <c r="C23" s="3" t="s">
        <v>22</v>
      </c>
      <c r="D23" s="30" t="s">
        <v>123</v>
      </c>
      <c r="E23" s="3" t="s">
        <v>35</v>
      </c>
      <c r="F23" s="27" t="s">
        <v>122</v>
      </c>
      <c r="G23" s="3" t="s">
        <v>121</v>
      </c>
      <c r="H23" s="3" t="s">
        <v>37</v>
      </c>
      <c r="I23" s="3" t="s">
        <v>124</v>
      </c>
      <c r="J23" s="3">
        <v>294575</v>
      </c>
      <c r="K23" s="3">
        <v>0.11840000000000001</v>
      </c>
      <c r="L23" s="3">
        <v>0.1125</v>
      </c>
      <c r="M23" s="3">
        <v>0.1125</v>
      </c>
      <c r="N23" s="3">
        <v>2305.6030000000001</v>
      </c>
      <c r="O23" s="3">
        <v>700252935</v>
      </c>
      <c r="P23" s="3">
        <v>294575</v>
      </c>
      <c r="Q23" s="3">
        <v>294575</v>
      </c>
      <c r="R23" s="3">
        <v>294575</v>
      </c>
      <c r="S23" s="3">
        <v>1000000</v>
      </c>
      <c r="T23" s="3">
        <v>1000000</v>
      </c>
      <c r="U23" s="3">
        <v>2490</v>
      </c>
      <c r="V23" s="3">
        <v>2468</v>
      </c>
      <c r="W23" s="3">
        <v>-0.88</v>
      </c>
      <c r="X23" s="34">
        <v>0</v>
      </c>
      <c r="Y23" s="35">
        <v>9500000</v>
      </c>
      <c r="Z23" s="34">
        <f t="shared" si="1"/>
        <v>1</v>
      </c>
      <c r="AA23" s="36">
        <f>9500000/9500000</f>
        <v>1</v>
      </c>
      <c r="AB23" s="7">
        <v>42572</v>
      </c>
    </row>
    <row r="24" spans="1:28" s="3" customFormat="1" x14ac:dyDescent="0.35">
      <c r="A24" s="4">
        <v>42263.389016203699</v>
      </c>
      <c r="B24" s="4">
        <v>42198</v>
      </c>
      <c r="D24" s="30" t="s">
        <v>128</v>
      </c>
      <c r="E24" s="3" t="s">
        <v>126</v>
      </c>
      <c r="F24" s="27" t="s">
        <v>127</v>
      </c>
      <c r="G24" s="3" t="s">
        <v>125</v>
      </c>
      <c r="H24" s="3" t="s">
        <v>126</v>
      </c>
      <c r="I24" s="3" t="s">
        <v>129</v>
      </c>
      <c r="L24" s="3">
        <v>0</v>
      </c>
      <c r="M24" s="3">
        <v>0.1022</v>
      </c>
      <c r="N24" s="3">
        <v>240</v>
      </c>
      <c r="O24" s="3">
        <v>38461127</v>
      </c>
      <c r="P24" s="3">
        <v>89176</v>
      </c>
      <c r="Q24" s="3">
        <v>90496</v>
      </c>
      <c r="R24" s="3">
        <v>90496</v>
      </c>
      <c r="S24" s="3">
        <v>89176</v>
      </c>
      <c r="T24" s="3">
        <v>90496</v>
      </c>
      <c r="U24" s="3">
        <v>266</v>
      </c>
      <c r="V24" s="3">
        <v>274</v>
      </c>
      <c r="W24" s="3">
        <v>3.01</v>
      </c>
      <c r="X24" s="34">
        <v>595000</v>
      </c>
      <c r="Y24" s="35">
        <v>205000</v>
      </c>
      <c r="Z24" s="34">
        <f t="shared" si="1"/>
        <v>-1.9024390243902438</v>
      </c>
      <c r="AA24" s="36">
        <f>205000/800000</f>
        <v>0.25624999999999998</v>
      </c>
      <c r="AB24" s="7">
        <v>42570</v>
      </c>
    </row>
    <row r="25" spans="1:28" s="3" customFormat="1" x14ac:dyDescent="0.35">
      <c r="A25" s="4">
        <v>42017.432453703703</v>
      </c>
      <c r="B25" s="4">
        <v>40931.416666666701</v>
      </c>
      <c r="C25" s="3" t="s">
        <v>22</v>
      </c>
      <c r="D25" s="30" t="s">
        <v>133</v>
      </c>
      <c r="E25" s="3" t="s">
        <v>23</v>
      </c>
      <c r="F25" s="27" t="s">
        <v>131</v>
      </c>
      <c r="G25" s="3" t="s">
        <v>130</v>
      </c>
      <c r="H25" s="3" t="s">
        <v>132</v>
      </c>
      <c r="I25" s="3" t="s">
        <v>134</v>
      </c>
      <c r="J25" s="3">
        <v>490068</v>
      </c>
      <c r="K25" s="3">
        <v>0.34560000000000002</v>
      </c>
      <c r="L25" s="3">
        <v>0.28999999999999998</v>
      </c>
      <c r="M25" s="3">
        <v>0.98</v>
      </c>
      <c r="N25" s="3">
        <v>5001</v>
      </c>
      <c r="O25" s="3">
        <v>5420661401</v>
      </c>
      <c r="P25" s="3">
        <v>488693</v>
      </c>
      <c r="Q25" s="3">
        <v>488693</v>
      </c>
      <c r="R25" s="3">
        <v>488693</v>
      </c>
      <c r="S25" s="3">
        <v>5500000</v>
      </c>
      <c r="T25" s="3">
        <v>5500000</v>
      </c>
      <c r="U25" s="3">
        <v>4201</v>
      </c>
      <c r="V25" s="3">
        <v>5035</v>
      </c>
      <c r="W25" s="3">
        <v>19.850000000000001</v>
      </c>
      <c r="X25" s="34">
        <v>0</v>
      </c>
      <c r="Y25" s="35">
        <v>68415000</v>
      </c>
      <c r="Z25" s="34">
        <f t="shared" si="1"/>
        <v>1</v>
      </c>
      <c r="AA25" s="36">
        <f>68415000/68415000</f>
        <v>1</v>
      </c>
      <c r="AB25" s="7">
        <v>42572</v>
      </c>
    </row>
    <row r="26" spans="1:28" s="5" customFormat="1" x14ac:dyDescent="0.35">
      <c r="A26" s="4">
        <v>42453.6401736111</v>
      </c>
      <c r="B26" s="4">
        <v>42380.416666666701</v>
      </c>
      <c r="C26" s="3"/>
      <c r="D26" s="30" t="s">
        <v>137</v>
      </c>
      <c r="E26" s="3" t="s">
        <v>74</v>
      </c>
      <c r="F26" s="27" t="s">
        <v>136</v>
      </c>
      <c r="G26" s="3" t="s">
        <v>135</v>
      </c>
      <c r="H26" s="3" t="s">
        <v>74</v>
      </c>
      <c r="I26" s="3" t="s">
        <v>138</v>
      </c>
      <c r="J26" s="3"/>
      <c r="K26" s="3"/>
      <c r="L26" s="3">
        <v>9.0800000000000006E-2</v>
      </c>
      <c r="M26" s="3">
        <v>9.0800000000000006E-2</v>
      </c>
      <c r="N26" s="3">
        <v>1397.711</v>
      </c>
      <c r="O26" s="3">
        <v>278250076</v>
      </c>
      <c r="P26" s="3">
        <v>178318</v>
      </c>
      <c r="Q26" s="3">
        <v>364488</v>
      </c>
      <c r="R26" s="3">
        <v>364488</v>
      </c>
      <c r="S26" s="3">
        <v>1200000</v>
      </c>
      <c r="T26" s="3">
        <v>1200000</v>
      </c>
      <c r="U26" s="3">
        <v>1328</v>
      </c>
      <c r="V26" s="3">
        <v>1438</v>
      </c>
      <c r="W26" s="3">
        <v>8.2799999999999994</v>
      </c>
      <c r="X26" s="34">
        <v>0</v>
      </c>
      <c r="Y26" s="35">
        <v>9500000</v>
      </c>
      <c r="Z26" s="34">
        <f t="shared" si="1"/>
        <v>1</v>
      </c>
      <c r="AA26" s="36">
        <f>9500000/9500000</f>
        <v>1</v>
      </c>
      <c r="AB26" s="7">
        <v>42571</v>
      </c>
    </row>
    <row r="27" spans="1:28" s="3" customFormat="1" x14ac:dyDescent="0.35">
      <c r="A27" s="4">
        <v>40909</v>
      </c>
      <c r="B27" s="4">
        <v>40567</v>
      </c>
      <c r="C27" s="3" t="s">
        <v>22</v>
      </c>
      <c r="D27" s="30" t="s">
        <v>142</v>
      </c>
      <c r="E27" s="3" t="s">
        <v>140</v>
      </c>
      <c r="F27" s="27" t="s">
        <v>141</v>
      </c>
      <c r="G27" s="3" t="s">
        <v>139</v>
      </c>
      <c r="H27" s="3" t="s">
        <v>52</v>
      </c>
      <c r="I27" s="3" t="s">
        <v>143</v>
      </c>
      <c r="J27" s="3">
        <v>2637906</v>
      </c>
      <c r="K27" s="3">
        <v>0.29670000000000002</v>
      </c>
      <c r="L27" s="3">
        <v>0.28999999999999998</v>
      </c>
      <c r="M27" s="3">
        <v>0.2918</v>
      </c>
      <c r="N27" s="3">
        <v>4609.96</v>
      </c>
      <c r="O27" s="3">
        <v>990785817</v>
      </c>
      <c r="P27" s="3">
        <v>2637906</v>
      </c>
      <c r="Q27" s="3">
        <v>2637906</v>
      </c>
      <c r="R27" s="3">
        <v>2637906</v>
      </c>
      <c r="S27" s="3">
        <v>3000000</v>
      </c>
      <c r="T27" s="3">
        <v>3000000</v>
      </c>
      <c r="U27" s="3">
        <v>4951</v>
      </c>
      <c r="V27" s="3">
        <v>4963</v>
      </c>
      <c r="W27" s="3">
        <v>0.24</v>
      </c>
      <c r="X27" s="34">
        <v>0</v>
      </c>
      <c r="Y27" s="35">
        <v>42665000</v>
      </c>
      <c r="Z27" s="34">
        <f t="shared" si="1"/>
        <v>1</v>
      </c>
      <c r="AA27" s="36">
        <f>42665000/42665000</f>
        <v>1</v>
      </c>
      <c r="AB27" s="7">
        <v>42573</v>
      </c>
    </row>
    <row r="28" spans="1:28" s="3" customFormat="1" x14ac:dyDescent="0.35">
      <c r="A28" s="4">
        <v>40909</v>
      </c>
      <c r="B28" s="4">
        <v>40714</v>
      </c>
      <c r="C28" s="3" t="s">
        <v>22</v>
      </c>
      <c r="D28" s="30" t="s">
        <v>142</v>
      </c>
      <c r="E28" s="3" t="s">
        <v>144</v>
      </c>
      <c r="F28" s="27" t="s">
        <v>145</v>
      </c>
      <c r="G28" s="3" t="s">
        <v>139</v>
      </c>
      <c r="H28" s="3" t="s">
        <v>146</v>
      </c>
      <c r="I28" s="3" t="s">
        <v>147</v>
      </c>
      <c r="J28" s="3">
        <v>543126</v>
      </c>
      <c r="K28" s="3">
        <v>0.29670000000000002</v>
      </c>
      <c r="L28" s="3">
        <v>0.28999999999999998</v>
      </c>
      <c r="M28" s="3">
        <v>0.2918</v>
      </c>
      <c r="N28" s="3">
        <v>4609.96</v>
      </c>
      <c r="O28" s="3">
        <v>990785817</v>
      </c>
      <c r="P28" s="3">
        <v>541542</v>
      </c>
      <c r="Q28" s="3">
        <v>541542</v>
      </c>
      <c r="R28" s="3">
        <v>541542</v>
      </c>
      <c r="S28" s="3">
        <v>1000000</v>
      </c>
      <c r="T28" s="3">
        <v>1000000</v>
      </c>
      <c r="U28" s="3">
        <v>4951</v>
      </c>
      <c r="V28" s="3">
        <v>4963</v>
      </c>
      <c r="W28" s="3">
        <v>0.24</v>
      </c>
      <c r="X28" s="34">
        <v>0</v>
      </c>
      <c r="Y28" s="35">
        <v>7200000</v>
      </c>
      <c r="Z28" s="34">
        <f t="shared" si="1"/>
        <v>1</v>
      </c>
      <c r="AA28" s="36">
        <f>7200000/7200000</f>
        <v>1</v>
      </c>
      <c r="AB28" s="7">
        <v>42573</v>
      </c>
    </row>
    <row r="29" spans="1:28" s="3" customFormat="1" x14ac:dyDescent="0.35">
      <c r="A29" s="4">
        <v>41733.4191782407</v>
      </c>
      <c r="B29" s="4">
        <v>41666</v>
      </c>
      <c r="C29" s="3" t="s">
        <v>22</v>
      </c>
      <c r="D29" s="30" t="s">
        <v>142</v>
      </c>
      <c r="E29" s="3" t="s">
        <v>148</v>
      </c>
      <c r="F29" s="27" t="s">
        <v>149</v>
      </c>
      <c r="G29" s="3" t="s">
        <v>139</v>
      </c>
      <c r="H29" s="3" t="s">
        <v>31</v>
      </c>
      <c r="I29" s="3" t="s">
        <v>150</v>
      </c>
      <c r="J29" s="3">
        <v>1495775</v>
      </c>
      <c r="K29" s="3">
        <v>0.29670000000000002</v>
      </c>
      <c r="L29" s="3">
        <v>0.28999999999999998</v>
      </c>
      <c r="M29" s="3">
        <v>0.2918</v>
      </c>
      <c r="N29" s="3">
        <v>4609.96</v>
      </c>
      <c r="O29" s="3">
        <v>990785817</v>
      </c>
      <c r="P29" s="3">
        <v>1490775</v>
      </c>
      <c r="Q29" s="3">
        <v>1495775</v>
      </c>
      <c r="R29" s="3">
        <v>1495775</v>
      </c>
      <c r="S29" s="3">
        <v>2000000</v>
      </c>
      <c r="T29" s="3">
        <v>4000000</v>
      </c>
      <c r="U29" s="3">
        <v>4951</v>
      </c>
      <c r="V29" s="3">
        <v>4963</v>
      </c>
      <c r="W29" s="3">
        <v>0.24</v>
      </c>
      <c r="X29" s="34">
        <v>0</v>
      </c>
      <c r="Y29" s="35">
        <v>22785000</v>
      </c>
      <c r="Z29" s="34">
        <f t="shared" si="1"/>
        <v>1</v>
      </c>
      <c r="AA29" s="36">
        <f>22785000/22785000</f>
        <v>1</v>
      </c>
      <c r="AB29" s="7">
        <v>42572</v>
      </c>
    </row>
    <row r="30" spans="1:28" s="3" customFormat="1" x14ac:dyDescent="0.35">
      <c r="A30" s="4"/>
      <c r="B30" s="4">
        <v>40485</v>
      </c>
      <c r="D30" s="31" t="s">
        <v>799</v>
      </c>
      <c r="E30" s="5" t="s">
        <v>194</v>
      </c>
      <c r="F30" s="27" t="s">
        <v>801</v>
      </c>
      <c r="G30" s="5" t="s">
        <v>735</v>
      </c>
      <c r="H30" s="3" t="s">
        <v>126</v>
      </c>
      <c r="I30" s="3">
        <v>1005720</v>
      </c>
      <c r="S30" s="5">
        <v>264500</v>
      </c>
      <c r="T30" s="5">
        <v>264500</v>
      </c>
      <c r="X30" s="40">
        <v>1054800</v>
      </c>
      <c r="Y30" s="41">
        <v>6945200</v>
      </c>
      <c r="Z30" s="34">
        <f t="shared" si="1"/>
        <v>0.8481253239647526</v>
      </c>
      <c r="AA30" s="42">
        <f>6945200/8000000</f>
        <v>0.86814999999999998</v>
      </c>
      <c r="AB30" s="7">
        <v>42570</v>
      </c>
    </row>
    <row r="31" spans="1:28" s="3" customFormat="1" x14ac:dyDescent="0.35">
      <c r="A31" s="4">
        <v>40909</v>
      </c>
      <c r="B31" s="4">
        <v>40651</v>
      </c>
      <c r="C31" s="3" t="s">
        <v>152</v>
      </c>
      <c r="D31" s="30" t="s">
        <v>154</v>
      </c>
      <c r="E31" s="3" t="s">
        <v>50</v>
      </c>
      <c r="F31" s="27" t="s">
        <v>153</v>
      </c>
      <c r="G31" s="3" t="s">
        <v>151</v>
      </c>
      <c r="H31" s="3" t="s">
        <v>52</v>
      </c>
      <c r="I31" s="3" t="s">
        <v>155</v>
      </c>
      <c r="J31" s="3">
        <v>75350</v>
      </c>
      <c r="K31" s="3">
        <v>5.4100000000000002E-2</v>
      </c>
      <c r="L31" s="3">
        <v>7.0099999999999996E-2</v>
      </c>
      <c r="M31" s="3">
        <v>0.1545</v>
      </c>
      <c r="N31" s="3">
        <v>140</v>
      </c>
      <c r="O31" s="3">
        <v>120042058</v>
      </c>
      <c r="P31" s="3">
        <v>76419</v>
      </c>
      <c r="Q31" s="3">
        <v>75350</v>
      </c>
      <c r="R31" s="3">
        <v>76419</v>
      </c>
      <c r="S31" s="3">
        <v>82250</v>
      </c>
      <c r="T31" s="3">
        <v>80250</v>
      </c>
      <c r="U31" s="3">
        <v>167</v>
      </c>
      <c r="V31" s="3">
        <v>149</v>
      </c>
      <c r="W31" s="3">
        <v>-10.78</v>
      </c>
      <c r="X31" s="34">
        <v>0</v>
      </c>
      <c r="Y31" s="35">
        <v>0</v>
      </c>
      <c r="Z31" s="34">
        <v>0</v>
      </c>
      <c r="AA31" s="34">
        <v>0</v>
      </c>
      <c r="AB31" s="7">
        <v>42572</v>
      </c>
    </row>
    <row r="32" spans="1:28" s="5" customFormat="1" x14ac:dyDescent="0.35">
      <c r="A32" s="4">
        <v>40909</v>
      </c>
      <c r="B32" s="4">
        <v>40686</v>
      </c>
      <c r="C32" s="3"/>
      <c r="D32" s="30" t="s">
        <v>158</v>
      </c>
      <c r="E32" s="3" t="s">
        <v>50</v>
      </c>
      <c r="F32" s="27" t="s">
        <v>157</v>
      </c>
      <c r="G32" s="3" t="s">
        <v>156</v>
      </c>
      <c r="H32" s="3" t="s">
        <v>52</v>
      </c>
      <c r="I32" s="3" t="s">
        <v>159</v>
      </c>
      <c r="J32" s="3"/>
      <c r="K32" s="3"/>
      <c r="L32" s="3">
        <v>0.28999999999999998</v>
      </c>
      <c r="M32" s="3">
        <v>0.3584</v>
      </c>
      <c r="N32" s="3">
        <v>3189</v>
      </c>
      <c r="O32" s="3">
        <v>719873078</v>
      </c>
      <c r="P32" s="3">
        <v>156800</v>
      </c>
      <c r="Q32" s="3">
        <v>156800</v>
      </c>
      <c r="R32" s="3">
        <v>156800</v>
      </c>
      <c r="S32" s="3">
        <v>2000000</v>
      </c>
      <c r="T32" s="3">
        <v>2000000</v>
      </c>
      <c r="U32" s="3">
        <v>2278</v>
      </c>
      <c r="V32" s="3">
        <v>3040</v>
      </c>
      <c r="W32" s="3">
        <v>33.450000000000003</v>
      </c>
      <c r="X32" s="34">
        <v>0</v>
      </c>
      <c r="Y32" s="35">
        <v>75000000</v>
      </c>
      <c r="Z32" s="34">
        <f t="shared" ref="Z32:Z63" si="2">1-(X32/Y32)</f>
        <v>1</v>
      </c>
      <c r="AA32" s="36">
        <f>75000000/75000000</f>
        <v>1</v>
      </c>
      <c r="AB32" s="7">
        <v>42572</v>
      </c>
    </row>
    <row r="33" spans="1:28" s="5" customFormat="1" x14ac:dyDescent="0.35">
      <c r="A33" s="4">
        <v>41222.398356481499</v>
      </c>
      <c r="B33" s="4">
        <v>41116</v>
      </c>
      <c r="C33" s="3" t="s">
        <v>22</v>
      </c>
      <c r="D33" s="30" t="s">
        <v>158</v>
      </c>
      <c r="E33" s="3" t="s">
        <v>23</v>
      </c>
      <c r="F33" s="27" t="s">
        <v>160</v>
      </c>
      <c r="G33" s="3" t="s">
        <v>156</v>
      </c>
      <c r="H33" s="3" t="s">
        <v>25</v>
      </c>
      <c r="I33" s="3" t="s">
        <v>161</v>
      </c>
      <c r="J33" s="3">
        <v>107088</v>
      </c>
      <c r="K33" s="3">
        <v>0.41720000000000002</v>
      </c>
      <c r="L33" s="3">
        <v>0.28999999999999998</v>
      </c>
      <c r="M33" s="3">
        <v>0.3584</v>
      </c>
      <c r="N33" s="3">
        <v>3189</v>
      </c>
      <c r="O33" s="3">
        <v>719873078</v>
      </c>
      <c r="P33" s="3">
        <v>107088</v>
      </c>
      <c r="Q33" s="3">
        <v>107088</v>
      </c>
      <c r="R33" s="3">
        <v>107088</v>
      </c>
      <c r="S33" s="3">
        <v>200000</v>
      </c>
      <c r="T33" s="3">
        <v>200000</v>
      </c>
      <c r="U33" s="3">
        <v>2278</v>
      </c>
      <c r="V33" s="3">
        <v>3040</v>
      </c>
      <c r="W33" s="3">
        <v>33.450000000000003</v>
      </c>
      <c r="X33" s="34">
        <v>0</v>
      </c>
      <c r="Y33" s="35">
        <v>3500000</v>
      </c>
      <c r="Z33" s="34">
        <f t="shared" si="2"/>
        <v>1</v>
      </c>
      <c r="AA33" s="36">
        <f>3500000/3500000</f>
        <v>1</v>
      </c>
      <c r="AB33" s="17" t="s">
        <v>771</v>
      </c>
    </row>
    <row r="34" spans="1:28" s="3" customFormat="1" x14ac:dyDescent="0.35">
      <c r="A34" s="4">
        <v>42111.427094907398</v>
      </c>
      <c r="B34" s="4">
        <v>42053</v>
      </c>
      <c r="D34" s="30" t="s">
        <v>158</v>
      </c>
      <c r="E34" s="3" t="s">
        <v>60</v>
      </c>
      <c r="F34" s="27" t="s">
        <v>162</v>
      </c>
      <c r="G34" s="3" t="s">
        <v>156</v>
      </c>
      <c r="H34" s="3" t="s">
        <v>60</v>
      </c>
      <c r="I34" s="3" t="s">
        <v>163</v>
      </c>
      <c r="L34" s="3">
        <v>0.28999999999999998</v>
      </c>
      <c r="M34" s="3">
        <v>0.3584</v>
      </c>
      <c r="N34" s="3">
        <v>3189</v>
      </c>
      <c r="O34" s="3">
        <v>719873078</v>
      </c>
      <c r="P34" s="3">
        <v>412000</v>
      </c>
      <c r="Q34" s="3">
        <v>615000</v>
      </c>
      <c r="R34" s="3">
        <v>615000</v>
      </c>
      <c r="U34" s="3">
        <v>2278</v>
      </c>
      <c r="V34" s="3">
        <v>3040</v>
      </c>
      <c r="W34" s="3">
        <v>33.450000000000003</v>
      </c>
      <c r="Y34" s="15"/>
      <c r="Z34" s="43" t="e">
        <f t="shared" si="2"/>
        <v>#DIV/0!</v>
      </c>
    </row>
    <row r="35" spans="1:28" s="3" customFormat="1" x14ac:dyDescent="0.35">
      <c r="A35" s="4">
        <v>42419.304305555597</v>
      </c>
      <c r="B35" s="4">
        <v>42354</v>
      </c>
      <c r="D35" s="30" t="s">
        <v>158</v>
      </c>
      <c r="E35" s="3" t="s">
        <v>74</v>
      </c>
      <c r="F35" s="27" t="s">
        <v>164</v>
      </c>
      <c r="G35" s="3" t="s">
        <v>156</v>
      </c>
      <c r="H35" s="3" t="s">
        <v>74</v>
      </c>
      <c r="I35" s="3" t="s">
        <v>165</v>
      </c>
      <c r="L35" s="3">
        <v>0.28999999999999998</v>
      </c>
      <c r="M35" s="3">
        <v>0.3584</v>
      </c>
      <c r="N35" s="3">
        <v>3189</v>
      </c>
      <c r="O35" s="3">
        <v>719873078</v>
      </c>
      <c r="P35" s="3">
        <v>419300</v>
      </c>
      <c r="Q35" s="3">
        <v>628950</v>
      </c>
      <c r="R35" s="3">
        <v>628950</v>
      </c>
      <c r="S35" s="3">
        <v>14000000</v>
      </c>
      <c r="T35" s="3">
        <v>1400000</v>
      </c>
      <c r="U35" s="3">
        <v>2278</v>
      </c>
      <c r="V35" s="3">
        <v>3040</v>
      </c>
      <c r="W35" s="3">
        <v>33.450000000000003</v>
      </c>
      <c r="X35" s="34">
        <v>0</v>
      </c>
      <c r="Y35" s="35">
        <v>16055000</v>
      </c>
      <c r="Z35" s="34">
        <f t="shared" si="2"/>
        <v>1</v>
      </c>
      <c r="AA35" s="36">
        <f>16055000/16055000</f>
        <v>1</v>
      </c>
      <c r="AB35" s="7">
        <v>42571</v>
      </c>
    </row>
    <row r="36" spans="1:28" s="3" customFormat="1" x14ac:dyDescent="0.35">
      <c r="A36" s="4">
        <v>42453.6401736111</v>
      </c>
      <c r="B36" s="4">
        <v>42389.416666666701</v>
      </c>
      <c r="D36" s="30" t="s">
        <v>168</v>
      </c>
      <c r="E36" s="3" t="s">
        <v>86</v>
      </c>
      <c r="F36" s="27" t="s">
        <v>167</v>
      </c>
      <c r="G36" s="3" t="s">
        <v>166</v>
      </c>
      <c r="H36" s="3" t="s">
        <v>86</v>
      </c>
      <c r="I36" s="3" t="s">
        <v>169</v>
      </c>
      <c r="L36" s="3">
        <v>0.28999999999999998</v>
      </c>
      <c r="M36" s="3">
        <v>0.44280000000000003</v>
      </c>
      <c r="N36" s="3">
        <v>2332.8000000000002</v>
      </c>
      <c r="O36" s="3">
        <v>843188022</v>
      </c>
      <c r="P36" s="3">
        <v>767102</v>
      </c>
      <c r="Q36" s="3">
        <v>1315031</v>
      </c>
      <c r="R36" s="3">
        <v>1315031</v>
      </c>
      <c r="S36" s="3">
        <v>7500000</v>
      </c>
      <c r="T36" s="3">
        <v>7500000</v>
      </c>
      <c r="U36" s="3">
        <v>1952</v>
      </c>
      <c r="V36" s="3">
        <v>2348</v>
      </c>
      <c r="W36" s="3">
        <v>20.29</v>
      </c>
      <c r="X36" s="44">
        <v>0</v>
      </c>
      <c r="Y36" s="45">
        <v>20000000</v>
      </c>
      <c r="Z36" s="34">
        <f t="shared" si="2"/>
        <v>1</v>
      </c>
      <c r="AA36" s="36">
        <f>20000000/20000000</f>
        <v>1</v>
      </c>
      <c r="AB36" s="7">
        <v>42571</v>
      </c>
    </row>
    <row r="37" spans="1:28" s="5" customFormat="1" x14ac:dyDescent="0.35">
      <c r="A37" s="4">
        <v>41864.4977083333</v>
      </c>
      <c r="B37" s="4">
        <v>41780.458333333299</v>
      </c>
      <c r="C37" s="3" t="s">
        <v>22</v>
      </c>
      <c r="D37" s="30" t="s">
        <v>172</v>
      </c>
      <c r="E37" s="3" t="s">
        <v>729</v>
      </c>
      <c r="F37" s="27" t="s">
        <v>171</v>
      </c>
      <c r="G37" s="3" t="s">
        <v>170</v>
      </c>
      <c r="H37" s="3" t="s">
        <v>42</v>
      </c>
      <c r="I37" s="3" t="s">
        <v>173</v>
      </c>
      <c r="J37" s="3">
        <v>6576300</v>
      </c>
      <c r="K37" s="3">
        <v>0.49340000000000001</v>
      </c>
      <c r="L37" s="3">
        <v>0.28999999999999998</v>
      </c>
      <c r="M37" s="3">
        <v>0.61980000000000002</v>
      </c>
      <c r="N37" s="3">
        <v>54802</v>
      </c>
      <c r="O37" s="3">
        <v>24705531490</v>
      </c>
      <c r="P37" s="3">
        <v>6572250</v>
      </c>
      <c r="Q37" s="3">
        <v>6576300</v>
      </c>
      <c r="R37" s="3">
        <v>6576300</v>
      </c>
      <c r="S37" s="3">
        <v>13500000</v>
      </c>
      <c r="T37" s="3">
        <v>13500000</v>
      </c>
      <c r="U37" s="3">
        <v>37043</v>
      </c>
      <c r="V37" s="3">
        <v>53130</v>
      </c>
      <c r="W37" s="3">
        <v>43.43</v>
      </c>
      <c r="X37" s="34">
        <v>0</v>
      </c>
      <c r="Y37" s="35">
        <v>111305000</v>
      </c>
      <c r="Z37" s="34">
        <f t="shared" si="2"/>
        <v>1</v>
      </c>
      <c r="AA37" s="36">
        <f>111305000/111305000</f>
        <v>1</v>
      </c>
      <c r="AB37" s="7">
        <v>42572</v>
      </c>
    </row>
    <row r="38" spans="1:28" s="5" customFormat="1" x14ac:dyDescent="0.35">
      <c r="A38" s="4">
        <v>42017.432453703703</v>
      </c>
      <c r="B38" s="4">
        <v>41948.416666666701</v>
      </c>
      <c r="C38" s="3" t="s">
        <v>22</v>
      </c>
      <c r="D38" s="30" t="s">
        <v>172</v>
      </c>
      <c r="E38" s="3" t="s">
        <v>29</v>
      </c>
      <c r="F38" s="27" t="s">
        <v>174</v>
      </c>
      <c r="G38" s="3" t="s">
        <v>170</v>
      </c>
      <c r="H38" s="3" t="s">
        <v>31</v>
      </c>
      <c r="I38" s="3" t="s">
        <v>175</v>
      </c>
      <c r="J38" s="3">
        <v>0</v>
      </c>
      <c r="K38" s="3">
        <v>0.49340000000000001</v>
      </c>
      <c r="L38" s="3">
        <v>0.28999999999999998</v>
      </c>
      <c r="M38" s="3">
        <v>0.61980000000000002</v>
      </c>
      <c r="N38" s="3">
        <v>54802</v>
      </c>
      <c r="O38" s="3">
        <v>24705531490</v>
      </c>
      <c r="P38" s="3">
        <v>9416400</v>
      </c>
      <c r="Q38" s="3">
        <v>9409150</v>
      </c>
      <c r="R38" s="3">
        <v>9416400</v>
      </c>
      <c r="S38" s="3">
        <v>20000000</v>
      </c>
      <c r="T38" s="3">
        <v>20000000</v>
      </c>
      <c r="U38" s="3">
        <v>37043</v>
      </c>
      <c r="V38" s="3">
        <v>53130</v>
      </c>
      <c r="W38" s="3">
        <v>43.43</v>
      </c>
      <c r="X38" s="34">
        <v>0</v>
      </c>
      <c r="Y38" s="35">
        <v>170000000</v>
      </c>
      <c r="Z38" s="34">
        <f t="shared" si="2"/>
        <v>1</v>
      </c>
      <c r="AA38" s="36">
        <f>170000000/170000000</f>
        <v>1</v>
      </c>
      <c r="AB38" s="7">
        <v>42572</v>
      </c>
    </row>
    <row r="39" spans="1:28" s="3" customFormat="1" x14ac:dyDescent="0.35">
      <c r="A39" s="4">
        <v>42237.624247685198</v>
      </c>
      <c r="B39" s="4">
        <v>42144</v>
      </c>
      <c r="C39" s="3" t="s">
        <v>22</v>
      </c>
      <c r="D39" s="30" t="s">
        <v>172</v>
      </c>
      <c r="E39" s="3" t="s">
        <v>176</v>
      </c>
      <c r="F39" s="27" t="s">
        <v>177</v>
      </c>
      <c r="G39" s="3" t="s">
        <v>170</v>
      </c>
      <c r="H39" s="3" t="s">
        <v>98</v>
      </c>
      <c r="I39" s="3" t="s">
        <v>178</v>
      </c>
      <c r="J39" s="3">
        <v>0</v>
      </c>
      <c r="K39" s="3">
        <v>0.49340000000000001</v>
      </c>
      <c r="L39" s="3">
        <v>0.28999999999999998</v>
      </c>
      <c r="M39" s="3">
        <v>0.61980000000000002</v>
      </c>
      <c r="N39" s="3">
        <v>54802</v>
      </c>
      <c r="O39" s="3">
        <v>24705531490</v>
      </c>
      <c r="P39" s="3">
        <v>8650007</v>
      </c>
      <c r="Q39" s="3">
        <v>10461538</v>
      </c>
      <c r="R39" s="3">
        <v>10461538</v>
      </c>
      <c r="S39" s="3">
        <v>11000000</v>
      </c>
      <c r="T39" s="3">
        <v>11000000</v>
      </c>
      <c r="U39" s="3">
        <v>37043</v>
      </c>
      <c r="V39" s="3">
        <v>53130</v>
      </c>
      <c r="W39" s="3">
        <v>43.43</v>
      </c>
      <c r="X39" s="34">
        <v>0</v>
      </c>
      <c r="Y39" s="35">
        <v>95000000</v>
      </c>
      <c r="Z39" s="34">
        <f t="shared" si="2"/>
        <v>1</v>
      </c>
      <c r="AA39" s="36">
        <f>95000000/95000000</f>
        <v>1</v>
      </c>
      <c r="AB39" s="7">
        <v>42570</v>
      </c>
    </row>
    <row r="40" spans="1:28" s="3" customFormat="1" x14ac:dyDescent="0.35">
      <c r="A40" s="4">
        <v>42419.304305555597</v>
      </c>
      <c r="B40" s="4">
        <v>42318.416666666701</v>
      </c>
      <c r="D40" s="30" t="s">
        <v>172</v>
      </c>
      <c r="E40" s="3" t="s">
        <v>179</v>
      </c>
      <c r="F40" s="27" t="s">
        <v>180</v>
      </c>
      <c r="G40" s="3" t="s">
        <v>170</v>
      </c>
      <c r="H40" s="3" t="s">
        <v>179</v>
      </c>
      <c r="I40" s="3" t="s">
        <v>181</v>
      </c>
      <c r="L40" s="3">
        <v>0.28999999999999998</v>
      </c>
      <c r="M40" s="3">
        <v>0.61980000000000002</v>
      </c>
      <c r="N40" s="3">
        <v>54802</v>
      </c>
      <c r="O40" s="3">
        <v>24705531490</v>
      </c>
      <c r="P40" s="3">
        <v>1980206</v>
      </c>
      <c r="Q40" s="3">
        <v>3905275</v>
      </c>
      <c r="R40" s="3">
        <v>3905275</v>
      </c>
      <c r="S40" s="3">
        <v>3700000</v>
      </c>
      <c r="T40" s="3">
        <v>8000000</v>
      </c>
      <c r="U40" s="3">
        <v>37043</v>
      </c>
      <c r="V40" s="3">
        <v>53130</v>
      </c>
      <c r="W40" s="3">
        <v>43.43</v>
      </c>
      <c r="X40" s="34">
        <v>0</v>
      </c>
      <c r="Y40" s="35">
        <v>70000000</v>
      </c>
      <c r="Z40" s="34">
        <f t="shared" si="2"/>
        <v>1</v>
      </c>
      <c r="AA40" s="36">
        <f>70000000/70000000</f>
        <v>1</v>
      </c>
      <c r="AB40" s="7">
        <v>42570</v>
      </c>
    </row>
    <row r="41" spans="1:28" s="76" customFormat="1" x14ac:dyDescent="0.35">
      <c r="A41" s="75">
        <v>42536.352407407401</v>
      </c>
      <c r="B41" s="75">
        <v>42514</v>
      </c>
      <c r="D41" s="77" t="s">
        <v>172</v>
      </c>
      <c r="E41" s="76" t="s">
        <v>182</v>
      </c>
      <c r="F41" s="88" t="s">
        <v>1224</v>
      </c>
      <c r="G41" s="76" t="s">
        <v>170</v>
      </c>
      <c r="H41" s="76" t="s">
        <v>182</v>
      </c>
      <c r="I41" s="76" t="s">
        <v>184</v>
      </c>
      <c r="L41" s="76">
        <v>0.28999999999999998</v>
      </c>
      <c r="M41" s="76">
        <v>0.61980000000000002</v>
      </c>
      <c r="N41" s="76">
        <v>54802</v>
      </c>
      <c r="O41" s="76">
        <v>24705531490</v>
      </c>
      <c r="Q41" s="76">
        <v>11277100</v>
      </c>
      <c r="R41" s="76">
        <v>11277100</v>
      </c>
      <c r="S41" s="76">
        <v>0</v>
      </c>
      <c r="T41" s="76">
        <v>30000000</v>
      </c>
      <c r="U41" s="76">
        <v>37043</v>
      </c>
      <c r="V41" s="76">
        <v>53130</v>
      </c>
      <c r="W41" s="76">
        <v>43.43</v>
      </c>
      <c r="X41" s="78">
        <v>0</v>
      </c>
      <c r="Y41" s="79">
        <v>105000000</v>
      </c>
      <c r="Z41" s="78">
        <f t="shared" si="2"/>
        <v>1</v>
      </c>
      <c r="AA41" s="80">
        <f>105000000/105000000</f>
        <v>1</v>
      </c>
      <c r="AB41" s="81">
        <v>42570</v>
      </c>
    </row>
    <row r="42" spans="1:28" s="3" customFormat="1" x14ac:dyDescent="0.35">
      <c r="A42" s="4">
        <v>42263.389016203699</v>
      </c>
      <c r="B42" s="4">
        <v>42215</v>
      </c>
      <c r="C42" s="3" t="s">
        <v>152</v>
      </c>
      <c r="D42" s="30" t="s">
        <v>188</v>
      </c>
      <c r="E42" s="3" t="s">
        <v>186</v>
      </c>
      <c r="F42" s="27" t="s">
        <v>187</v>
      </c>
      <c r="G42" s="3" t="s">
        <v>185</v>
      </c>
      <c r="H42" s="3" t="s">
        <v>186</v>
      </c>
      <c r="I42" s="3" t="s">
        <v>189</v>
      </c>
      <c r="L42" s="3">
        <v>0.28999999999999998</v>
      </c>
      <c r="M42" s="3">
        <v>0.67530000000000001</v>
      </c>
      <c r="N42" s="3">
        <v>23683.868999999999</v>
      </c>
      <c r="O42" s="3">
        <v>11216724574</v>
      </c>
      <c r="P42" s="3">
        <v>10602220</v>
      </c>
      <c r="Q42" s="3">
        <v>3667575</v>
      </c>
      <c r="R42" s="3">
        <v>10602220</v>
      </c>
      <c r="S42" s="3">
        <v>10321416</v>
      </c>
      <c r="T42" s="3">
        <v>3601600</v>
      </c>
      <c r="U42" s="3">
        <v>24261</v>
      </c>
      <c r="V42" s="3">
        <v>24622</v>
      </c>
      <c r="W42" s="3">
        <v>1.49</v>
      </c>
      <c r="X42" s="34">
        <v>4923468</v>
      </c>
      <c r="Y42" s="35">
        <v>28721532</v>
      </c>
      <c r="Z42" s="34">
        <f t="shared" si="2"/>
        <v>0.82857919974463756</v>
      </c>
      <c r="AA42" s="36">
        <f>28721532/33645000</f>
        <v>0.85366419973250107</v>
      </c>
      <c r="AB42" s="7">
        <v>42570</v>
      </c>
    </row>
    <row r="43" spans="1:28" s="3" customFormat="1" x14ac:dyDescent="0.35">
      <c r="A43" s="4">
        <v>41488.491990740702</v>
      </c>
      <c r="B43" s="4">
        <v>41431</v>
      </c>
      <c r="C43" s="3" t="s">
        <v>22</v>
      </c>
      <c r="D43" s="30" t="s">
        <v>192</v>
      </c>
      <c r="E43" s="3" t="s">
        <v>35</v>
      </c>
      <c r="F43" s="27" t="s">
        <v>191</v>
      </c>
      <c r="G43" s="3" t="s">
        <v>190</v>
      </c>
      <c r="H43" s="3" t="s">
        <v>37</v>
      </c>
      <c r="I43" s="3" t="s">
        <v>193</v>
      </c>
      <c r="L43" s="3">
        <v>0.28999999999999998</v>
      </c>
      <c r="M43" s="3">
        <v>0.3488</v>
      </c>
      <c r="N43" s="3">
        <v>2314.4929999999999</v>
      </c>
      <c r="O43" s="3">
        <v>661641200</v>
      </c>
      <c r="P43" s="3">
        <v>792650</v>
      </c>
      <c r="Q43" s="3">
        <v>832650</v>
      </c>
      <c r="R43" s="3">
        <v>832650</v>
      </c>
      <c r="S43" s="3">
        <v>2000000</v>
      </c>
      <c r="T43" s="3">
        <v>2000000</v>
      </c>
      <c r="U43" s="3">
        <v>1450</v>
      </c>
      <c r="V43" s="3">
        <v>2327</v>
      </c>
      <c r="W43" s="3">
        <v>60.48</v>
      </c>
      <c r="X43" s="34">
        <v>0</v>
      </c>
      <c r="Y43" s="35">
        <v>18500000</v>
      </c>
      <c r="Z43" s="34">
        <f t="shared" si="2"/>
        <v>1</v>
      </c>
      <c r="AA43" s="36">
        <f>18500000/18500000</f>
        <v>1</v>
      </c>
      <c r="AB43" s="7">
        <v>42572</v>
      </c>
    </row>
    <row r="44" spans="1:28" s="3" customFormat="1" x14ac:dyDescent="0.35">
      <c r="A44" s="4">
        <v>42152.5796527778</v>
      </c>
      <c r="B44" s="4">
        <v>42114</v>
      </c>
      <c r="C44" s="3" t="s">
        <v>22</v>
      </c>
      <c r="D44" s="30" t="s">
        <v>192</v>
      </c>
      <c r="E44" s="3" t="s">
        <v>194</v>
      </c>
      <c r="F44" s="27" t="s">
        <v>195</v>
      </c>
      <c r="G44" s="3" t="s">
        <v>190</v>
      </c>
      <c r="H44" s="3" t="s">
        <v>98</v>
      </c>
      <c r="I44" s="3" t="s">
        <v>196</v>
      </c>
      <c r="J44" s="3">
        <v>796500</v>
      </c>
      <c r="K44" s="3">
        <v>0.34599999999999997</v>
      </c>
      <c r="L44" s="3">
        <v>0.28999999999999998</v>
      </c>
      <c r="M44" s="3">
        <v>0.3488</v>
      </c>
      <c r="N44" s="3">
        <v>2314.4929999999999</v>
      </c>
      <c r="O44" s="3">
        <v>661641200</v>
      </c>
      <c r="P44" s="3">
        <v>1050631</v>
      </c>
      <c r="Q44" s="3">
        <v>796500</v>
      </c>
      <c r="R44" s="3">
        <v>1050631</v>
      </c>
      <c r="S44" s="3">
        <v>2000000</v>
      </c>
      <c r="T44" s="3">
        <v>2000000</v>
      </c>
      <c r="U44" s="3">
        <v>1450</v>
      </c>
      <c r="V44" s="3">
        <v>2327</v>
      </c>
      <c r="W44" s="3">
        <v>60.48</v>
      </c>
      <c r="X44" s="34">
        <v>0</v>
      </c>
      <c r="Y44" s="35">
        <v>4400000</v>
      </c>
      <c r="Z44" s="34">
        <f t="shared" si="2"/>
        <v>1</v>
      </c>
      <c r="AA44" s="36">
        <f>4400000/4400000</f>
        <v>1</v>
      </c>
      <c r="AB44" s="7">
        <v>42570</v>
      </c>
    </row>
    <row r="45" spans="1:28" s="3" customFormat="1" x14ac:dyDescent="0.35">
      <c r="A45" s="4">
        <v>41522.484340277799</v>
      </c>
      <c r="B45" s="4">
        <v>41480</v>
      </c>
      <c r="C45" s="3" t="s">
        <v>152</v>
      </c>
      <c r="D45" s="30" t="s">
        <v>199</v>
      </c>
      <c r="E45" s="3" t="s">
        <v>35</v>
      </c>
      <c r="F45" s="27" t="s">
        <v>198</v>
      </c>
      <c r="G45" s="3" t="s">
        <v>197</v>
      </c>
      <c r="H45" s="3" t="s">
        <v>37</v>
      </c>
      <c r="I45" s="3" t="s">
        <v>200</v>
      </c>
      <c r="J45" s="3">
        <v>474500</v>
      </c>
      <c r="K45" s="3">
        <v>0.34720000000000001</v>
      </c>
      <c r="L45" s="3">
        <v>0.28999999999999998</v>
      </c>
      <c r="M45" s="3">
        <v>0.46550000000000002</v>
      </c>
      <c r="N45" s="3">
        <v>3900</v>
      </c>
      <c r="O45" s="3">
        <v>638526720</v>
      </c>
      <c r="P45" s="3">
        <v>474500</v>
      </c>
      <c r="Q45" s="3">
        <v>474500</v>
      </c>
      <c r="R45" s="3">
        <v>474500</v>
      </c>
      <c r="S45" s="3">
        <v>490000</v>
      </c>
      <c r="T45" s="3">
        <v>490000</v>
      </c>
      <c r="U45" s="3">
        <v>3198</v>
      </c>
      <c r="V45" s="3">
        <v>3849</v>
      </c>
      <c r="W45" s="3">
        <v>20.36</v>
      </c>
      <c r="X45" s="34">
        <v>0</v>
      </c>
      <c r="Y45" s="35">
        <v>9800000</v>
      </c>
      <c r="Z45" s="34">
        <f t="shared" si="2"/>
        <v>1</v>
      </c>
      <c r="AA45" s="36">
        <f>9800000/9800000</f>
        <v>1</v>
      </c>
      <c r="AB45" s="7">
        <v>42572</v>
      </c>
    </row>
    <row r="46" spans="1:28" s="3" customFormat="1" x14ac:dyDescent="0.35">
      <c r="A46" s="4">
        <v>42151.581064814804</v>
      </c>
      <c r="B46" s="4">
        <v>42094</v>
      </c>
      <c r="C46" s="3" t="s">
        <v>152</v>
      </c>
      <c r="D46" s="30" t="s">
        <v>199</v>
      </c>
      <c r="E46" s="3" t="s">
        <v>194</v>
      </c>
      <c r="F46" s="27" t="s">
        <v>201</v>
      </c>
      <c r="G46" s="3" t="s">
        <v>197</v>
      </c>
      <c r="H46" s="3" t="s">
        <v>126</v>
      </c>
      <c r="I46" s="3" t="s">
        <v>202</v>
      </c>
      <c r="J46" s="3">
        <v>2139300</v>
      </c>
      <c r="K46" s="3">
        <v>0.34720000000000001</v>
      </c>
      <c r="L46" s="3">
        <v>0.28999999999999998</v>
      </c>
      <c r="M46" s="3">
        <v>0.46550000000000002</v>
      </c>
      <c r="N46" s="3">
        <v>3900</v>
      </c>
      <c r="O46" s="3">
        <v>638526720</v>
      </c>
      <c r="P46" s="3">
        <v>1959580</v>
      </c>
      <c r="Q46" s="3">
        <v>2139300</v>
      </c>
      <c r="R46" s="3">
        <v>2139300</v>
      </c>
      <c r="S46" s="3">
        <v>2022749</v>
      </c>
      <c r="T46" s="3">
        <v>2184000</v>
      </c>
      <c r="U46" s="3">
        <v>3198</v>
      </c>
      <c r="V46" s="3">
        <v>3849</v>
      </c>
      <c r="W46" s="3">
        <v>20.36</v>
      </c>
      <c r="X46" s="34">
        <v>0</v>
      </c>
      <c r="Y46" s="35">
        <v>21000000</v>
      </c>
      <c r="Z46" s="34">
        <f t="shared" si="2"/>
        <v>1</v>
      </c>
      <c r="AA46" s="36">
        <f>21000000/21000000</f>
        <v>1</v>
      </c>
      <c r="AB46" s="7">
        <v>42570</v>
      </c>
    </row>
    <row r="47" spans="1:28" s="3" customFormat="1" x14ac:dyDescent="0.35">
      <c r="A47" s="4">
        <v>42536.352407407401</v>
      </c>
      <c r="B47" s="4">
        <v>42452</v>
      </c>
      <c r="D47" s="30" t="s">
        <v>199</v>
      </c>
      <c r="E47" s="3" t="s">
        <v>72</v>
      </c>
      <c r="F47" s="27" t="s">
        <v>203</v>
      </c>
      <c r="G47" s="3" t="s">
        <v>197</v>
      </c>
      <c r="H47" s="3" t="s">
        <v>78</v>
      </c>
      <c r="I47" s="3" t="s">
        <v>204</v>
      </c>
      <c r="L47" s="3">
        <v>0.28999999999999998</v>
      </c>
      <c r="M47" s="3">
        <v>0.46550000000000002</v>
      </c>
      <c r="N47" s="3">
        <v>3900</v>
      </c>
      <c r="O47" s="3">
        <v>638526720</v>
      </c>
      <c r="P47" s="3">
        <v>498400</v>
      </c>
      <c r="Q47" s="3">
        <v>1116000</v>
      </c>
      <c r="R47" s="3">
        <v>1116000</v>
      </c>
      <c r="S47" s="3">
        <v>0</v>
      </c>
      <c r="T47" s="3">
        <v>987457</v>
      </c>
      <c r="U47" s="3">
        <v>3198</v>
      </c>
      <c r="V47" s="3">
        <v>3849</v>
      </c>
      <c r="W47" s="3">
        <v>20.36</v>
      </c>
      <c r="X47" s="34">
        <v>0</v>
      </c>
      <c r="Y47" s="35">
        <v>28500000</v>
      </c>
      <c r="Z47" s="34">
        <f t="shared" si="2"/>
        <v>1</v>
      </c>
      <c r="AA47" s="36">
        <f>28500000/28500000</f>
        <v>1</v>
      </c>
      <c r="AB47" s="7">
        <v>42571</v>
      </c>
    </row>
    <row r="48" spans="1:28" s="3" customFormat="1" x14ac:dyDescent="0.35">
      <c r="A48" s="4">
        <v>41800.370983796303</v>
      </c>
      <c r="B48" s="4">
        <v>41738</v>
      </c>
      <c r="C48" s="3" t="s">
        <v>22</v>
      </c>
      <c r="D48" s="30" t="s">
        <v>207</v>
      </c>
      <c r="E48" s="3" t="s">
        <v>40</v>
      </c>
      <c r="F48" s="27" t="s">
        <v>206</v>
      </c>
      <c r="G48" s="3" t="s">
        <v>205</v>
      </c>
      <c r="H48" s="3" t="s">
        <v>42</v>
      </c>
      <c r="I48" s="3" t="s">
        <v>208</v>
      </c>
      <c r="J48" s="3">
        <v>2025238</v>
      </c>
      <c r="K48" s="3">
        <v>0.6381</v>
      </c>
      <c r="L48" s="3">
        <v>0.28999999999999998</v>
      </c>
      <c r="M48" s="3">
        <v>0.63870000000000005</v>
      </c>
      <c r="N48" s="3">
        <v>9800</v>
      </c>
      <c r="O48" s="3">
        <v>3776112796</v>
      </c>
      <c r="P48" s="3">
        <v>1638438</v>
      </c>
      <c r="Q48" s="3">
        <v>2025238</v>
      </c>
      <c r="R48" s="3">
        <v>2025238</v>
      </c>
      <c r="S48" s="3">
        <v>5000000</v>
      </c>
      <c r="T48" s="3">
        <v>5000000</v>
      </c>
      <c r="U48" s="3">
        <v>4274</v>
      </c>
      <c r="V48" s="3">
        <v>8225</v>
      </c>
      <c r="W48" s="3">
        <v>92.44</v>
      </c>
      <c r="X48" s="34">
        <v>0</v>
      </c>
      <c r="Y48" s="35">
        <v>22000000</v>
      </c>
      <c r="Z48" s="34">
        <f t="shared" si="2"/>
        <v>1</v>
      </c>
      <c r="AA48" s="36">
        <f>22000000/22000000</f>
        <v>1</v>
      </c>
      <c r="AB48" s="7">
        <v>42572</v>
      </c>
    </row>
    <row r="49" spans="1:28" s="3" customFormat="1" x14ac:dyDescent="0.35">
      <c r="A49" s="4">
        <v>42536.352407407401</v>
      </c>
      <c r="B49" s="4">
        <v>42404</v>
      </c>
      <c r="D49" s="30" t="s">
        <v>207</v>
      </c>
      <c r="E49" s="3" t="s">
        <v>74</v>
      </c>
      <c r="F49" s="27" t="s">
        <v>209</v>
      </c>
      <c r="G49" s="3" t="s">
        <v>205</v>
      </c>
      <c r="H49" s="3" t="s">
        <v>74</v>
      </c>
      <c r="I49" s="3" t="s">
        <v>210</v>
      </c>
      <c r="L49" s="3">
        <v>0.28999999999999998</v>
      </c>
      <c r="M49" s="3">
        <v>0.63870000000000005</v>
      </c>
      <c r="N49" s="3">
        <v>9800</v>
      </c>
      <c r="O49" s="3">
        <v>3776112796</v>
      </c>
      <c r="P49" s="3">
        <v>1568301</v>
      </c>
      <c r="Q49" s="3">
        <v>2994400</v>
      </c>
      <c r="R49" s="3">
        <v>2994400</v>
      </c>
      <c r="S49" s="3">
        <v>4000000</v>
      </c>
      <c r="T49" s="3">
        <v>7000000</v>
      </c>
      <c r="U49" s="3">
        <v>4274</v>
      </c>
      <c r="V49" s="3">
        <v>8225</v>
      </c>
      <c r="W49" s="3">
        <v>92.44</v>
      </c>
      <c r="X49" s="34">
        <v>0</v>
      </c>
      <c r="Y49" s="35">
        <v>75000000</v>
      </c>
      <c r="Z49" s="34">
        <f t="shared" si="2"/>
        <v>1</v>
      </c>
      <c r="AA49" s="36">
        <f>75000000/75000000</f>
        <v>1</v>
      </c>
      <c r="AB49" s="7">
        <v>42571</v>
      </c>
    </row>
    <row r="50" spans="1:28" s="3" customFormat="1" x14ac:dyDescent="0.35">
      <c r="A50" s="4">
        <v>41222.403275463003</v>
      </c>
      <c r="B50" s="4">
        <v>41129</v>
      </c>
      <c r="C50" s="3" t="s">
        <v>22</v>
      </c>
      <c r="D50" s="30" t="s">
        <v>214</v>
      </c>
      <c r="E50" s="3" t="s">
        <v>770</v>
      </c>
      <c r="F50" s="27" t="s">
        <v>212</v>
      </c>
      <c r="G50" s="3" t="s">
        <v>211</v>
      </c>
      <c r="H50" s="3" t="s">
        <v>213</v>
      </c>
      <c r="I50" s="3" t="s">
        <v>215</v>
      </c>
      <c r="J50" s="3">
        <v>903544</v>
      </c>
      <c r="K50" s="3">
        <v>0.48630000000000001</v>
      </c>
      <c r="L50" s="3">
        <v>0.28999999999999998</v>
      </c>
      <c r="M50" s="3">
        <v>0.39560000000000001</v>
      </c>
      <c r="N50" s="3">
        <v>14379.465</v>
      </c>
      <c r="O50" s="3">
        <v>4217664317</v>
      </c>
      <c r="P50" s="3">
        <v>903544</v>
      </c>
      <c r="Q50" s="3">
        <v>903544</v>
      </c>
      <c r="R50" s="3">
        <v>903544</v>
      </c>
      <c r="S50" s="3">
        <v>1075050</v>
      </c>
      <c r="T50" s="3">
        <v>1075050</v>
      </c>
      <c r="U50" s="3">
        <v>12471</v>
      </c>
      <c r="V50" s="3">
        <v>14562</v>
      </c>
      <c r="W50" s="3">
        <v>16.77</v>
      </c>
      <c r="X50" s="34">
        <v>7974406</v>
      </c>
      <c r="Y50" s="35">
        <v>11422389</v>
      </c>
      <c r="Z50" s="34">
        <f t="shared" si="2"/>
        <v>0.3018618084185366</v>
      </c>
      <c r="AA50" s="36">
        <f>11422389/19396795</f>
        <v>0.588880224800025</v>
      </c>
      <c r="AB50" s="7">
        <v>42572</v>
      </c>
    </row>
    <row r="51" spans="1:28" s="3" customFormat="1" x14ac:dyDescent="0.35">
      <c r="A51" s="4">
        <v>42111.427094907398</v>
      </c>
      <c r="B51" s="4">
        <v>42039</v>
      </c>
      <c r="C51" s="3" t="s">
        <v>152</v>
      </c>
      <c r="D51" s="30" t="s">
        <v>214</v>
      </c>
      <c r="E51" s="3" t="s">
        <v>788</v>
      </c>
      <c r="F51" s="27" t="s">
        <v>216</v>
      </c>
      <c r="G51" s="3" t="s">
        <v>211</v>
      </c>
      <c r="H51" s="3" t="s">
        <v>179</v>
      </c>
      <c r="I51" s="3" t="s">
        <v>217</v>
      </c>
      <c r="J51" s="3">
        <v>0</v>
      </c>
      <c r="K51" s="3">
        <v>0.48630000000000001</v>
      </c>
      <c r="L51" s="3">
        <v>0.28999999999999998</v>
      </c>
      <c r="M51" s="3">
        <v>0.39560000000000001</v>
      </c>
      <c r="N51" s="3">
        <v>14379.465</v>
      </c>
      <c r="O51" s="3">
        <v>4217664317</v>
      </c>
      <c r="P51" s="3">
        <v>69600</v>
      </c>
      <c r="Q51" s="3">
        <v>46400</v>
      </c>
      <c r="R51" s="3">
        <v>69600</v>
      </c>
      <c r="S51" s="3">
        <v>753000</v>
      </c>
      <c r="T51" s="3">
        <v>773800</v>
      </c>
      <c r="U51" s="3">
        <v>12471</v>
      </c>
      <c r="V51" s="3">
        <v>14562</v>
      </c>
      <c r="W51" s="3">
        <v>16.77</v>
      </c>
      <c r="X51" s="34">
        <v>23554506.5</v>
      </c>
      <c r="Y51" s="35">
        <v>70313622.099999994</v>
      </c>
      <c r="Z51" s="34">
        <f t="shared" si="2"/>
        <v>0.66500792027893552</v>
      </c>
      <c r="AA51" s="36">
        <f>70313622.1/93868128.6</f>
        <v>0.74906811447820854</v>
      </c>
      <c r="AB51" s="7">
        <v>42570</v>
      </c>
    </row>
    <row r="52" spans="1:28" s="3" customFormat="1" x14ac:dyDescent="0.35">
      <c r="A52" s="4">
        <v>41222.381770833301</v>
      </c>
      <c r="B52" s="4">
        <v>40989</v>
      </c>
      <c r="C52" s="3" t="s">
        <v>22</v>
      </c>
      <c r="D52" s="30" t="s">
        <v>220</v>
      </c>
      <c r="E52" s="3" t="s">
        <v>23</v>
      </c>
      <c r="F52" s="27" t="s">
        <v>219</v>
      </c>
      <c r="G52" s="3" t="s">
        <v>218</v>
      </c>
      <c r="H52" s="3" t="s">
        <v>25</v>
      </c>
      <c r="I52" s="3" t="s">
        <v>221</v>
      </c>
      <c r="J52" s="3">
        <v>932500</v>
      </c>
      <c r="K52" s="3">
        <v>0.55289999999999995</v>
      </c>
      <c r="L52" s="3">
        <v>0.28999999999999998</v>
      </c>
      <c r="M52" s="3">
        <v>0.76190000000000002</v>
      </c>
      <c r="N52" s="3">
        <v>4213.68</v>
      </c>
      <c r="O52" s="3">
        <v>1968932923</v>
      </c>
      <c r="P52" s="3">
        <v>823600</v>
      </c>
      <c r="Q52" s="3">
        <v>932500</v>
      </c>
      <c r="R52" s="3">
        <v>932500</v>
      </c>
      <c r="S52" s="3">
        <v>3000000</v>
      </c>
      <c r="T52" s="3">
        <v>30000000</v>
      </c>
      <c r="U52" s="3">
        <v>3369</v>
      </c>
      <c r="V52" s="3">
        <v>3925</v>
      </c>
      <c r="W52" s="3">
        <v>16.5</v>
      </c>
      <c r="X52" s="34">
        <v>0</v>
      </c>
      <c r="Y52" s="35">
        <v>26000000</v>
      </c>
      <c r="Z52" s="34">
        <f t="shared" si="2"/>
        <v>1</v>
      </c>
      <c r="AA52" s="36">
        <f>26000000/26000000</f>
        <v>1</v>
      </c>
      <c r="AB52" s="7">
        <v>42572</v>
      </c>
    </row>
    <row r="53" spans="1:28" s="3" customFormat="1" x14ac:dyDescent="0.35">
      <c r="A53" s="4">
        <v>41927.558125000003</v>
      </c>
      <c r="B53" s="4">
        <v>41829</v>
      </c>
      <c r="C53" s="3" t="s">
        <v>22</v>
      </c>
      <c r="D53" s="30" t="s">
        <v>220</v>
      </c>
      <c r="E53" s="3" t="s">
        <v>222</v>
      </c>
      <c r="F53" s="27" t="s">
        <v>223</v>
      </c>
      <c r="G53" s="3" t="s">
        <v>218</v>
      </c>
      <c r="H53" s="3" t="s">
        <v>42</v>
      </c>
      <c r="I53" s="3" t="s">
        <v>224</v>
      </c>
      <c r="J53" s="3">
        <v>2226262</v>
      </c>
      <c r="K53" s="3">
        <v>0.55289999999999995</v>
      </c>
      <c r="L53" s="3">
        <v>0.28999999999999998</v>
      </c>
      <c r="M53" s="3">
        <v>0.76190000000000002</v>
      </c>
      <c r="N53" s="3">
        <v>4213.68</v>
      </c>
      <c r="O53" s="3">
        <v>1968932923</v>
      </c>
      <c r="P53" s="3">
        <v>2206488</v>
      </c>
      <c r="Q53" s="3">
        <v>2226262</v>
      </c>
      <c r="R53" s="3">
        <v>2226262</v>
      </c>
      <c r="S53" s="3">
        <v>5100000</v>
      </c>
      <c r="T53" s="3">
        <v>5100000</v>
      </c>
      <c r="U53" s="3">
        <v>3369</v>
      </c>
      <c r="V53" s="3">
        <v>3925</v>
      </c>
      <c r="W53" s="3">
        <v>16.5</v>
      </c>
      <c r="X53" s="34">
        <v>0</v>
      </c>
      <c r="Y53" s="35">
        <v>15000000</v>
      </c>
      <c r="Z53" s="34">
        <f t="shared" si="2"/>
        <v>1</v>
      </c>
      <c r="AA53" s="36">
        <f>15000000/15000000</f>
        <v>1</v>
      </c>
      <c r="AB53" s="7">
        <v>42572</v>
      </c>
    </row>
    <row r="54" spans="1:28" s="3" customFormat="1" x14ac:dyDescent="0.35">
      <c r="A54" s="4">
        <v>42263.389016203699</v>
      </c>
      <c r="B54" s="4">
        <v>42207</v>
      </c>
      <c r="C54" s="3" t="s">
        <v>22</v>
      </c>
      <c r="D54" s="30" t="s">
        <v>220</v>
      </c>
      <c r="E54" s="3" t="s">
        <v>225</v>
      </c>
      <c r="F54" s="27" t="s">
        <v>226</v>
      </c>
      <c r="G54" s="3" t="s">
        <v>218</v>
      </c>
      <c r="H54" s="3" t="s">
        <v>126</v>
      </c>
      <c r="I54" s="3" t="s">
        <v>227</v>
      </c>
      <c r="J54" s="3">
        <v>0</v>
      </c>
      <c r="K54" s="3">
        <v>0.55289999999999995</v>
      </c>
      <c r="L54" s="3">
        <v>0.28999999999999998</v>
      </c>
      <c r="M54" s="3">
        <v>0.76190000000000002</v>
      </c>
      <c r="N54" s="3">
        <v>4213.68</v>
      </c>
      <c r="O54" s="3">
        <v>1968932923</v>
      </c>
      <c r="P54" s="3">
        <v>1213634</v>
      </c>
      <c r="Q54" s="3">
        <v>1003219</v>
      </c>
      <c r="R54" s="3">
        <v>1213634</v>
      </c>
      <c r="S54" s="3">
        <v>6000000</v>
      </c>
      <c r="T54" s="3">
        <v>6000000</v>
      </c>
      <c r="U54" s="3">
        <v>3369</v>
      </c>
      <c r="V54" s="3">
        <v>3925</v>
      </c>
      <c r="W54" s="3">
        <v>16.5</v>
      </c>
      <c r="X54" s="34">
        <v>0</v>
      </c>
      <c r="Y54" s="35">
        <v>18000000</v>
      </c>
      <c r="Z54" s="34">
        <f t="shared" si="2"/>
        <v>1</v>
      </c>
      <c r="AA54" s="36">
        <f>18000000/18000000</f>
        <v>1</v>
      </c>
      <c r="AB54" s="7">
        <v>42570</v>
      </c>
    </row>
    <row r="55" spans="1:28" s="5" customFormat="1" x14ac:dyDescent="0.35">
      <c r="A55" s="4">
        <v>40909</v>
      </c>
      <c r="B55" s="4">
        <v>40779</v>
      </c>
      <c r="C55" s="3" t="s">
        <v>22</v>
      </c>
      <c r="D55" s="30" t="s">
        <v>231</v>
      </c>
      <c r="E55" s="3" t="s">
        <v>229</v>
      </c>
      <c r="F55" s="27" t="s">
        <v>230</v>
      </c>
      <c r="G55" s="3" t="s">
        <v>228</v>
      </c>
      <c r="H55" s="3" t="s">
        <v>52</v>
      </c>
      <c r="I55" s="3" t="s">
        <v>232</v>
      </c>
      <c r="J55" s="3">
        <v>210581</v>
      </c>
      <c r="K55" s="3">
        <v>0.249</v>
      </c>
      <c r="L55" s="3">
        <v>0.24959999999999999</v>
      </c>
      <c r="M55" s="3">
        <v>0.30980000000000002</v>
      </c>
      <c r="N55" s="3">
        <v>562</v>
      </c>
      <c r="O55" s="3">
        <v>363367461</v>
      </c>
      <c r="P55" s="3">
        <v>211581</v>
      </c>
      <c r="Q55" s="3">
        <v>210581</v>
      </c>
      <c r="R55" s="3">
        <v>211581</v>
      </c>
      <c r="S55" s="3">
        <v>221050</v>
      </c>
      <c r="T55" s="3">
        <v>220600</v>
      </c>
      <c r="U55" s="3">
        <v>545</v>
      </c>
      <c r="V55" s="3">
        <v>613</v>
      </c>
      <c r="W55" s="3">
        <v>12.48</v>
      </c>
      <c r="X55" s="34">
        <v>660000</v>
      </c>
      <c r="Y55" s="35">
        <v>4125000</v>
      </c>
      <c r="Z55" s="34">
        <f t="shared" si="2"/>
        <v>0.84</v>
      </c>
      <c r="AA55" s="36">
        <f>4125000/4785000</f>
        <v>0.86206896551724133</v>
      </c>
      <c r="AB55" s="7">
        <v>42572</v>
      </c>
    </row>
    <row r="56" spans="1:28" s="3" customFormat="1" x14ac:dyDescent="0.35">
      <c r="A56" s="4">
        <v>40909</v>
      </c>
      <c r="B56" s="4">
        <v>40564</v>
      </c>
      <c r="D56" s="30" t="s">
        <v>235</v>
      </c>
      <c r="E56" s="3" t="s">
        <v>140</v>
      </c>
      <c r="F56" s="27" t="s">
        <v>234</v>
      </c>
      <c r="G56" s="3" t="s">
        <v>233</v>
      </c>
      <c r="H56" s="3" t="s">
        <v>52</v>
      </c>
      <c r="I56" s="3" t="s">
        <v>236</v>
      </c>
      <c r="J56" s="3">
        <v>2488625</v>
      </c>
      <c r="K56" s="3">
        <v>0.33239999999999997</v>
      </c>
      <c r="L56" s="3">
        <v>0.28999999999999998</v>
      </c>
      <c r="M56" s="3">
        <v>0.42070000000000002</v>
      </c>
      <c r="N56" s="3">
        <v>8391.9539999999997</v>
      </c>
      <c r="O56" s="3">
        <v>3882112128</v>
      </c>
      <c r="P56" s="3">
        <v>2523625</v>
      </c>
      <c r="Q56" s="3">
        <v>2488625</v>
      </c>
      <c r="R56" s="3">
        <v>2523625</v>
      </c>
      <c r="S56" s="3">
        <v>2779325</v>
      </c>
      <c r="T56" s="3">
        <v>2759338</v>
      </c>
      <c r="U56" s="3">
        <v>7926</v>
      </c>
      <c r="V56" s="3">
        <v>8420</v>
      </c>
      <c r="W56" s="3">
        <v>6.23</v>
      </c>
      <c r="X56" s="34">
        <v>0</v>
      </c>
      <c r="Y56" s="35">
        <v>37000000</v>
      </c>
      <c r="Z56" s="34">
        <f t="shared" si="2"/>
        <v>1</v>
      </c>
      <c r="AA56" s="36">
        <f>37000000/37000000</f>
        <v>1</v>
      </c>
      <c r="AB56" s="7">
        <v>42573</v>
      </c>
    </row>
    <row r="57" spans="1:28" s="3" customFormat="1" x14ac:dyDescent="0.35">
      <c r="A57" s="4">
        <v>40909</v>
      </c>
      <c r="B57" s="4">
        <v>40506</v>
      </c>
      <c r="C57" s="3" t="s">
        <v>22</v>
      </c>
      <c r="D57" s="30" t="s">
        <v>240</v>
      </c>
      <c r="E57" s="3" t="s">
        <v>67</v>
      </c>
      <c r="F57" s="27" t="s">
        <v>238</v>
      </c>
      <c r="G57" s="3" t="s">
        <v>237</v>
      </c>
      <c r="H57" s="3" t="s">
        <v>239</v>
      </c>
      <c r="I57" s="3" t="s">
        <v>241</v>
      </c>
      <c r="J57" s="3">
        <v>36285</v>
      </c>
      <c r="K57" s="3">
        <v>0.1424</v>
      </c>
      <c r="L57" s="3">
        <v>0.1187</v>
      </c>
      <c r="M57" s="3">
        <v>0.1187</v>
      </c>
      <c r="N57" s="3">
        <v>612</v>
      </c>
      <c r="O57" s="3">
        <v>171882351</v>
      </c>
      <c r="P57" s="3">
        <v>36285</v>
      </c>
      <c r="Q57" s="3">
        <v>36285</v>
      </c>
      <c r="R57" s="3">
        <v>36285</v>
      </c>
      <c r="S57" s="3">
        <v>31400</v>
      </c>
      <c r="T57" s="3">
        <v>31400</v>
      </c>
      <c r="U57" s="3">
        <v>698</v>
      </c>
      <c r="V57" s="3">
        <v>672</v>
      </c>
      <c r="W57" s="3">
        <v>-3.72</v>
      </c>
      <c r="X57" s="34">
        <v>0</v>
      </c>
      <c r="Y57" s="35">
        <v>885000</v>
      </c>
      <c r="Z57" s="34">
        <f t="shared" si="2"/>
        <v>1</v>
      </c>
      <c r="AA57" s="36">
        <f>885000/885000</f>
        <v>1</v>
      </c>
      <c r="AB57" s="7">
        <v>42573</v>
      </c>
    </row>
    <row r="58" spans="1:28" s="3" customFormat="1" x14ac:dyDescent="0.35">
      <c r="A58" s="4">
        <v>41673.335451388899</v>
      </c>
      <c r="B58" s="4">
        <v>41611</v>
      </c>
      <c r="C58" s="3" t="s">
        <v>22</v>
      </c>
      <c r="D58" s="30" t="s">
        <v>245</v>
      </c>
      <c r="E58" s="3" t="s">
        <v>35</v>
      </c>
      <c r="F58" s="27" t="s">
        <v>243</v>
      </c>
      <c r="G58" s="3" t="s">
        <v>242</v>
      </c>
      <c r="H58" s="3" t="s">
        <v>244</v>
      </c>
      <c r="I58" s="3" t="s">
        <v>246</v>
      </c>
      <c r="L58" s="3">
        <v>0.13719999999999999</v>
      </c>
      <c r="M58" s="3">
        <v>0.13719999999999999</v>
      </c>
      <c r="N58" s="3">
        <v>2686.0219999999999</v>
      </c>
      <c r="O58" s="3">
        <v>660104969</v>
      </c>
      <c r="P58" s="3">
        <v>809901</v>
      </c>
      <c r="Q58" s="3">
        <v>810089</v>
      </c>
      <c r="R58" s="3">
        <v>810089</v>
      </c>
      <c r="S58" s="3">
        <v>2000000</v>
      </c>
      <c r="T58" s="3">
        <v>2000000</v>
      </c>
      <c r="U58" s="3">
        <v>2863</v>
      </c>
      <c r="V58" s="3">
        <v>2839</v>
      </c>
      <c r="W58" s="3">
        <v>-0.84</v>
      </c>
      <c r="X58" s="34">
        <v>0</v>
      </c>
      <c r="Y58" s="35">
        <v>8950000</v>
      </c>
      <c r="Z58" s="34">
        <f t="shared" si="2"/>
        <v>1</v>
      </c>
      <c r="AA58" s="36">
        <f>8950000/8950000</f>
        <v>1</v>
      </c>
      <c r="AB58" s="7">
        <v>42572</v>
      </c>
    </row>
    <row r="59" spans="1:28" s="3" customFormat="1" x14ac:dyDescent="0.35">
      <c r="A59" s="4">
        <v>41709.611458333296</v>
      </c>
      <c r="B59" s="4">
        <v>41653</v>
      </c>
      <c r="C59" s="3" t="s">
        <v>22</v>
      </c>
      <c r="D59" s="30" t="s">
        <v>245</v>
      </c>
      <c r="E59" s="3" t="s">
        <v>29</v>
      </c>
      <c r="F59" s="27" t="s">
        <v>247</v>
      </c>
      <c r="G59" s="3" t="s">
        <v>242</v>
      </c>
      <c r="H59" s="3" t="s">
        <v>31</v>
      </c>
      <c r="I59" s="3" t="s">
        <v>248</v>
      </c>
      <c r="L59" s="3">
        <v>0.13719999999999999</v>
      </c>
      <c r="M59" s="3">
        <v>0.13719999999999999</v>
      </c>
      <c r="N59" s="3">
        <v>2686.0219999999999</v>
      </c>
      <c r="O59" s="3">
        <v>660104969</v>
      </c>
      <c r="P59" s="3">
        <v>480835</v>
      </c>
      <c r="Q59" s="3">
        <v>480835</v>
      </c>
      <c r="R59" s="3">
        <v>480835</v>
      </c>
      <c r="S59" s="3">
        <v>2000000</v>
      </c>
      <c r="T59" s="3">
        <v>2000000</v>
      </c>
      <c r="U59" s="3">
        <v>2863</v>
      </c>
      <c r="V59" s="3">
        <v>2839</v>
      </c>
      <c r="W59" s="3">
        <v>-0.84</v>
      </c>
      <c r="X59" s="34">
        <v>0</v>
      </c>
      <c r="Y59" s="35">
        <v>8950000</v>
      </c>
      <c r="Z59" s="34">
        <f t="shared" si="2"/>
        <v>1</v>
      </c>
      <c r="AA59" s="36">
        <f>8950000/8950000</f>
        <v>1</v>
      </c>
      <c r="AB59" s="7">
        <v>42572</v>
      </c>
    </row>
    <row r="60" spans="1:28" s="76" customFormat="1" x14ac:dyDescent="0.35">
      <c r="A60" s="75">
        <v>42536.352407407401</v>
      </c>
      <c r="B60" s="75">
        <v>42508</v>
      </c>
      <c r="D60" s="77" t="s">
        <v>253</v>
      </c>
      <c r="E60" s="76" t="s">
        <v>250</v>
      </c>
      <c r="F60" s="88" t="s">
        <v>1225</v>
      </c>
      <c r="G60" s="76" t="s">
        <v>249</v>
      </c>
      <c r="H60" s="76" t="s">
        <v>252</v>
      </c>
      <c r="I60" s="76" t="s">
        <v>254</v>
      </c>
      <c r="L60" s="76">
        <v>0.28999999999999998</v>
      </c>
      <c r="M60" s="76">
        <v>0.34739999999999999</v>
      </c>
      <c r="N60" s="76">
        <v>9400.2720000000008</v>
      </c>
      <c r="O60" s="76">
        <v>2230583033</v>
      </c>
      <c r="Q60" s="76">
        <v>1658750</v>
      </c>
      <c r="R60" s="76">
        <v>1658750</v>
      </c>
      <c r="S60" s="76">
        <v>0</v>
      </c>
      <c r="T60" s="76">
        <v>0</v>
      </c>
      <c r="U60" s="76">
        <v>9165</v>
      </c>
      <c r="V60" s="76">
        <v>9711</v>
      </c>
      <c r="W60" s="76">
        <v>5.96</v>
      </c>
      <c r="X60" s="78">
        <v>1500000</v>
      </c>
      <c r="Y60" s="79">
        <v>23500000</v>
      </c>
      <c r="Z60" s="78">
        <f t="shared" si="2"/>
        <v>0.93617021276595747</v>
      </c>
      <c r="AA60" s="80">
        <f>23500000/25000000</f>
        <v>0.94</v>
      </c>
      <c r="AB60" s="81">
        <v>42571</v>
      </c>
    </row>
    <row r="61" spans="1:28" s="3" customFormat="1" x14ac:dyDescent="0.35">
      <c r="A61" s="4">
        <v>40909</v>
      </c>
      <c r="B61" s="4">
        <v>40864</v>
      </c>
      <c r="C61" s="3" t="s">
        <v>22</v>
      </c>
      <c r="D61" s="30" t="s">
        <v>259</v>
      </c>
      <c r="E61" s="3" t="s">
        <v>256</v>
      </c>
      <c r="F61" s="27" t="s">
        <v>257</v>
      </c>
      <c r="G61" s="3" t="s">
        <v>255</v>
      </c>
      <c r="H61" s="3" t="s">
        <v>258</v>
      </c>
      <c r="I61" s="3" t="s">
        <v>260</v>
      </c>
      <c r="J61" s="3">
        <v>8880750</v>
      </c>
      <c r="K61" s="3">
        <v>0.20330000000000001</v>
      </c>
      <c r="L61" s="3">
        <v>0.20799999999999999</v>
      </c>
      <c r="M61" s="3">
        <v>0.29599999999999999</v>
      </c>
      <c r="N61" s="3">
        <v>54329</v>
      </c>
      <c r="O61" s="3">
        <v>14135121697</v>
      </c>
      <c r="P61" s="3">
        <v>7410750</v>
      </c>
      <c r="Q61" s="3">
        <v>8880750</v>
      </c>
      <c r="R61" s="3">
        <v>8880750</v>
      </c>
      <c r="S61" s="3">
        <v>7070923</v>
      </c>
      <c r="T61" s="3">
        <v>6901078</v>
      </c>
      <c r="U61" s="3">
        <v>57588</v>
      </c>
      <c r="V61" s="3">
        <v>57340</v>
      </c>
      <c r="W61" s="3">
        <v>-0.43</v>
      </c>
      <c r="X61" s="34">
        <v>0</v>
      </c>
      <c r="Y61" s="35">
        <v>67375000</v>
      </c>
      <c r="Z61" s="34">
        <f t="shared" si="2"/>
        <v>1</v>
      </c>
      <c r="AA61" s="36">
        <f>67375000/67375000</f>
        <v>1</v>
      </c>
      <c r="AB61" s="7">
        <v>42573</v>
      </c>
    </row>
    <row r="62" spans="1:28" s="3" customFormat="1" x14ac:dyDescent="0.35">
      <c r="A62" s="4">
        <v>42237.624247685198</v>
      </c>
      <c r="B62" s="4">
        <v>42143</v>
      </c>
      <c r="C62" s="3" t="s">
        <v>22</v>
      </c>
      <c r="D62" s="30" t="s">
        <v>259</v>
      </c>
      <c r="E62" s="3" t="s">
        <v>261</v>
      </c>
      <c r="F62" s="27" t="s">
        <v>262</v>
      </c>
      <c r="G62" s="3" t="s">
        <v>255</v>
      </c>
      <c r="H62" s="3" t="s">
        <v>186</v>
      </c>
      <c r="I62" s="3" t="s">
        <v>263</v>
      </c>
      <c r="J62" s="3">
        <v>0</v>
      </c>
      <c r="K62" s="3">
        <v>0.20330000000000001</v>
      </c>
      <c r="L62" s="3">
        <v>0.20799999999999999</v>
      </c>
      <c r="M62" s="3">
        <v>0.29599999999999999</v>
      </c>
      <c r="N62" s="3">
        <v>54329</v>
      </c>
      <c r="O62" s="3">
        <v>14135121697</v>
      </c>
      <c r="P62" s="3">
        <v>12537462</v>
      </c>
      <c r="Q62" s="3">
        <v>16109662</v>
      </c>
      <c r="R62" s="3">
        <v>16109662</v>
      </c>
      <c r="S62" s="3">
        <v>7405880</v>
      </c>
      <c r="T62" s="3">
        <v>7449980</v>
      </c>
      <c r="U62" s="3">
        <v>57588</v>
      </c>
      <c r="V62" s="3">
        <v>57340</v>
      </c>
      <c r="W62" s="3">
        <v>-0.43</v>
      </c>
      <c r="X62" s="34">
        <v>0</v>
      </c>
      <c r="Y62" s="35">
        <v>175000000</v>
      </c>
      <c r="Z62" s="34">
        <f t="shared" si="2"/>
        <v>1</v>
      </c>
      <c r="AA62" s="36">
        <f>175000000/175000000</f>
        <v>1</v>
      </c>
      <c r="AB62" s="7">
        <v>42570</v>
      </c>
    </row>
    <row r="63" spans="1:28" s="3" customFormat="1" x14ac:dyDescent="0.35">
      <c r="A63" s="6"/>
      <c r="B63" s="6"/>
      <c r="C63" s="5"/>
      <c r="D63" s="31" t="s">
        <v>259</v>
      </c>
      <c r="E63" s="5" t="s">
        <v>782</v>
      </c>
      <c r="F63" s="28" t="s">
        <v>802</v>
      </c>
      <c r="G63" s="5" t="s">
        <v>781</v>
      </c>
      <c r="H63" s="5" t="s">
        <v>803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62425</v>
      </c>
      <c r="T63" s="5">
        <v>62425</v>
      </c>
      <c r="U63" s="5"/>
      <c r="V63" s="5"/>
      <c r="W63" s="5"/>
      <c r="X63" s="40">
        <v>0</v>
      </c>
      <c r="Y63" s="41">
        <v>12485000</v>
      </c>
      <c r="Z63" s="34">
        <f t="shared" si="2"/>
        <v>1</v>
      </c>
      <c r="AA63" s="42">
        <f>12485000/12485000</f>
        <v>1</v>
      </c>
      <c r="AB63" s="8">
        <v>42573</v>
      </c>
    </row>
    <row r="64" spans="1:28" s="3" customFormat="1" x14ac:dyDescent="0.35">
      <c r="A64" s="4">
        <v>40909</v>
      </c>
      <c r="B64" s="4">
        <v>40738</v>
      </c>
      <c r="C64" s="3" t="s">
        <v>22</v>
      </c>
      <c r="D64" s="30" t="s">
        <v>266</v>
      </c>
      <c r="E64" s="3" t="s">
        <v>50</v>
      </c>
      <c r="F64" s="27" t="s">
        <v>265</v>
      </c>
      <c r="G64" s="3" t="s">
        <v>264</v>
      </c>
      <c r="H64" s="3" t="s">
        <v>52</v>
      </c>
      <c r="I64" s="3" t="s">
        <v>267</v>
      </c>
      <c r="J64" s="3">
        <v>2990988</v>
      </c>
      <c r="K64" s="3">
        <v>0.39360000000000001</v>
      </c>
      <c r="L64" s="3">
        <v>0.28999999999999998</v>
      </c>
      <c r="M64" s="3">
        <v>0.30120000000000002</v>
      </c>
      <c r="N64" s="3">
        <v>27108.675999999999</v>
      </c>
      <c r="O64" s="3">
        <v>5041542555</v>
      </c>
      <c r="P64" s="3">
        <v>5277788</v>
      </c>
      <c r="Q64" s="3">
        <v>2990988</v>
      </c>
      <c r="R64" s="3">
        <v>5277788</v>
      </c>
      <c r="S64" s="3">
        <v>5000000</v>
      </c>
      <c r="T64" s="3">
        <v>5000000</v>
      </c>
      <c r="U64" s="3">
        <v>26415</v>
      </c>
      <c r="V64" s="3">
        <v>29214</v>
      </c>
      <c r="W64" s="3">
        <v>10.6</v>
      </c>
      <c r="X64" s="34">
        <v>0</v>
      </c>
      <c r="Y64" s="35">
        <v>45000000</v>
      </c>
      <c r="Z64" s="34">
        <f t="shared" ref="Z64:Z95" si="3">1-(X64/Y64)</f>
        <v>1</v>
      </c>
      <c r="AA64" s="36">
        <f>45000000/45000000</f>
        <v>1</v>
      </c>
      <c r="AB64" s="7">
        <v>42572</v>
      </c>
    </row>
    <row r="65" spans="1:28" s="3" customFormat="1" x14ac:dyDescent="0.35">
      <c r="A65" s="4">
        <v>41285.501851851899</v>
      </c>
      <c r="B65" s="4">
        <v>41222</v>
      </c>
      <c r="C65" s="3" t="s">
        <v>22</v>
      </c>
      <c r="D65" s="30" t="s">
        <v>266</v>
      </c>
      <c r="E65" s="3" t="s">
        <v>23</v>
      </c>
      <c r="F65" s="27" t="s">
        <v>268</v>
      </c>
      <c r="G65" s="3" t="s">
        <v>264</v>
      </c>
      <c r="H65" s="3" t="s">
        <v>25</v>
      </c>
      <c r="I65" s="3" t="s">
        <v>269</v>
      </c>
      <c r="J65" s="3">
        <v>688925</v>
      </c>
      <c r="K65" s="3">
        <v>0.39360000000000001</v>
      </c>
      <c r="L65" s="3">
        <v>0.28999999999999998</v>
      </c>
      <c r="M65" s="3">
        <v>0.30120000000000002</v>
      </c>
      <c r="N65" s="3">
        <v>27108.675999999999</v>
      </c>
      <c r="O65" s="3">
        <v>5041542555</v>
      </c>
      <c r="P65" s="3">
        <v>683475</v>
      </c>
      <c r="Q65" s="3">
        <v>688925</v>
      </c>
      <c r="R65" s="3">
        <v>688925</v>
      </c>
      <c r="S65" s="3">
        <v>1500000</v>
      </c>
      <c r="T65" s="3">
        <v>1500000</v>
      </c>
      <c r="U65" s="3">
        <v>26415</v>
      </c>
      <c r="V65" s="3">
        <v>29214</v>
      </c>
      <c r="W65" s="3">
        <v>10.6</v>
      </c>
      <c r="X65" s="34">
        <v>0</v>
      </c>
      <c r="Y65" s="35">
        <v>9100000</v>
      </c>
      <c r="Z65" s="34">
        <f t="shared" si="3"/>
        <v>1</v>
      </c>
      <c r="AA65" s="36">
        <f>9100000/9100000</f>
        <v>1</v>
      </c>
      <c r="AB65" s="7">
        <v>42572</v>
      </c>
    </row>
    <row r="66" spans="1:28" s="3" customFormat="1" x14ac:dyDescent="0.35">
      <c r="A66" s="4">
        <v>41337.387268518498</v>
      </c>
      <c r="B66" s="4">
        <v>41248</v>
      </c>
      <c r="C66" s="3" t="s">
        <v>22</v>
      </c>
      <c r="D66" s="30" t="s">
        <v>266</v>
      </c>
      <c r="E66" s="3" t="s">
        <v>35</v>
      </c>
      <c r="F66" s="27" t="s">
        <v>270</v>
      </c>
      <c r="G66" s="3" t="s">
        <v>264</v>
      </c>
      <c r="H66" s="3" t="s">
        <v>37</v>
      </c>
      <c r="I66" s="3" t="s">
        <v>271</v>
      </c>
      <c r="J66" s="3">
        <v>895050</v>
      </c>
      <c r="K66" s="3">
        <v>0.39360000000000001</v>
      </c>
      <c r="L66" s="3">
        <v>0.28999999999999998</v>
      </c>
      <c r="M66" s="3">
        <v>0.30120000000000002</v>
      </c>
      <c r="N66" s="3">
        <v>27108.675999999999</v>
      </c>
      <c r="O66" s="3">
        <v>5041542555</v>
      </c>
      <c r="P66" s="3">
        <v>1071200</v>
      </c>
      <c r="Q66" s="3">
        <v>895050</v>
      </c>
      <c r="R66" s="3">
        <v>1071200</v>
      </c>
      <c r="S66" s="3">
        <v>3000000</v>
      </c>
      <c r="T66" s="3">
        <v>2000000</v>
      </c>
      <c r="U66" s="3">
        <v>26415</v>
      </c>
      <c r="V66" s="3">
        <v>29214</v>
      </c>
      <c r="W66" s="3">
        <v>10.6</v>
      </c>
      <c r="X66" s="34">
        <v>0</v>
      </c>
      <c r="Y66" s="35">
        <v>15500000</v>
      </c>
      <c r="Z66" s="34">
        <f t="shared" si="3"/>
        <v>1</v>
      </c>
      <c r="AA66" s="36">
        <f>15500000/15500000</f>
        <v>1</v>
      </c>
      <c r="AB66" s="7">
        <v>42572</v>
      </c>
    </row>
    <row r="67" spans="1:28" s="3" customFormat="1" x14ac:dyDescent="0.35">
      <c r="A67" s="4">
        <v>42453.6401736111</v>
      </c>
      <c r="B67" s="4">
        <v>42396</v>
      </c>
      <c r="D67" s="30" t="s">
        <v>266</v>
      </c>
      <c r="E67" s="3" t="s">
        <v>74</v>
      </c>
      <c r="F67" s="27" t="s">
        <v>272</v>
      </c>
      <c r="G67" s="3" t="s">
        <v>264</v>
      </c>
      <c r="H67" s="3" t="s">
        <v>74</v>
      </c>
      <c r="I67" s="3" t="s">
        <v>273</v>
      </c>
      <c r="L67" s="3">
        <v>0.28999999999999998</v>
      </c>
      <c r="M67" s="3">
        <v>0.30120000000000002</v>
      </c>
      <c r="N67" s="3">
        <v>27108.675999999999</v>
      </c>
      <c r="O67" s="3">
        <v>5041542555</v>
      </c>
      <c r="P67" s="3">
        <v>1492547</v>
      </c>
      <c r="Q67" s="3">
        <v>5384850</v>
      </c>
      <c r="R67" s="3">
        <v>5384850</v>
      </c>
      <c r="S67" s="3">
        <v>4000000</v>
      </c>
      <c r="T67" s="3">
        <v>16000000</v>
      </c>
      <c r="U67" s="3">
        <v>26415</v>
      </c>
      <c r="V67" s="3">
        <v>29214</v>
      </c>
      <c r="W67" s="3">
        <v>10.6</v>
      </c>
      <c r="X67" s="34">
        <v>0</v>
      </c>
      <c r="Y67" s="35">
        <v>71000000</v>
      </c>
      <c r="Z67" s="34">
        <f t="shared" si="3"/>
        <v>1</v>
      </c>
      <c r="AA67" s="36">
        <f>71000000/71000000</f>
        <v>1</v>
      </c>
      <c r="AB67" s="7">
        <v>42571</v>
      </c>
    </row>
    <row r="68" spans="1:28" s="3" customFormat="1" x14ac:dyDescent="0.35">
      <c r="A68" s="4">
        <v>42263.389016203699</v>
      </c>
      <c r="B68" s="4">
        <v>42236</v>
      </c>
      <c r="C68" s="3" t="s">
        <v>22</v>
      </c>
      <c r="D68" s="30" t="s">
        <v>277</v>
      </c>
      <c r="E68" s="3" t="s">
        <v>275</v>
      </c>
      <c r="F68" s="27" t="s">
        <v>276</v>
      </c>
      <c r="G68" s="3" t="s">
        <v>274</v>
      </c>
      <c r="H68" s="3" t="s">
        <v>275</v>
      </c>
      <c r="I68" s="3" t="s">
        <v>278</v>
      </c>
      <c r="L68" s="3">
        <v>0.28999999999999998</v>
      </c>
      <c r="M68" s="3">
        <v>0.4496</v>
      </c>
      <c r="N68" s="3">
        <v>6703.43</v>
      </c>
      <c r="O68" s="3">
        <v>1727036677</v>
      </c>
      <c r="P68" s="3">
        <v>3167707</v>
      </c>
      <c r="Q68" s="3">
        <v>2764188</v>
      </c>
      <c r="R68" s="3">
        <v>3167707</v>
      </c>
      <c r="S68" s="3">
        <v>3151533.33</v>
      </c>
      <c r="T68" s="3">
        <v>2739200</v>
      </c>
      <c r="U68" s="3">
        <v>6252</v>
      </c>
      <c r="V68" s="3">
        <v>7314</v>
      </c>
      <c r="W68" s="3">
        <v>16.989999999999998</v>
      </c>
      <c r="X68" s="46">
        <v>0</v>
      </c>
      <c r="Y68" s="35">
        <v>51500000</v>
      </c>
      <c r="Z68" s="34">
        <f t="shared" si="3"/>
        <v>1</v>
      </c>
      <c r="AA68" s="36">
        <f>51500000/51500000</f>
        <v>1</v>
      </c>
      <c r="AB68" s="13">
        <v>42570</v>
      </c>
    </row>
    <row r="69" spans="1:28" s="3" customFormat="1" x14ac:dyDescent="0.35">
      <c r="A69" s="4">
        <v>42419.304305555597</v>
      </c>
      <c r="B69" s="4">
        <v>42304</v>
      </c>
      <c r="C69" s="3" t="s">
        <v>22</v>
      </c>
      <c r="D69" s="30" t="s">
        <v>283</v>
      </c>
      <c r="E69" s="3" t="s">
        <v>280</v>
      </c>
      <c r="F69" s="27" t="s">
        <v>281</v>
      </c>
      <c r="G69" s="3" t="s">
        <v>279</v>
      </c>
      <c r="H69" s="3" t="s">
        <v>282</v>
      </c>
      <c r="I69" s="3" t="s">
        <v>284</v>
      </c>
      <c r="J69" s="3">
        <v>0</v>
      </c>
      <c r="K69" s="3">
        <v>0.2432</v>
      </c>
      <c r="L69" s="3">
        <v>0.21060000000000001</v>
      </c>
      <c r="M69" s="3">
        <v>0.21060000000000001</v>
      </c>
      <c r="N69" s="3">
        <v>38645</v>
      </c>
      <c r="O69" s="3">
        <v>6182166337</v>
      </c>
      <c r="P69" s="3">
        <v>2491825</v>
      </c>
      <c r="Q69" s="3">
        <v>3437000</v>
      </c>
      <c r="R69" s="3">
        <v>3437000</v>
      </c>
      <c r="S69" s="3">
        <v>8688850</v>
      </c>
      <c r="T69" s="3">
        <v>7636550</v>
      </c>
      <c r="U69" s="3">
        <v>37601</v>
      </c>
      <c r="V69" s="3">
        <v>40664</v>
      </c>
      <c r="W69" s="3">
        <v>8.15</v>
      </c>
      <c r="X69" s="34">
        <v>11200000</v>
      </c>
      <c r="Y69" s="35">
        <v>100800000</v>
      </c>
      <c r="Z69" s="34">
        <f t="shared" si="3"/>
        <v>0.88888888888888884</v>
      </c>
      <c r="AA69" s="36">
        <f>100800000/112000000</f>
        <v>0.9</v>
      </c>
      <c r="AB69" s="7">
        <v>42570</v>
      </c>
    </row>
    <row r="70" spans="1:28" s="3" customFormat="1" x14ac:dyDescent="0.35">
      <c r="A70" s="4">
        <v>41222.381770833301</v>
      </c>
      <c r="B70" s="4">
        <v>40997</v>
      </c>
      <c r="C70" s="3" t="s">
        <v>22</v>
      </c>
      <c r="D70" s="30" t="s">
        <v>289</v>
      </c>
      <c r="E70" s="3" t="s">
        <v>286</v>
      </c>
      <c r="F70" s="27" t="s">
        <v>287</v>
      </c>
      <c r="G70" s="3" t="s">
        <v>285</v>
      </c>
      <c r="H70" s="3" t="s">
        <v>288</v>
      </c>
      <c r="I70" s="3" t="s">
        <v>290</v>
      </c>
      <c r="J70" s="3">
        <v>741200</v>
      </c>
      <c r="K70" s="3">
        <v>0.5615</v>
      </c>
      <c r="L70" s="3">
        <v>0.28999999999999998</v>
      </c>
      <c r="M70" s="3">
        <v>0.68059999999999998</v>
      </c>
      <c r="N70" s="3">
        <v>27360.195</v>
      </c>
      <c r="O70" s="3">
        <v>12667105436</v>
      </c>
      <c r="P70" s="3">
        <v>687200</v>
      </c>
      <c r="Q70" s="3">
        <v>687200</v>
      </c>
      <c r="R70" s="3">
        <v>687200</v>
      </c>
      <c r="S70" s="3">
        <v>1000000</v>
      </c>
      <c r="T70" s="3">
        <v>1000000</v>
      </c>
      <c r="U70" s="3">
        <v>23807</v>
      </c>
      <c r="V70" s="3">
        <v>27275</v>
      </c>
      <c r="W70" s="3">
        <v>14.57</v>
      </c>
      <c r="X70" s="34">
        <v>0</v>
      </c>
      <c r="Y70" s="35">
        <v>40000000</v>
      </c>
      <c r="Z70" s="34">
        <f t="shared" si="3"/>
        <v>1</v>
      </c>
      <c r="AA70" s="36">
        <f>40000000/40000000</f>
        <v>1</v>
      </c>
      <c r="AB70" s="7">
        <v>42572</v>
      </c>
    </row>
    <row r="71" spans="1:28" s="3" customFormat="1" x14ac:dyDescent="0.35">
      <c r="A71" s="4">
        <v>41222.398356481499</v>
      </c>
      <c r="B71" s="4">
        <v>41101</v>
      </c>
      <c r="C71" s="3" t="s">
        <v>22</v>
      </c>
      <c r="D71" s="30" t="s">
        <v>295</v>
      </c>
      <c r="E71" s="3" t="s">
        <v>292</v>
      </c>
      <c r="F71" s="27" t="s">
        <v>293</v>
      </c>
      <c r="G71" s="3" t="s">
        <v>291</v>
      </c>
      <c r="H71" s="3" t="s">
        <v>294</v>
      </c>
      <c r="I71" s="3" t="s">
        <v>296</v>
      </c>
      <c r="J71" s="3">
        <v>2156650</v>
      </c>
      <c r="K71" s="3">
        <v>0.52629999999999999</v>
      </c>
      <c r="L71" s="3">
        <v>0.28999999999999998</v>
      </c>
      <c r="M71" s="3">
        <v>0.42149999999999999</v>
      </c>
      <c r="N71" s="3">
        <v>6766.0630000000001</v>
      </c>
      <c r="O71" s="3">
        <v>2673026804</v>
      </c>
      <c r="P71" s="3">
        <v>2156650</v>
      </c>
      <c r="Q71" s="3">
        <v>2156650</v>
      </c>
      <c r="R71" s="3">
        <v>2156650</v>
      </c>
      <c r="S71" s="3">
        <v>2284400</v>
      </c>
      <c r="T71" s="3">
        <v>2284400</v>
      </c>
      <c r="U71" s="3">
        <v>6283</v>
      </c>
      <c r="V71" s="3">
        <v>7149</v>
      </c>
      <c r="W71" s="3">
        <v>13.78</v>
      </c>
      <c r="X71" s="46">
        <v>0</v>
      </c>
      <c r="Y71" s="35">
        <v>15000000</v>
      </c>
      <c r="Z71" s="34">
        <f t="shared" si="3"/>
        <v>1</v>
      </c>
      <c r="AA71" s="36">
        <f>15000000/15000000</f>
        <v>1</v>
      </c>
      <c r="AB71" s="7">
        <v>42572</v>
      </c>
    </row>
    <row r="72" spans="1:28" s="3" customFormat="1" x14ac:dyDescent="0.35">
      <c r="A72" s="4">
        <v>41583.354629629597</v>
      </c>
      <c r="B72" s="4">
        <v>41515</v>
      </c>
      <c r="C72" s="3" t="s">
        <v>22</v>
      </c>
      <c r="D72" s="30" t="s">
        <v>295</v>
      </c>
      <c r="E72" s="3" t="s">
        <v>297</v>
      </c>
      <c r="F72" s="27" t="s">
        <v>298</v>
      </c>
      <c r="G72" s="3" t="s">
        <v>291</v>
      </c>
      <c r="H72" s="3" t="s">
        <v>299</v>
      </c>
      <c r="I72" s="3" t="s">
        <v>300</v>
      </c>
      <c r="J72" s="3">
        <v>266575</v>
      </c>
      <c r="K72" s="3">
        <v>0.52629999999999999</v>
      </c>
      <c r="L72" s="3">
        <v>0.28999999999999998</v>
      </c>
      <c r="M72" s="3">
        <v>0.42149999999999999</v>
      </c>
      <c r="N72" s="3">
        <v>6766.0630000000001</v>
      </c>
      <c r="O72" s="3">
        <v>2673026804</v>
      </c>
      <c r="P72" s="3">
        <v>266575</v>
      </c>
      <c r="Q72" s="3">
        <v>266575</v>
      </c>
      <c r="R72" s="3">
        <v>266575</v>
      </c>
      <c r="S72" s="3">
        <v>852675</v>
      </c>
      <c r="T72" s="3">
        <v>852675</v>
      </c>
      <c r="U72" s="3">
        <v>6283</v>
      </c>
      <c r="V72" s="3">
        <v>7149</v>
      </c>
      <c r="W72" s="3">
        <v>13.78</v>
      </c>
      <c r="X72" s="46">
        <v>0</v>
      </c>
      <c r="Y72" s="35">
        <v>3000000</v>
      </c>
      <c r="Z72" s="34">
        <f t="shared" si="3"/>
        <v>1</v>
      </c>
      <c r="AA72" s="36">
        <f>3000000/3000000</f>
        <v>1</v>
      </c>
      <c r="AB72" s="7">
        <v>42572</v>
      </c>
    </row>
    <row r="73" spans="1:28" s="3" customFormat="1" x14ac:dyDescent="0.35">
      <c r="A73" s="4">
        <v>42536.352407407401</v>
      </c>
      <c r="B73" s="4">
        <v>42475</v>
      </c>
      <c r="D73" s="30" t="s">
        <v>295</v>
      </c>
      <c r="E73" s="3" t="s">
        <v>86</v>
      </c>
      <c r="F73" s="27" t="s">
        <v>301</v>
      </c>
      <c r="G73" s="3" t="s">
        <v>291</v>
      </c>
      <c r="H73" s="3" t="s">
        <v>86</v>
      </c>
      <c r="I73" s="3" t="s">
        <v>302</v>
      </c>
      <c r="L73" s="3">
        <v>0.28999999999999998</v>
      </c>
      <c r="M73" s="3">
        <v>0.42149999999999999</v>
      </c>
      <c r="N73" s="3">
        <v>6766.0630000000001</v>
      </c>
      <c r="O73" s="3">
        <v>2673026804</v>
      </c>
      <c r="P73" s="3">
        <v>342985</v>
      </c>
      <c r="Q73" s="3">
        <v>3165750</v>
      </c>
      <c r="R73" s="3">
        <v>3165750</v>
      </c>
      <c r="S73" s="3">
        <v>692315</v>
      </c>
      <c r="T73" s="3">
        <v>3306250</v>
      </c>
      <c r="U73" s="3">
        <v>6283</v>
      </c>
      <c r="V73" s="3">
        <v>7149</v>
      </c>
      <c r="W73" s="3">
        <v>13.78</v>
      </c>
      <c r="X73" s="39">
        <v>4000000</v>
      </c>
      <c r="Y73" s="38">
        <v>17000000</v>
      </c>
      <c r="Z73" s="34">
        <f t="shared" si="3"/>
        <v>0.76470588235294112</v>
      </c>
      <c r="AA73" s="47">
        <f>17000000/21000000</f>
        <v>0.80952380952380953</v>
      </c>
      <c r="AB73" s="7">
        <v>42571</v>
      </c>
    </row>
    <row r="74" spans="1:28" s="3" customFormat="1" x14ac:dyDescent="0.35">
      <c r="A74" s="4">
        <v>42263.389016203699</v>
      </c>
      <c r="B74" s="4">
        <v>42205.4375</v>
      </c>
      <c r="C74" s="3" t="s">
        <v>304</v>
      </c>
      <c r="D74" s="30" t="s">
        <v>306</v>
      </c>
      <c r="E74" s="3" t="s">
        <v>194</v>
      </c>
      <c r="F74" s="27" t="s">
        <v>305</v>
      </c>
      <c r="G74" s="3" t="s">
        <v>303</v>
      </c>
      <c r="H74" s="3" t="s">
        <v>126</v>
      </c>
      <c r="I74" s="3" t="s">
        <v>307</v>
      </c>
      <c r="J74" s="3">
        <v>0</v>
      </c>
      <c r="K74" s="3">
        <v>5.4000000000000003E-3</v>
      </c>
      <c r="L74" s="3">
        <v>5.4000000000000003E-3</v>
      </c>
      <c r="M74" s="3">
        <v>0.18540000000000001</v>
      </c>
      <c r="N74" s="3">
        <v>491.28</v>
      </c>
      <c r="O74" s="3">
        <v>97482945</v>
      </c>
      <c r="P74" s="3">
        <v>325550</v>
      </c>
      <c r="Q74" s="3">
        <v>344550</v>
      </c>
      <c r="R74" s="3">
        <v>344550</v>
      </c>
      <c r="S74" s="3">
        <v>361773</v>
      </c>
      <c r="T74" s="3">
        <v>356598</v>
      </c>
      <c r="U74" s="3">
        <v>613</v>
      </c>
      <c r="V74" s="3">
        <v>555</v>
      </c>
      <c r="W74" s="3">
        <v>-9.4600000000000009</v>
      </c>
      <c r="X74" s="34">
        <v>2450000</v>
      </c>
      <c r="Y74" s="35">
        <v>6050000</v>
      </c>
      <c r="Z74" s="34">
        <f t="shared" si="3"/>
        <v>0.5950413223140496</v>
      </c>
      <c r="AA74" s="36">
        <f>6050000/8500000</f>
        <v>0.71176470588235297</v>
      </c>
      <c r="AB74" s="7">
        <v>42570</v>
      </c>
    </row>
    <row r="75" spans="1:28" s="3" customFormat="1" x14ac:dyDescent="0.35">
      <c r="A75" s="4">
        <v>40909</v>
      </c>
      <c r="B75" s="4">
        <v>40774</v>
      </c>
      <c r="C75" s="3" t="s">
        <v>22</v>
      </c>
      <c r="D75" s="30" t="s">
        <v>312</v>
      </c>
      <c r="E75" s="3" t="s">
        <v>309</v>
      </c>
      <c r="F75" s="27" t="s">
        <v>310</v>
      </c>
      <c r="G75" s="3" t="s">
        <v>308</v>
      </c>
      <c r="H75" s="3" t="s">
        <v>311</v>
      </c>
      <c r="I75" s="3" t="s">
        <v>313</v>
      </c>
      <c r="J75" s="3">
        <v>1346462</v>
      </c>
      <c r="K75" s="3">
        <v>0.59599999999999997</v>
      </c>
      <c r="L75" s="3">
        <v>0.28999999999999998</v>
      </c>
      <c r="M75" s="3">
        <v>0.56969999999999998</v>
      </c>
      <c r="N75" s="3">
        <v>8018.95</v>
      </c>
      <c r="O75" s="3">
        <v>3192551753</v>
      </c>
      <c r="P75" s="3">
        <v>1214838</v>
      </c>
      <c r="Q75" s="3">
        <v>1346462</v>
      </c>
      <c r="R75" s="3">
        <v>1346462</v>
      </c>
      <c r="S75" s="3">
        <v>1266225</v>
      </c>
      <c r="T75" s="3">
        <v>1459031.25</v>
      </c>
      <c r="U75" s="3">
        <v>7540</v>
      </c>
      <c r="V75" s="3">
        <v>8125</v>
      </c>
      <c r="W75" s="3">
        <v>7.76</v>
      </c>
      <c r="X75" s="34">
        <v>0</v>
      </c>
      <c r="Y75" s="35">
        <v>26800000</v>
      </c>
      <c r="Z75" s="34">
        <f t="shared" si="3"/>
        <v>1</v>
      </c>
      <c r="AA75" s="36">
        <f>26800000/26800000</f>
        <v>1</v>
      </c>
      <c r="AB75" s="7">
        <v>42573</v>
      </c>
    </row>
    <row r="76" spans="1:28" s="3" customFormat="1" x14ac:dyDescent="0.35">
      <c r="A76" s="4">
        <v>40909</v>
      </c>
      <c r="B76" s="4">
        <v>40715</v>
      </c>
      <c r="C76" s="3" t="s">
        <v>22</v>
      </c>
      <c r="D76" s="30" t="s">
        <v>317</v>
      </c>
      <c r="E76" s="3" t="s">
        <v>144</v>
      </c>
      <c r="F76" s="27" t="s">
        <v>315</v>
      </c>
      <c r="G76" s="3" t="s">
        <v>314</v>
      </c>
      <c r="H76" s="3" t="s">
        <v>316</v>
      </c>
      <c r="I76" s="3" t="s">
        <v>318</v>
      </c>
      <c r="J76" s="3">
        <v>1230431</v>
      </c>
      <c r="K76" s="3">
        <v>0.27110000000000001</v>
      </c>
      <c r="L76" s="3">
        <v>0.27529999999999999</v>
      </c>
      <c r="M76" s="3">
        <v>0.52990000000000004</v>
      </c>
      <c r="N76" s="3">
        <v>7978.6130000000003</v>
      </c>
      <c r="O76" s="3">
        <v>3105797085</v>
      </c>
      <c r="P76" s="3">
        <v>1228031</v>
      </c>
      <c r="Q76" s="3">
        <v>1230431</v>
      </c>
      <c r="R76" s="3">
        <v>1230431</v>
      </c>
      <c r="S76" s="3">
        <v>1000000</v>
      </c>
      <c r="T76" s="3">
        <v>1000000</v>
      </c>
      <c r="U76" s="3">
        <v>7373</v>
      </c>
      <c r="V76" s="3">
        <v>8103</v>
      </c>
      <c r="W76" s="3">
        <v>9.9</v>
      </c>
      <c r="X76" s="34">
        <v>0</v>
      </c>
      <c r="Y76" s="35">
        <v>2500000</v>
      </c>
      <c r="Z76" s="34">
        <f t="shared" si="3"/>
        <v>1</v>
      </c>
      <c r="AA76" s="36">
        <f>2500000/2500000</f>
        <v>1</v>
      </c>
      <c r="AB76" s="7">
        <v>42572</v>
      </c>
    </row>
    <row r="77" spans="1:28" s="3" customFormat="1" x14ac:dyDescent="0.35">
      <c r="A77" s="4">
        <v>42263.389016203699</v>
      </c>
      <c r="B77" s="4">
        <v>42185.416666666701</v>
      </c>
      <c r="D77" s="30" t="s">
        <v>317</v>
      </c>
      <c r="E77" s="3" t="s">
        <v>126</v>
      </c>
      <c r="F77" s="27" t="s">
        <v>319</v>
      </c>
      <c r="G77" s="3" t="s">
        <v>314</v>
      </c>
      <c r="H77" s="3" t="s">
        <v>126</v>
      </c>
      <c r="I77" s="3" t="s">
        <v>320</v>
      </c>
      <c r="L77" s="3">
        <v>0.27529999999999999</v>
      </c>
      <c r="M77" s="3">
        <v>0.52990000000000004</v>
      </c>
      <c r="N77" s="3">
        <v>7978.6130000000003</v>
      </c>
      <c r="O77" s="3">
        <v>3105797085</v>
      </c>
      <c r="P77" s="3">
        <v>3868950</v>
      </c>
      <c r="Q77" s="3">
        <v>3280450</v>
      </c>
      <c r="R77" s="3">
        <v>3868950</v>
      </c>
      <c r="S77" s="3">
        <v>7800000</v>
      </c>
      <c r="T77" s="3">
        <v>780000</v>
      </c>
      <c r="U77" s="3">
        <v>7373</v>
      </c>
      <c r="V77" s="3">
        <v>8103</v>
      </c>
      <c r="W77" s="3">
        <v>9.9</v>
      </c>
      <c r="X77" s="34">
        <v>0</v>
      </c>
      <c r="Y77" s="35">
        <v>75000000</v>
      </c>
      <c r="Z77" s="34">
        <f t="shared" si="3"/>
        <v>1</v>
      </c>
      <c r="AA77" s="36">
        <f>75000000/75000000</f>
        <v>1</v>
      </c>
      <c r="AB77" s="7">
        <v>42570</v>
      </c>
    </row>
    <row r="78" spans="1:28" s="3" customFormat="1" x14ac:dyDescent="0.35">
      <c r="A78" s="4">
        <v>42536.352407407401</v>
      </c>
      <c r="B78" s="4">
        <v>42424</v>
      </c>
      <c r="D78" s="30" t="s">
        <v>317</v>
      </c>
      <c r="E78" s="3" t="s">
        <v>74</v>
      </c>
      <c r="F78" s="27" t="s">
        <v>321</v>
      </c>
      <c r="G78" s="3" t="s">
        <v>314</v>
      </c>
      <c r="H78" s="3" t="s">
        <v>74</v>
      </c>
      <c r="I78" s="3" t="s">
        <v>322</v>
      </c>
      <c r="L78" s="3">
        <v>0.27529999999999999</v>
      </c>
      <c r="M78" s="3">
        <v>0.52990000000000004</v>
      </c>
      <c r="N78" s="3">
        <v>7978.6130000000003</v>
      </c>
      <c r="O78" s="3">
        <v>3105797085</v>
      </c>
      <c r="P78" s="3">
        <v>888682</v>
      </c>
      <c r="Q78" s="3">
        <v>2217240</v>
      </c>
      <c r="R78" s="3">
        <v>2217240</v>
      </c>
      <c r="S78" s="3">
        <v>2000000</v>
      </c>
      <c r="T78" s="3">
        <v>7500000</v>
      </c>
      <c r="U78" s="3">
        <v>7373</v>
      </c>
      <c r="V78" s="3">
        <v>8103</v>
      </c>
      <c r="W78" s="3">
        <v>9.9</v>
      </c>
      <c r="X78" s="34">
        <v>0</v>
      </c>
      <c r="Y78" s="35">
        <v>50000000</v>
      </c>
      <c r="Z78" s="34">
        <f t="shared" si="3"/>
        <v>1</v>
      </c>
      <c r="AA78" s="36">
        <f>50000000/50000000</f>
        <v>1</v>
      </c>
      <c r="AB78" s="7">
        <v>42571</v>
      </c>
    </row>
    <row r="79" spans="1:28" s="63" customFormat="1" x14ac:dyDescent="0.35">
      <c r="A79" s="64">
        <v>42151.581064814804</v>
      </c>
      <c r="B79" s="64">
        <v>42080</v>
      </c>
      <c r="C79" s="61" t="s">
        <v>152</v>
      </c>
      <c r="D79" s="72" t="s">
        <v>325</v>
      </c>
      <c r="E79" s="61" t="s">
        <v>194</v>
      </c>
      <c r="F79" s="70" t="s">
        <v>324</v>
      </c>
      <c r="G79" s="61" t="s">
        <v>323</v>
      </c>
      <c r="H79" s="61" t="s">
        <v>60</v>
      </c>
      <c r="I79" s="61" t="s">
        <v>326</v>
      </c>
      <c r="J79" s="61">
        <v>998700</v>
      </c>
      <c r="K79" s="61">
        <v>0.1196</v>
      </c>
      <c r="L79" s="61">
        <v>0.1198</v>
      </c>
      <c r="M79" s="61">
        <v>0.21190000000000001</v>
      </c>
      <c r="N79" s="61">
        <v>11194.478999999999</v>
      </c>
      <c r="O79" s="61">
        <v>1029243291</v>
      </c>
      <c r="P79" s="61">
        <v>998700</v>
      </c>
      <c r="Q79" s="61">
        <v>998700</v>
      </c>
      <c r="R79" s="61">
        <v>998700</v>
      </c>
      <c r="S79" s="61">
        <v>4000000</v>
      </c>
      <c r="T79" s="61">
        <v>4000000</v>
      </c>
      <c r="U79" s="61">
        <v>11547</v>
      </c>
      <c r="V79" s="61">
        <v>11594</v>
      </c>
      <c r="W79" s="61">
        <v>0.41</v>
      </c>
      <c r="X79" s="43">
        <v>29201067</v>
      </c>
      <c r="Y79" s="73">
        <v>84118000</v>
      </c>
      <c r="Z79" s="43">
        <f t="shared" si="3"/>
        <v>0.65285590480039946</v>
      </c>
      <c r="AA79" s="74">
        <f>54916933/84118000</f>
        <v>0.65285590480039946</v>
      </c>
      <c r="AB79" s="69">
        <v>42570</v>
      </c>
    </row>
    <row r="80" spans="1:28" s="61" customFormat="1" x14ac:dyDescent="0.35">
      <c r="A80" s="64">
        <v>42453.6401736111</v>
      </c>
      <c r="B80" s="64">
        <v>42376</v>
      </c>
      <c r="D80" s="72" t="s">
        <v>329</v>
      </c>
      <c r="E80" s="61" t="s">
        <v>74</v>
      </c>
      <c r="F80" s="70" t="s">
        <v>328</v>
      </c>
      <c r="G80" s="61" t="s">
        <v>327</v>
      </c>
      <c r="H80" s="61" t="s">
        <v>74</v>
      </c>
      <c r="I80" s="61" t="s">
        <v>330</v>
      </c>
      <c r="L80" s="61">
        <v>0.1162</v>
      </c>
      <c r="M80" s="61">
        <v>0.1162</v>
      </c>
      <c r="N80" s="61">
        <v>38960</v>
      </c>
      <c r="O80" s="61">
        <v>6761790570</v>
      </c>
      <c r="P80" s="61">
        <v>5569667</v>
      </c>
      <c r="Q80" s="61">
        <v>10780000</v>
      </c>
      <c r="R80" s="61">
        <v>10780000</v>
      </c>
      <c r="S80" s="61">
        <v>6243000</v>
      </c>
      <c r="T80" s="61">
        <v>12486000</v>
      </c>
      <c r="U80" s="61">
        <v>44456</v>
      </c>
      <c r="V80" s="61">
        <v>42007</v>
      </c>
      <c r="W80" s="61">
        <v>-5.51</v>
      </c>
      <c r="X80" s="84">
        <v>20090302</v>
      </c>
      <c r="Y80" s="85">
        <v>250000000</v>
      </c>
      <c r="Z80" s="43">
        <f t="shared" si="3"/>
        <v>0.91963879199999998</v>
      </c>
      <c r="AA80" s="74">
        <f>229909698/250000000</f>
        <v>0.91963879199999998</v>
      </c>
      <c r="AB80" s="69">
        <v>42571</v>
      </c>
    </row>
    <row r="81" spans="1:28" s="5" customFormat="1" x14ac:dyDescent="0.35">
      <c r="A81" s="4">
        <v>40909</v>
      </c>
      <c r="B81" s="4">
        <v>40759</v>
      </c>
      <c r="C81" s="3" t="s">
        <v>152</v>
      </c>
      <c r="D81" s="30" t="s">
        <v>335</v>
      </c>
      <c r="E81" s="3" t="s">
        <v>332</v>
      </c>
      <c r="F81" s="27" t="s">
        <v>333</v>
      </c>
      <c r="G81" s="3" t="s">
        <v>331</v>
      </c>
      <c r="H81" s="3" t="s">
        <v>334</v>
      </c>
      <c r="I81" s="3" t="s">
        <v>336</v>
      </c>
      <c r="J81" s="3">
        <v>1444350</v>
      </c>
      <c r="K81" s="3">
        <v>0.30819999999999997</v>
      </c>
      <c r="L81" s="3">
        <v>0.28999999999999998</v>
      </c>
      <c r="M81" s="3">
        <v>0.30709999999999998</v>
      </c>
      <c r="N81" s="3">
        <v>5731.6450000000004</v>
      </c>
      <c r="O81" s="3">
        <v>1740659821</v>
      </c>
      <c r="P81" s="3">
        <v>1361100</v>
      </c>
      <c r="Q81" s="3">
        <v>1444350</v>
      </c>
      <c r="R81" s="3">
        <v>1444350</v>
      </c>
      <c r="S81" s="3">
        <v>1371586</v>
      </c>
      <c r="T81" s="3">
        <v>1470586</v>
      </c>
      <c r="U81" s="3">
        <v>5914</v>
      </c>
      <c r="V81" s="3">
        <v>5938</v>
      </c>
      <c r="W81" s="3">
        <v>0.41</v>
      </c>
      <c r="X81" s="34">
        <v>4625000</v>
      </c>
      <c r="Y81" s="35">
        <v>22036000</v>
      </c>
      <c r="Z81" s="34">
        <f t="shared" si="3"/>
        <v>0.7901161735342167</v>
      </c>
      <c r="AA81" s="36">
        <f>22036000/26661000</f>
        <v>0.82652563669779833</v>
      </c>
      <c r="AB81" s="7">
        <v>42573</v>
      </c>
    </row>
    <row r="82" spans="1:28" s="3" customFormat="1" x14ac:dyDescent="0.35">
      <c r="A82" s="4">
        <v>41488.491990740702</v>
      </c>
      <c r="B82" s="4">
        <v>41431</v>
      </c>
      <c r="C82" s="3" t="s">
        <v>152</v>
      </c>
      <c r="D82" s="30" t="s">
        <v>335</v>
      </c>
      <c r="E82" s="3" t="s">
        <v>35</v>
      </c>
      <c r="F82" s="27" t="s">
        <v>337</v>
      </c>
      <c r="G82" s="3" t="s">
        <v>331</v>
      </c>
      <c r="H82" s="3" t="s">
        <v>37</v>
      </c>
      <c r="I82" s="3" t="s">
        <v>338</v>
      </c>
      <c r="J82" s="3">
        <v>938644</v>
      </c>
      <c r="K82" s="3">
        <v>0.30819999999999997</v>
      </c>
      <c r="L82" s="3">
        <v>0.28999999999999998</v>
      </c>
      <c r="M82" s="3">
        <v>0.30709999999999998</v>
      </c>
      <c r="N82" s="3">
        <v>5731.6450000000004</v>
      </c>
      <c r="O82" s="3">
        <v>1740659821</v>
      </c>
      <c r="P82" s="3">
        <v>938644</v>
      </c>
      <c r="Q82" s="3">
        <v>938644</v>
      </c>
      <c r="R82" s="3">
        <v>938644</v>
      </c>
      <c r="S82" s="3">
        <v>1015950</v>
      </c>
      <c r="T82" s="3">
        <v>1015950</v>
      </c>
      <c r="U82" s="3">
        <v>5914</v>
      </c>
      <c r="V82" s="3">
        <v>5938</v>
      </c>
      <c r="W82" s="3">
        <v>0.41</v>
      </c>
      <c r="X82" s="34">
        <v>0</v>
      </c>
      <c r="Y82" s="35">
        <v>2195000</v>
      </c>
      <c r="Z82" s="34">
        <f t="shared" si="3"/>
        <v>1</v>
      </c>
      <c r="AA82" s="36">
        <f>21950000/21950000</f>
        <v>1</v>
      </c>
      <c r="AB82" s="7">
        <v>42572</v>
      </c>
    </row>
    <row r="83" spans="1:28" s="61" customFormat="1" x14ac:dyDescent="0.35">
      <c r="A83" s="64">
        <v>42536.352407407401</v>
      </c>
      <c r="B83" s="64">
        <v>42570</v>
      </c>
      <c r="D83" s="72" t="s">
        <v>341</v>
      </c>
      <c r="E83" s="61" t="s">
        <v>72</v>
      </c>
      <c r="F83" s="62" t="s">
        <v>1226</v>
      </c>
      <c r="G83" s="61" t="s">
        <v>339</v>
      </c>
      <c r="H83" s="61" t="s">
        <v>74</v>
      </c>
      <c r="I83" s="61" t="s">
        <v>342</v>
      </c>
      <c r="L83" s="61">
        <v>5.4300000000000001E-2</v>
      </c>
      <c r="M83" s="61">
        <v>6.8900000000000003E-2</v>
      </c>
      <c r="N83" s="61">
        <v>1272.4000000000001</v>
      </c>
      <c r="O83" s="61">
        <v>61978391</v>
      </c>
      <c r="S83" s="61">
        <v>5901</v>
      </c>
      <c r="T83" s="61">
        <v>283267</v>
      </c>
      <c r="U83" s="61">
        <v>1342</v>
      </c>
      <c r="V83" s="61">
        <v>1192</v>
      </c>
      <c r="W83" s="61">
        <v>-11.18</v>
      </c>
      <c r="X83" s="93">
        <v>4226200</v>
      </c>
      <c r="Y83" s="94">
        <v>9605000</v>
      </c>
      <c r="Z83" s="43">
        <f t="shared" si="3"/>
        <v>0.56000000000000005</v>
      </c>
      <c r="AA83" s="95">
        <f>5378800/9605000</f>
        <v>0.56000000000000005</v>
      </c>
      <c r="AB83" s="69">
        <v>42571</v>
      </c>
    </row>
    <row r="84" spans="1:28" s="61" customFormat="1" x14ac:dyDescent="0.35">
      <c r="A84" s="64">
        <v>40997</v>
      </c>
      <c r="B84" s="64">
        <v>40757</v>
      </c>
      <c r="C84" s="61" t="s">
        <v>152</v>
      </c>
      <c r="D84" s="72" t="s">
        <v>345</v>
      </c>
      <c r="E84" s="61" t="s">
        <v>332</v>
      </c>
      <c r="F84" s="70" t="s">
        <v>344</v>
      </c>
      <c r="G84" s="61" t="s">
        <v>343</v>
      </c>
      <c r="H84" s="61" t="s">
        <v>334</v>
      </c>
      <c r="I84" s="61" t="s">
        <v>346</v>
      </c>
      <c r="J84" s="61">
        <v>2485275</v>
      </c>
      <c r="K84" s="61">
        <v>0.23069999999999999</v>
      </c>
      <c r="L84" s="61">
        <v>0.22650000000000001</v>
      </c>
      <c r="M84" s="61">
        <v>0.22650000000000001</v>
      </c>
      <c r="N84" s="61">
        <v>42877.5</v>
      </c>
      <c r="O84" s="61">
        <v>8581906912</v>
      </c>
      <c r="P84" s="61">
        <v>2488725</v>
      </c>
      <c r="Q84" s="61">
        <v>2485275</v>
      </c>
      <c r="R84" s="61">
        <v>2488725</v>
      </c>
      <c r="S84" s="61">
        <v>2568759</v>
      </c>
      <c r="T84" s="61">
        <v>2566359</v>
      </c>
      <c r="U84" s="61">
        <v>42285</v>
      </c>
      <c r="V84" s="61">
        <v>45078</v>
      </c>
      <c r="W84" s="61">
        <v>6.61</v>
      </c>
      <c r="X84" s="43">
        <v>2378531</v>
      </c>
      <c r="Y84" s="73">
        <v>50400000</v>
      </c>
      <c r="Z84" s="43">
        <f t="shared" si="3"/>
        <v>0.95280692460317462</v>
      </c>
      <c r="AA84" s="74">
        <f>48021469/50400000</f>
        <v>0.95280692460317462</v>
      </c>
      <c r="AB84" s="69">
        <v>42573</v>
      </c>
    </row>
    <row r="85" spans="1:28" s="63" customFormat="1" x14ac:dyDescent="0.35">
      <c r="A85" s="64">
        <v>41222.393333333297</v>
      </c>
      <c r="B85" s="64">
        <v>41072</v>
      </c>
      <c r="C85" s="61" t="s">
        <v>152</v>
      </c>
      <c r="D85" s="72" t="s">
        <v>345</v>
      </c>
      <c r="E85" s="61" t="s">
        <v>347</v>
      </c>
      <c r="F85" s="70" t="s">
        <v>348</v>
      </c>
      <c r="G85" s="61" t="s">
        <v>343</v>
      </c>
      <c r="H85" s="61" t="s">
        <v>25</v>
      </c>
      <c r="I85" s="61" t="s">
        <v>349</v>
      </c>
      <c r="J85" s="61">
        <v>6468500</v>
      </c>
      <c r="K85" s="61">
        <v>0.23069999999999999</v>
      </c>
      <c r="L85" s="61">
        <v>0.22650000000000001</v>
      </c>
      <c r="M85" s="61">
        <v>0.22650000000000001</v>
      </c>
      <c r="N85" s="61">
        <v>42877.5</v>
      </c>
      <c r="O85" s="61">
        <v>8581906912</v>
      </c>
      <c r="P85" s="61">
        <v>6468500</v>
      </c>
      <c r="Q85" s="61">
        <v>6468500</v>
      </c>
      <c r="R85" s="61">
        <v>6468500</v>
      </c>
      <c r="S85" s="61">
        <v>7283178</v>
      </c>
      <c r="T85" s="61">
        <v>7283178</v>
      </c>
      <c r="U85" s="61">
        <v>42285</v>
      </c>
      <c r="V85" s="61">
        <v>45078</v>
      </c>
      <c r="W85" s="61">
        <v>6.61</v>
      </c>
      <c r="X85" s="43">
        <v>20323229</v>
      </c>
      <c r="Y85" s="73">
        <v>147000000</v>
      </c>
      <c r="Z85" s="43">
        <f t="shared" si="3"/>
        <v>0.86174674149659869</v>
      </c>
      <c r="AA85" s="74">
        <f>126676771/147000000</f>
        <v>0.86174674149659869</v>
      </c>
      <c r="AB85" s="69">
        <v>42572</v>
      </c>
    </row>
    <row r="86" spans="1:28" s="61" customFormat="1" x14ac:dyDescent="0.35">
      <c r="A86" s="64">
        <v>41488.491990740702</v>
      </c>
      <c r="B86" s="64">
        <v>41450</v>
      </c>
      <c r="C86" s="61" t="s">
        <v>152</v>
      </c>
      <c r="D86" s="72" t="s">
        <v>345</v>
      </c>
      <c r="E86" s="61" t="s">
        <v>350</v>
      </c>
      <c r="F86" s="70" t="s">
        <v>351</v>
      </c>
      <c r="G86" s="61" t="s">
        <v>343</v>
      </c>
      <c r="H86" s="61" t="s">
        <v>352</v>
      </c>
      <c r="I86" s="61" t="s">
        <v>353</v>
      </c>
      <c r="J86" s="61">
        <v>4764500</v>
      </c>
      <c r="K86" s="61">
        <v>0.23069999999999999</v>
      </c>
      <c r="L86" s="61">
        <v>0.22650000000000001</v>
      </c>
      <c r="M86" s="61">
        <v>0.22650000000000001</v>
      </c>
      <c r="N86" s="61">
        <v>42877.5</v>
      </c>
      <c r="O86" s="61">
        <v>8581906912</v>
      </c>
      <c r="P86" s="61">
        <v>4764500</v>
      </c>
      <c r="Q86" s="61">
        <v>4764500</v>
      </c>
      <c r="R86" s="61">
        <v>4764500</v>
      </c>
      <c r="S86" s="61">
        <v>5000000</v>
      </c>
      <c r="T86" s="61">
        <v>5000000</v>
      </c>
      <c r="U86" s="61">
        <v>42285</v>
      </c>
      <c r="V86" s="61">
        <v>45078</v>
      </c>
      <c r="W86" s="61">
        <v>6.61</v>
      </c>
      <c r="X86" s="43">
        <v>8903244</v>
      </c>
      <c r="Y86" s="73">
        <v>100000000</v>
      </c>
      <c r="Z86" s="43">
        <f t="shared" si="3"/>
        <v>0.91096756000000001</v>
      </c>
      <c r="AA86" s="74">
        <f>91096756/100000000</f>
        <v>0.91096756000000001</v>
      </c>
      <c r="AB86" s="69">
        <v>42572</v>
      </c>
    </row>
    <row r="87" spans="1:28" s="3" customFormat="1" x14ac:dyDescent="0.35">
      <c r="A87" s="4">
        <v>41222.398356481499</v>
      </c>
      <c r="B87" s="4">
        <v>41120</v>
      </c>
      <c r="C87" s="3" t="s">
        <v>22</v>
      </c>
      <c r="D87" s="30" t="s">
        <v>358</v>
      </c>
      <c r="E87" s="3" t="s">
        <v>355</v>
      </c>
      <c r="F87" s="27" t="s">
        <v>356</v>
      </c>
      <c r="G87" s="3" t="s">
        <v>354</v>
      </c>
      <c r="H87" s="3" t="s">
        <v>357</v>
      </c>
      <c r="I87" s="3" t="s">
        <v>359</v>
      </c>
      <c r="L87" s="3">
        <v>0.15509999999999999</v>
      </c>
      <c r="M87" s="3">
        <v>0.15509999999999999</v>
      </c>
      <c r="N87" s="3">
        <v>3623.623</v>
      </c>
      <c r="O87" s="3">
        <v>1464557035</v>
      </c>
      <c r="P87" s="3">
        <v>728450</v>
      </c>
      <c r="Q87" s="3">
        <v>728450</v>
      </c>
      <c r="R87" s="3">
        <v>728450</v>
      </c>
      <c r="S87" s="3">
        <v>620081.26</v>
      </c>
      <c r="T87" s="3">
        <v>620081.26</v>
      </c>
      <c r="U87" s="3">
        <v>3623</v>
      </c>
      <c r="V87" s="3">
        <v>3675</v>
      </c>
      <c r="W87" s="3">
        <v>1.44</v>
      </c>
      <c r="X87" s="34">
        <v>0</v>
      </c>
      <c r="Y87" s="35">
        <v>17425000</v>
      </c>
      <c r="Z87" s="34">
        <f t="shared" si="3"/>
        <v>1</v>
      </c>
      <c r="AA87" s="36">
        <f>17425000/17425000</f>
        <v>1</v>
      </c>
      <c r="AB87" s="7">
        <v>42572</v>
      </c>
    </row>
    <row r="88" spans="1:28" s="3" customFormat="1" x14ac:dyDescent="0.35">
      <c r="A88" s="4">
        <v>41222.398356481499</v>
      </c>
      <c r="B88" s="4">
        <v>41113.458333333299</v>
      </c>
      <c r="C88" s="3" t="s">
        <v>22</v>
      </c>
      <c r="D88" s="30" t="s">
        <v>362</v>
      </c>
      <c r="E88" s="3" t="s">
        <v>45</v>
      </c>
      <c r="F88" s="27" t="s">
        <v>361</v>
      </c>
      <c r="G88" s="3" t="s">
        <v>360</v>
      </c>
      <c r="H88" s="3" t="s">
        <v>25</v>
      </c>
      <c r="I88" s="3" t="s">
        <v>363</v>
      </c>
      <c r="J88" s="3">
        <v>352788</v>
      </c>
      <c r="K88" s="3">
        <v>0.15809999999999999</v>
      </c>
      <c r="L88" s="3">
        <v>0.1477</v>
      </c>
      <c r="M88" s="3">
        <v>0.1477</v>
      </c>
      <c r="N88" s="3">
        <v>1806.825</v>
      </c>
      <c r="O88" s="3">
        <v>576567816</v>
      </c>
      <c r="P88" s="3">
        <v>351288</v>
      </c>
      <c r="Q88" s="3">
        <v>352788</v>
      </c>
      <c r="R88" s="3">
        <v>352788</v>
      </c>
      <c r="S88" s="3">
        <v>400000</v>
      </c>
      <c r="T88" s="3">
        <v>400000</v>
      </c>
      <c r="U88" s="3">
        <v>1909</v>
      </c>
      <c r="V88" s="3">
        <v>1865</v>
      </c>
      <c r="W88" s="3">
        <v>-2.2999999999999998</v>
      </c>
      <c r="X88" s="34">
        <v>0</v>
      </c>
      <c r="Y88" s="35">
        <v>7000000</v>
      </c>
      <c r="Z88" s="34">
        <f t="shared" si="3"/>
        <v>1</v>
      </c>
      <c r="AA88" s="36">
        <f>7000000/7000000</f>
        <v>1</v>
      </c>
      <c r="AB88" s="7">
        <v>42572</v>
      </c>
    </row>
    <row r="89" spans="1:28" s="61" customFormat="1" x14ac:dyDescent="0.35">
      <c r="A89" s="64">
        <v>41927.558125000003</v>
      </c>
      <c r="B89" s="64">
        <v>41844</v>
      </c>
      <c r="C89" s="61" t="s">
        <v>152</v>
      </c>
      <c r="D89" s="72" t="s">
        <v>366</v>
      </c>
      <c r="E89" s="61" t="s">
        <v>29</v>
      </c>
      <c r="F89" s="70" t="s">
        <v>365</v>
      </c>
      <c r="G89" s="61" t="s">
        <v>364</v>
      </c>
      <c r="H89" s="61" t="s">
        <v>31</v>
      </c>
      <c r="I89" s="61" t="s">
        <v>367</v>
      </c>
      <c r="J89" s="61">
        <v>194700</v>
      </c>
      <c r="K89" s="61">
        <v>0.15629999999999999</v>
      </c>
      <c r="L89" s="61">
        <v>0.15479999999999999</v>
      </c>
      <c r="M89" s="61">
        <v>0.15479999999999999</v>
      </c>
      <c r="N89" s="61">
        <v>384.81700000000001</v>
      </c>
      <c r="O89" s="61">
        <v>42317016</v>
      </c>
      <c r="P89" s="61">
        <v>194700</v>
      </c>
      <c r="Q89" s="61">
        <v>194700</v>
      </c>
      <c r="R89" s="61">
        <v>194700</v>
      </c>
      <c r="S89" s="61">
        <v>199400</v>
      </c>
      <c r="T89" s="61">
        <v>198100</v>
      </c>
      <c r="U89" s="61">
        <v>313</v>
      </c>
      <c r="V89" s="61">
        <v>378</v>
      </c>
      <c r="W89" s="61">
        <v>20.77</v>
      </c>
      <c r="X89" s="43">
        <v>0</v>
      </c>
      <c r="Y89" s="73">
        <v>3622636</v>
      </c>
      <c r="Z89" s="43">
        <f t="shared" si="3"/>
        <v>1</v>
      </c>
      <c r="AA89" s="74">
        <f>3622636/3622636</f>
        <v>1</v>
      </c>
      <c r="AB89" s="69">
        <v>42572</v>
      </c>
    </row>
    <row r="90" spans="1:28" s="3" customFormat="1" x14ac:dyDescent="0.35">
      <c r="A90" s="4">
        <v>42263.389016203699</v>
      </c>
      <c r="B90" s="4">
        <v>42201</v>
      </c>
      <c r="C90" s="3" t="s">
        <v>22</v>
      </c>
      <c r="D90" s="30" t="s">
        <v>370</v>
      </c>
      <c r="E90" s="3" t="s">
        <v>194</v>
      </c>
      <c r="F90" s="27" t="s">
        <v>369</v>
      </c>
      <c r="G90" s="3" t="s">
        <v>368</v>
      </c>
      <c r="H90" s="3" t="s">
        <v>126</v>
      </c>
      <c r="I90" s="3" t="s">
        <v>371</v>
      </c>
      <c r="J90" s="3">
        <v>0</v>
      </c>
      <c r="K90" s="3">
        <v>9.1000000000000004E-3</v>
      </c>
      <c r="L90" s="3">
        <v>6.3E-3</v>
      </c>
      <c r="M90" s="3">
        <v>9.9599999999999994E-2</v>
      </c>
      <c r="N90" s="3">
        <v>507.65199999999999</v>
      </c>
      <c r="O90" s="3">
        <v>95090476</v>
      </c>
      <c r="P90" s="3">
        <v>156700</v>
      </c>
      <c r="Q90" s="3">
        <v>156700</v>
      </c>
      <c r="R90" s="3">
        <v>156700</v>
      </c>
      <c r="S90" s="3">
        <v>141563</v>
      </c>
      <c r="T90" s="3">
        <v>141563</v>
      </c>
      <c r="U90" s="3">
        <v>438</v>
      </c>
      <c r="V90" s="3">
        <v>477</v>
      </c>
      <c r="W90" s="3">
        <v>8.9</v>
      </c>
      <c r="X90" s="34">
        <v>0</v>
      </c>
      <c r="Y90" s="35">
        <v>4000000</v>
      </c>
      <c r="Z90" s="34">
        <f t="shared" si="3"/>
        <v>1</v>
      </c>
      <c r="AA90" s="36">
        <f>4000000/4000000</f>
        <v>1</v>
      </c>
      <c r="AB90" s="7">
        <v>42570</v>
      </c>
    </row>
    <row r="91" spans="1:28" s="3" customFormat="1" x14ac:dyDescent="0.35">
      <c r="A91" s="4">
        <v>40908</v>
      </c>
      <c r="B91" s="4">
        <v>40238</v>
      </c>
      <c r="D91" s="30" t="s">
        <v>376</v>
      </c>
      <c r="E91" s="3" t="s">
        <v>373</v>
      </c>
      <c r="F91" s="27" t="s">
        <v>374</v>
      </c>
      <c r="G91" s="3" t="s">
        <v>372</v>
      </c>
      <c r="H91" s="3" t="s">
        <v>375</v>
      </c>
      <c r="I91" s="3" t="s">
        <v>377</v>
      </c>
      <c r="J91" s="3">
        <v>0</v>
      </c>
      <c r="K91" s="3">
        <v>0.46679999999999999</v>
      </c>
      <c r="L91" s="3">
        <v>0.28999999999999998</v>
      </c>
      <c r="M91" s="3">
        <v>0.33439999999999998</v>
      </c>
      <c r="N91" s="3">
        <v>2922</v>
      </c>
      <c r="O91" s="3">
        <v>739189076</v>
      </c>
      <c r="P91" s="3">
        <v>557250</v>
      </c>
      <c r="Q91" s="3">
        <v>557250</v>
      </c>
      <c r="R91" s="3">
        <v>557250</v>
      </c>
      <c r="S91" s="3">
        <v>614750</v>
      </c>
      <c r="T91" s="3">
        <v>614750</v>
      </c>
      <c r="U91" s="3">
        <v>2587</v>
      </c>
      <c r="V91" s="3">
        <v>3015</v>
      </c>
      <c r="W91" s="3">
        <v>16.54</v>
      </c>
      <c r="X91" s="34">
        <v>0</v>
      </c>
      <c r="Y91" s="35">
        <v>12295000</v>
      </c>
      <c r="Z91" s="34">
        <f t="shared" si="3"/>
        <v>1</v>
      </c>
      <c r="AA91" s="36">
        <f>12295000/12295000</f>
        <v>1</v>
      </c>
      <c r="AB91" s="7">
        <v>42573</v>
      </c>
    </row>
    <row r="92" spans="1:28" s="76" customFormat="1" x14ac:dyDescent="0.35">
      <c r="A92" s="75">
        <v>42536.352407407401</v>
      </c>
      <c r="B92" s="75">
        <v>42597</v>
      </c>
      <c r="D92" s="77" t="s">
        <v>381</v>
      </c>
      <c r="E92" s="76" t="s">
        <v>1236</v>
      </c>
      <c r="F92" s="88" t="s">
        <v>1227</v>
      </c>
      <c r="G92" s="76" t="s">
        <v>378</v>
      </c>
      <c r="H92" s="76" t="s">
        <v>380</v>
      </c>
      <c r="I92" s="76" t="s">
        <v>382</v>
      </c>
      <c r="L92" s="76">
        <v>0.28999999999999998</v>
      </c>
      <c r="M92" s="76">
        <v>0.45029999999999998</v>
      </c>
      <c r="N92" s="76">
        <v>9800</v>
      </c>
      <c r="O92" s="76">
        <v>3085034504</v>
      </c>
      <c r="S92" s="76">
        <v>0</v>
      </c>
      <c r="T92" s="76">
        <v>3974700</v>
      </c>
      <c r="U92" s="76">
        <v>9054</v>
      </c>
      <c r="V92" s="76">
        <v>10917</v>
      </c>
      <c r="W92" s="76">
        <v>20.58</v>
      </c>
      <c r="X92" s="78">
        <v>0</v>
      </c>
      <c r="Y92" s="79">
        <v>70000000</v>
      </c>
      <c r="Z92" s="78">
        <f t="shared" si="3"/>
        <v>1</v>
      </c>
      <c r="AA92" s="80">
        <f>70000000/70000000</f>
        <v>1</v>
      </c>
      <c r="AB92" s="81">
        <v>42571</v>
      </c>
    </row>
    <row r="93" spans="1:28" s="3" customFormat="1" x14ac:dyDescent="0.35">
      <c r="A93" s="4">
        <v>40909</v>
      </c>
      <c r="B93" s="4">
        <v>40560</v>
      </c>
      <c r="C93" s="3" t="s">
        <v>22</v>
      </c>
      <c r="D93" s="30" t="s">
        <v>385</v>
      </c>
      <c r="E93" s="3" t="s">
        <v>50</v>
      </c>
      <c r="F93" s="27" t="s">
        <v>384</v>
      </c>
      <c r="G93" s="3" t="s">
        <v>383</v>
      </c>
      <c r="H93" s="3" t="s">
        <v>52</v>
      </c>
      <c r="I93" s="3" t="s">
        <v>386</v>
      </c>
      <c r="J93" s="3">
        <v>934725</v>
      </c>
      <c r="K93" s="3">
        <v>0.27829999999999999</v>
      </c>
      <c r="L93" s="3">
        <v>0.27389999999999998</v>
      </c>
      <c r="M93" s="3">
        <v>0.27389999999999998</v>
      </c>
      <c r="N93" s="3">
        <v>4291.2039999999997</v>
      </c>
      <c r="O93" s="3">
        <v>1163650670</v>
      </c>
      <c r="P93" s="3">
        <v>931900</v>
      </c>
      <c r="Q93" s="3">
        <v>934725</v>
      </c>
      <c r="R93" s="3">
        <v>934725</v>
      </c>
      <c r="S93" s="3">
        <v>994875</v>
      </c>
      <c r="T93" s="3">
        <v>995500</v>
      </c>
      <c r="U93" s="3">
        <v>4498</v>
      </c>
      <c r="V93" s="3">
        <v>4643</v>
      </c>
      <c r="W93" s="3">
        <v>3.22</v>
      </c>
      <c r="X93" s="34">
        <v>13787500</v>
      </c>
      <c r="Y93" s="35">
        <v>4662500</v>
      </c>
      <c r="Z93" s="34">
        <f t="shared" si="3"/>
        <v>-1.9571045576407506</v>
      </c>
      <c r="AA93" s="36">
        <f>4662500/18450000</f>
        <v>0.25271002710027102</v>
      </c>
      <c r="AB93" s="7">
        <v>42573</v>
      </c>
    </row>
    <row r="94" spans="1:28" s="3" customFormat="1" x14ac:dyDescent="0.35">
      <c r="A94" s="4">
        <v>42453.6401736111</v>
      </c>
      <c r="B94" s="4">
        <v>42404</v>
      </c>
      <c r="D94" s="30" t="s">
        <v>389</v>
      </c>
      <c r="E94" s="3" t="s">
        <v>72</v>
      </c>
      <c r="F94" s="27" t="s">
        <v>388</v>
      </c>
      <c r="G94" s="3" t="s">
        <v>387</v>
      </c>
      <c r="H94" s="3" t="s">
        <v>74</v>
      </c>
      <c r="I94" s="3" t="s">
        <v>390</v>
      </c>
      <c r="L94" s="3">
        <v>7.7600000000000002E-2</v>
      </c>
      <c r="M94" s="3">
        <v>0.12859999999999999</v>
      </c>
      <c r="N94" s="3">
        <v>513.76499999999999</v>
      </c>
      <c r="O94" s="3">
        <v>143438430</v>
      </c>
      <c r="P94" s="3">
        <v>0</v>
      </c>
      <c r="Q94" s="3">
        <v>454425</v>
      </c>
      <c r="R94" s="3">
        <v>454425</v>
      </c>
      <c r="S94" s="3">
        <v>0</v>
      </c>
      <c r="T94" s="3">
        <v>521463</v>
      </c>
      <c r="U94" s="3">
        <v>532</v>
      </c>
      <c r="V94" s="3">
        <v>540</v>
      </c>
      <c r="W94" s="3">
        <v>1.5</v>
      </c>
      <c r="X94" s="37">
        <v>2000000</v>
      </c>
      <c r="Y94" s="38">
        <v>6500000</v>
      </c>
      <c r="Z94" s="34">
        <f t="shared" si="3"/>
        <v>0.69230769230769229</v>
      </c>
      <c r="AA94" s="36">
        <f>6500000/8500000</f>
        <v>0.76470588235294112</v>
      </c>
      <c r="AB94" s="7">
        <v>42571</v>
      </c>
    </row>
    <row r="95" spans="1:28" s="3" customFormat="1" x14ac:dyDescent="0.35">
      <c r="A95" s="4">
        <v>40997</v>
      </c>
      <c r="B95" s="4">
        <v>40878</v>
      </c>
      <c r="C95" s="3" t="s">
        <v>22</v>
      </c>
      <c r="D95" s="30" t="s">
        <v>393</v>
      </c>
      <c r="E95" s="3" t="s">
        <v>229</v>
      </c>
      <c r="F95" s="27" t="s">
        <v>392</v>
      </c>
      <c r="G95" s="3" t="s">
        <v>391</v>
      </c>
      <c r="H95" s="3" t="s">
        <v>52</v>
      </c>
      <c r="I95" s="3" t="s">
        <v>394</v>
      </c>
      <c r="J95" s="3">
        <v>88375</v>
      </c>
      <c r="K95" s="3">
        <v>0.5393</v>
      </c>
      <c r="L95" s="3">
        <v>0.2261</v>
      </c>
      <c r="M95" s="3">
        <v>0.2261</v>
      </c>
      <c r="N95" s="3">
        <v>421.62400000000002</v>
      </c>
      <c r="O95" s="3">
        <v>81031689</v>
      </c>
      <c r="P95" s="3">
        <v>93975</v>
      </c>
      <c r="Q95" s="3">
        <v>88375</v>
      </c>
      <c r="R95" s="3">
        <v>93975</v>
      </c>
      <c r="S95" s="3">
        <v>91900</v>
      </c>
      <c r="T95" s="3">
        <v>86450</v>
      </c>
      <c r="U95" s="3">
        <v>133</v>
      </c>
      <c r="V95" s="3">
        <v>457</v>
      </c>
      <c r="W95" s="3">
        <v>243.61</v>
      </c>
      <c r="X95" s="34">
        <v>0</v>
      </c>
      <c r="Y95" s="35">
        <v>2000000</v>
      </c>
      <c r="Z95" s="34">
        <f t="shared" si="3"/>
        <v>1</v>
      </c>
      <c r="AA95" s="36">
        <f>2000000/2000000</f>
        <v>1</v>
      </c>
      <c r="AB95" s="7">
        <v>42573</v>
      </c>
    </row>
    <row r="96" spans="1:28" s="5" customFormat="1" x14ac:dyDescent="0.35">
      <c r="A96" s="4">
        <v>42111.427094907398</v>
      </c>
      <c r="B96" s="4">
        <v>42033.416666666701</v>
      </c>
      <c r="C96" s="3" t="s">
        <v>22</v>
      </c>
      <c r="D96" s="30" t="s">
        <v>397</v>
      </c>
      <c r="E96" s="3" t="s">
        <v>96</v>
      </c>
      <c r="F96" s="27" t="s">
        <v>396</v>
      </c>
      <c r="G96" s="3" t="s">
        <v>395</v>
      </c>
      <c r="H96" s="3" t="s">
        <v>126</v>
      </c>
      <c r="I96" s="3" t="s">
        <v>398</v>
      </c>
      <c r="J96" s="3">
        <v>325138</v>
      </c>
      <c r="K96" s="3">
        <v>0.30499999999999999</v>
      </c>
      <c r="L96" s="3">
        <v>0.28999999999999998</v>
      </c>
      <c r="M96" s="3">
        <v>0.3775</v>
      </c>
      <c r="N96" s="3">
        <v>1470</v>
      </c>
      <c r="O96" s="3">
        <v>516523661</v>
      </c>
      <c r="P96" s="3">
        <v>322038</v>
      </c>
      <c r="Q96" s="3">
        <v>325138</v>
      </c>
      <c r="R96" s="3">
        <v>325138</v>
      </c>
      <c r="S96" s="3">
        <v>1000000</v>
      </c>
      <c r="T96" s="3">
        <v>1000000</v>
      </c>
      <c r="U96" s="3">
        <v>1346</v>
      </c>
      <c r="V96" s="3">
        <v>1480</v>
      </c>
      <c r="W96" s="3">
        <v>9.9600000000000009</v>
      </c>
      <c r="X96" s="34">
        <v>0</v>
      </c>
      <c r="Y96" s="35">
        <v>6900000</v>
      </c>
      <c r="Z96" s="34">
        <f t="shared" ref="Z96:Z127" si="4">1-(X96/Y96)</f>
        <v>1</v>
      </c>
      <c r="AA96" s="36">
        <f>6900000/6900000</f>
        <v>1</v>
      </c>
      <c r="AB96" s="7">
        <v>42570</v>
      </c>
    </row>
    <row r="97" spans="1:28" s="5" customFormat="1" x14ac:dyDescent="0.35">
      <c r="A97" s="4">
        <v>41222.371319444399</v>
      </c>
      <c r="B97" s="4">
        <v>40990</v>
      </c>
      <c r="C97" s="3" t="s">
        <v>22</v>
      </c>
      <c r="D97" s="30" t="s">
        <v>401</v>
      </c>
      <c r="E97" s="3" t="s">
        <v>45</v>
      </c>
      <c r="F97" s="27" t="s">
        <v>400</v>
      </c>
      <c r="G97" s="3" t="s">
        <v>399</v>
      </c>
      <c r="H97" s="3" t="s">
        <v>25</v>
      </c>
      <c r="I97" s="3" t="s">
        <v>402</v>
      </c>
      <c r="J97" s="3">
        <v>31500</v>
      </c>
      <c r="K97" s="3">
        <v>0.32750000000000001</v>
      </c>
      <c r="L97" s="3">
        <v>0.28999999999999998</v>
      </c>
      <c r="M97" s="3">
        <v>0.29449999999999998</v>
      </c>
      <c r="N97" s="3">
        <v>720</v>
      </c>
      <c r="O97" s="3">
        <v>220540237</v>
      </c>
      <c r="P97" s="3">
        <v>31500</v>
      </c>
      <c r="Q97" s="3">
        <v>31500</v>
      </c>
      <c r="R97" s="3">
        <v>31500</v>
      </c>
      <c r="S97" s="3">
        <v>200000</v>
      </c>
      <c r="T97" s="3">
        <v>200000</v>
      </c>
      <c r="U97" s="3">
        <v>783</v>
      </c>
      <c r="V97" s="3">
        <v>801</v>
      </c>
      <c r="W97" s="3">
        <v>2.2999999999999998</v>
      </c>
      <c r="X97" s="34">
        <v>0</v>
      </c>
      <c r="Y97" s="35">
        <v>2000000</v>
      </c>
      <c r="Z97" s="34">
        <f t="shared" si="4"/>
        <v>1</v>
      </c>
      <c r="AA97" s="36">
        <f>2000000/2000000</f>
        <v>1</v>
      </c>
      <c r="AB97" s="7">
        <v>42572</v>
      </c>
    </row>
    <row r="98" spans="1:28" s="5" customFormat="1" x14ac:dyDescent="0.35">
      <c r="A98" s="4">
        <v>42237.624247685198</v>
      </c>
      <c r="B98" s="4">
        <v>42138.416666666701</v>
      </c>
      <c r="C98" s="3"/>
      <c r="D98" s="30" t="s">
        <v>401</v>
      </c>
      <c r="E98" s="3" t="s">
        <v>126</v>
      </c>
      <c r="F98" s="27" t="s">
        <v>403</v>
      </c>
      <c r="G98" s="3" t="s">
        <v>399</v>
      </c>
      <c r="H98" s="3" t="s">
        <v>126</v>
      </c>
      <c r="I98" s="3" t="s">
        <v>404</v>
      </c>
      <c r="J98" s="3"/>
      <c r="K98" s="3"/>
      <c r="L98" s="3">
        <v>0.28999999999999998</v>
      </c>
      <c r="M98" s="3">
        <v>0.29449999999999998</v>
      </c>
      <c r="N98" s="3">
        <v>720</v>
      </c>
      <c r="O98" s="3">
        <v>220540237</v>
      </c>
      <c r="P98" s="3">
        <v>156750</v>
      </c>
      <c r="Q98" s="3">
        <v>114000</v>
      </c>
      <c r="R98" s="3">
        <v>156750</v>
      </c>
      <c r="S98" s="3">
        <v>500000</v>
      </c>
      <c r="T98" s="3">
        <v>500000</v>
      </c>
      <c r="U98" s="3">
        <v>783</v>
      </c>
      <c r="V98" s="3">
        <v>801</v>
      </c>
      <c r="W98" s="3">
        <v>2.2999999999999998</v>
      </c>
      <c r="X98" s="34">
        <v>0</v>
      </c>
      <c r="Y98" s="35">
        <v>2000000</v>
      </c>
      <c r="Z98" s="34">
        <f t="shared" si="4"/>
        <v>1</v>
      </c>
      <c r="AA98" s="36">
        <f>2000000/2000000</f>
        <v>1</v>
      </c>
      <c r="AB98" s="7">
        <v>42570</v>
      </c>
    </row>
    <row r="99" spans="1:28" s="3" customFormat="1" x14ac:dyDescent="0.35">
      <c r="A99" s="4">
        <v>40909</v>
      </c>
      <c r="B99" s="4">
        <v>40784</v>
      </c>
      <c r="C99" s="3" t="s">
        <v>22</v>
      </c>
      <c r="D99" s="30" t="s">
        <v>408</v>
      </c>
      <c r="E99" s="3" t="s">
        <v>406</v>
      </c>
      <c r="F99" s="27" t="s">
        <v>407</v>
      </c>
      <c r="G99" s="3" t="s">
        <v>405</v>
      </c>
      <c r="H99" s="3" t="s">
        <v>52</v>
      </c>
      <c r="I99" s="3" t="s">
        <v>409</v>
      </c>
      <c r="J99" s="3">
        <v>1844050</v>
      </c>
      <c r="K99" s="3">
        <v>0.25219999999999998</v>
      </c>
      <c r="L99" s="3">
        <v>0.2505</v>
      </c>
      <c r="M99" s="3">
        <v>0.27450000000000002</v>
      </c>
      <c r="N99" s="3">
        <v>3928.489</v>
      </c>
      <c r="O99" s="3">
        <v>1608826229</v>
      </c>
      <c r="P99" s="3">
        <v>1842625</v>
      </c>
      <c r="Q99" s="3">
        <v>1844050</v>
      </c>
      <c r="R99" s="3">
        <v>1844050</v>
      </c>
      <c r="S99" s="3">
        <v>4000000</v>
      </c>
      <c r="T99" s="3">
        <v>4000000</v>
      </c>
      <c r="U99" s="3">
        <v>3884</v>
      </c>
      <c r="V99" s="3">
        <v>4031</v>
      </c>
      <c r="W99" s="3">
        <v>3.78</v>
      </c>
      <c r="X99" s="34">
        <v>0</v>
      </c>
      <c r="Y99" s="35">
        <v>41250000</v>
      </c>
      <c r="Z99" s="34">
        <f t="shared" si="4"/>
        <v>1</v>
      </c>
      <c r="AA99" s="36">
        <f>41250000/41250000</f>
        <v>1</v>
      </c>
      <c r="AB99" s="7">
        <v>42572</v>
      </c>
    </row>
    <row r="100" spans="1:28" s="3" customFormat="1" x14ac:dyDescent="0.35">
      <c r="A100" s="4">
        <v>41332.616145833301</v>
      </c>
      <c r="B100" s="4">
        <v>41239.541666666701</v>
      </c>
      <c r="C100" s="3" t="s">
        <v>22</v>
      </c>
      <c r="D100" s="30" t="s">
        <v>408</v>
      </c>
      <c r="E100" s="3" t="s">
        <v>23</v>
      </c>
      <c r="F100" s="27" t="s">
        <v>410</v>
      </c>
      <c r="G100" s="3" t="s">
        <v>405</v>
      </c>
      <c r="H100" s="3" t="s">
        <v>25</v>
      </c>
      <c r="I100" s="3" t="s">
        <v>411</v>
      </c>
      <c r="J100" s="3">
        <v>724805</v>
      </c>
      <c r="K100" s="3">
        <v>0.25219999999999998</v>
      </c>
      <c r="L100" s="3">
        <v>0.2505</v>
      </c>
      <c r="M100" s="3">
        <v>0.27450000000000002</v>
      </c>
      <c r="N100" s="3">
        <v>3928.489</v>
      </c>
      <c r="O100" s="3">
        <v>1608826229</v>
      </c>
      <c r="P100" s="3">
        <v>734255</v>
      </c>
      <c r="Q100" s="3">
        <v>724805</v>
      </c>
      <c r="R100" s="3">
        <v>734255</v>
      </c>
      <c r="S100" s="3">
        <v>1500000</v>
      </c>
      <c r="T100" s="3">
        <v>1500000</v>
      </c>
      <c r="U100" s="3">
        <v>3884</v>
      </c>
      <c r="V100" s="3">
        <v>4031</v>
      </c>
      <c r="W100" s="3">
        <v>3.78</v>
      </c>
      <c r="X100" s="34">
        <v>0</v>
      </c>
      <c r="Y100" s="35">
        <v>9500000</v>
      </c>
      <c r="Z100" s="34">
        <f t="shared" si="4"/>
        <v>1</v>
      </c>
      <c r="AA100" s="36">
        <f>9500000/9500000</f>
        <v>1</v>
      </c>
      <c r="AB100" s="7">
        <v>42572</v>
      </c>
    </row>
    <row r="101" spans="1:28" s="5" customFormat="1" x14ac:dyDescent="0.35">
      <c r="A101" s="4">
        <v>42366.396469907399</v>
      </c>
      <c r="B101" s="4">
        <v>40779</v>
      </c>
      <c r="C101" s="3" t="s">
        <v>22</v>
      </c>
      <c r="D101" s="30" t="s">
        <v>414</v>
      </c>
      <c r="E101" s="3" t="s">
        <v>406</v>
      </c>
      <c r="F101" s="27" t="s">
        <v>413</v>
      </c>
      <c r="G101" s="3" t="s">
        <v>412</v>
      </c>
      <c r="H101" s="3" t="s">
        <v>52</v>
      </c>
      <c r="I101" s="3" t="s">
        <v>415</v>
      </c>
      <c r="J101" s="3">
        <v>437400</v>
      </c>
      <c r="K101" s="3">
        <v>0.4541</v>
      </c>
      <c r="L101" s="3">
        <v>0.28999999999999998</v>
      </c>
      <c r="M101" s="3">
        <v>0.61429999999999996</v>
      </c>
      <c r="N101" s="3">
        <v>8208.268</v>
      </c>
      <c r="O101" s="3">
        <v>3996824162</v>
      </c>
      <c r="P101" s="3">
        <v>437400</v>
      </c>
      <c r="Q101" s="3">
        <v>437400</v>
      </c>
      <c r="R101" s="3">
        <v>437400</v>
      </c>
      <c r="S101" s="3">
        <v>700000</v>
      </c>
      <c r="T101" s="3">
        <v>700000</v>
      </c>
      <c r="U101" s="3">
        <v>8476</v>
      </c>
      <c r="V101" s="3">
        <v>8807</v>
      </c>
      <c r="W101" s="3">
        <v>3.91</v>
      </c>
      <c r="X101" s="34">
        <v>0</v>
      </c>
      <c r="Y101" s="35">
        <v>10000000</v>
      </c>
      <c r="Z101" s="34">
        <f t="shared" si="4"/>
        <v>1</v>
      </c>
      <c r="AA101" s="36">
        <f>10000000/10000000</f>
        <v>1</v>
      </c>
      <c r="AB101" s="7">
        <v>42573</v>
      </c>
    </row>
    <row r="102" spans="1:28" s="3" customFormat="1" x14ac:dyDescent="0.35">
      <c r="A102" s="4">
        <v>42151.581064814804</v>
      </c>
      <c r="B102" s="4">
        <v>42094.458333333299</v>
      </c>
      <c r="C102" s="3" t="s">
        <v>22</v>
      </c>
      <c r="D102" s="30" t="s">
        <v>418</v>
      </c>
      <c r="E102" s="3" t="s">
        <v>96</v>
      </c>
      <c r="F102" s="27" t="s">
        <v>417</v>
      </c>
      <c r="G102" s="3" t="s">
        <v>416</v>
      </c>
      <c r="H102" s="3" t="s">
        <v>60</v>
      </c>
      <c r="I102" s="3" t="s">
        <v>419</v>
      </c>
      <c r="J102" s="3">
        <v>348225</v>
      </c>
      <c r="K102" s="3">
        <v>0.28079999999999999</v>
      </c>
      <c r="L102" s="3">
        <v>0.25540000000000002</v>
      </c>
      <c r="M102" s="3">
        <v>0.25540000000000002</v>
      </c>
      <c r="N102" s="3">
        <v>1755.605</v>
      </c>
      <c r="O102" s="3">
        <v>505828818</v>
      </c>
      <c r="P102" s="3">
        <v>348225</v>
      </c>
      <c r="Q102" s="3">
        <v>348225</v>
      </c>
      <c r="R102" s="3">
        <v>348225</v>
      </c>
      <c r="S102" s="3">
        <v>100000</v>
      </c>
      <c r="T102" s="3">
        <v>200000</v>
      </c>
      <c r="U102" s="3">
        <v>1881</v>
      </c>
      <c r="V102" s="3">
        <v>1888</v>
      </c>
      <c r="W102" s="3">
        <v>0.37</v>
      </c>
      <c r="X102" s="34">
        <v>0</v>
      </c>
      <c r="Y102" s="35">
        <v>1100000</v>
      </c>
      <c r="Z102" s="34">
        <f t="shared" si="4"/>
        <v>1</v>
      </c>
      <c r="AA102" s="36">
        <f>1100000/1100000</f>
        <v>1</v>
      </c>
      <c r="AB102" s="5" t="s">
        <v>732</v>
      </c>
    </row>
    <row r="103" spans="1:28" s="5" customFormat="1" x14ac:dyDescent="0.35">
      <c r="A103" s="4">
        <v>41222.403275463003</v>
      </c>
      <c r="B103" s="4">
        <v>41134.458333333299</v>
      </c>
      <c r="C103" s="3" t="s">
        <v>22</v>
      </c>
      <c r="D103" s="30" t="s">
        <v>422</v>
      </c>
      <c r="E103" s="3" t="s">
        <v>45</v>
      </c>
      <c r="F103" s="27" t="s">
        <v>421</v>
      </c>
      <c r="G103" s="3" t="s">
        <v>420</v>
      </c>
      <c r="H103" s="3" t="s">
        <v>25</v>
      </c>
      <c r="I103" s="3" t="s">
        <v>423</v>
      </c>
      <c r="J103" s="3">
        <v>225194</v>
      </c>
      <c r="K103" s="3">
        <v>0.35930000000000001</v>
      </c>
      <c r="L103" s="3">
        <v>0.28999999999999998</v>
      </c>
      <c r="M103" s="3">
        <v>0.72570000000000001</v>
      </c>
      <c r="N103" s="3">
        <v>740</v>
      </c>
      <c r="O103" s="3">
        <v>539023294</v>
      </c>
      <c r="P103" s="3">
        <v>225194</v>
      </c>
      <c r="Q103" s="3">
        <v>225194</v>
      </c>
      <c r="R103" s="3">
        <v>225194</v>
      </c>
      <c r="S103" s="3">
        <v>200000</v>
      </c>
      <c r="T103" s="3">
        <v>200000</v>
      </c>
      <c r="U103" s="3">
        <v>785</v>
      </c>
      <c r="V103" s="3">
        <v>769</v>
      </c>
      <c r="W103" s="3">
        <v>-2.04</v>
      </c>
      <c r="X103" s="34">
        <v>0</v>
      </c>
      <c r="Y103" s="35">
        <v>9500000</v>
      </c>
      <c r="Z103" s="34">
        <f t="shared" si="4"/>
        <v>1</v>
      </c>
      <c r="AA103" s="36">
        <f>9500000/9500000</f>
        <v>1</v>
      </c>
      <c r="AB103" s="7">
        <v>42572</v>
      </c>
    </row>
    <row r="104" spans="1:28" s="3" customFormat="1" x14ac:dyDescent="0.35">
      <c r="A104" s="4">
        <v>42111.427094907398</v>
      </c>
      <c r="B104" s="4">
        <v>42047.416666666701</v>
      </c>
      <c r="C104" s="3" t="s">
        <v>22</v>
      </c>
      <c r="D104" s="30" t="s">
        <v>422</v>
      </c>
      <c r="E104" s="3" t="s">
        <v>194</v>
      </c>
      <c r="F104" s="27" t="s">
        <v>424</v>
      </c>
      <c r="G104" s="3" t="s">
        <v>420</v>
      </c>
      <c r="H104" s="3" t="s">
        <v>126</v>
      </c>
      <c r="I104" s="3" t="s">
        <v>425</v>
      </c>
      <c r="J104" s="3">
        <v>81775</v>
      </c>
      <c r="K104" s="3">
        <v>0.35930000000000001</v>
      </c>
      <c r="L104" s="3">
        <v>0.28999999999999998</v>
      </c>
      <c r="M104" s="3">
        <v>0.72570000000000001</v>
      </c>
      <c r="N104" s="3">
        <v>740</v>
      </c>
      <c r="O104" s="3">
        <v>539023294</v>
      </c>
      <c r="P104" s="3">
        <v>81775</v>
      </c>
      <c r="Q104" s="3">
        <v>81775</v>
      </c>
      <c r="R104" s="3">
        <v>81775</v>
      </c>
      <c r="S104" s="3">
        <v>600000</v>
      </c>
      <c r="T104" s="3">
        <v>600000</v>
      </c>
      <c r="U104" s="3">
        <v>785</v>
      </c>
      <c r="V104" s="3">
        <v>769</v>
      </c>
      <c r="W104" s="3">
        <v>-2.04</v>
      </c>
      <c r="X104" s="34">
        <v>0</v>
      </c>
      <c r="Y104" s="35">
        <v>3000000</v>
      </c>
      <c r="Z104" s="34">
        <f t="shared" si="4"/>
        <v>1</v>
      </c>
      <c r="AA104" s="36">
        <f>3000000/3000000</f>
        <v>1</v>
      </c>
      <c r="AB104" s="7">
        <v>42570</v>
      </c>
    </row>
    <row r="105" spans="1:28" s="3" customFormat="1" x14ac:dyDescent="0.35">
      <c r="A105" s="4">
        <v>40909</v>
      </c>
      <c r="B105" s="4">
        <v>40471</v>
      </c>
      <c r="C105" s="3" t="s">
        <v>22</v>
      </c>
      <c r="D105" s="30" t="s">
        <v>428</v>
      </c>
      <c r="E105" s="61" t="s">
        <v>1237</v>
      </c>
      <c r="F105" s="27" t="s">
        <v>427</v>
      </c>
      <c r="G105" s="61" t="s">
        <v>426</v>
      </c>
      <c r="H105" s="61" t="s">
        <v>375</v>
      </c>
      <c r="I105" s="3" t="s">
        <v>429</v>
      </c>
      <c r="J105" s="3">
        <v>6456875</v>
      </c>
      <c r="K105" s="3">
        <v>0.108</v>
      </c>
      <c r="L105" s="3">
        <v>9.8400000000000001E-2</v>
      </c>
      <c r="M105" s="3">
        <v>9.8400000000000001E-2</v>
      </c>
      <c r="N105" s="3">
        <v>66305</v>
      </c>
      <c r="O105" s="3">
        <v>18665841093</v>
      </c>
      <c r="P105" s="3">
        <v>6464000</v>
      </c>
      <c r="Q105" s="3">
        <v>6456875</v>
      </c>
      <c r="R105" s="3">
        <v>6464000</v>
      </c>
      <c r="S105" s="3">
        <v>6600000</v>
      </c>
      <c r="T105" s="3">
        <v>6600000</v>
      </c>
      <c r="U105" s="3">
        <v>62878</v>
      </c>
      <c r="V105" s="3">
        <v>70277</v>
      </c>
      <c r="W105" s="3">
        <v>11.77</v>
      </c>
      <c r="X105" s="34">
        <v>0</v>
      </c>
      <c r="Y105" s="35">
        <v>70000000</v>
      </c>
      <c r="Z105" s="34">
        <f t="shared" si="4"/>
        <v>1</v>
      </c>
      <c r="AA105" s="36">
        <f>70000000/70000000</f>
        <v>1</v>
      </c>
      <c r="AB105" s="7">
        <v>42573</v>
      </c>
    </row>
    <row r="106" spans="1:28" s="3" customFormat="1" x14ac:dyDescent="0.35">
      <c r="A106" s="4">
        <v>41767.575810185197</v>
      </c>
      <c r="B106" s="4">
        <v>40246</v>
      </c>
      <c r="C106" s="3" t="s">
        <v>22</v>
      </c>
      <c r="D106" s="30" t="s">
        <v>434</v>
      </c>
      <c r="E106" s="3" t="s">
        <v>431</v>
      </c>
      <c r="F106" s="27" t="s">
        <v>432</v>
      </c>
      <c r="G106" s="3" t="s">
        <v>430</v>
      </c>
      <c r="H106" s="3" t="s">
        <v>433</v>
      </c>
      <c r="I106" s="3" t="s">
        <v>435</v>
      </c>
      <c r="J106" s="3">
        <v>1536486</v>
      </c>
      <c r="K106" s="3">
        <v>0.33260000000000001</v>
      </c>
      <c r="L106" s="3">
        <v>0.28370000000000001</v>
      </c>
      <c r="M106" s="3">
        <v>0.28370000000000001</v>
      </c>
      <c r="N106" s="3">
        <v>8551.7090000000007</v>
      </c>
      <c r="O106" s="3">
        <v>2721348363</v>
      </c>
      <c r="P106" s="3">
        <v>1532506</v>
      </c>
      <c r="Q106" s="3">
        <v>1532506</v>
      </c>
      <c r="R106" s="3">
        <v>1532506</v>
      </c>
      <c r="S106" s="3">
        <v>0</v>
      </c>
      <c r="T106" s="3">
        <v>0</v>
      </c>
      <c r="U106" s="3">
        <v>8615</v>
      </c>
      <c r="V106" s="3">
        <v>9327</v>
      </c>
      <c r="W106" s="3">
        <v>8.26</v>
      </c>
      <c r="X106" s="34">
        <v>726800</v>
      </c>
      <c r="Y106" s="35">
        <v>8358200</v>
      </c>
      <c r="Z106" s="34">
        <f t="shared" si="4"/>
        <v>0.91304347826086962</v>
      </c>
      <c r="AA106" s="36">
        <f>8358200/9085000</f>
        <v>0.92</v>
      </c>
      <c r="AB106" s="7">
        <v>42573</v>
      </c>
    </row>
    <row r="107" spans="1:28" s="3" customFormat="1" x14ac:dyDescent="0.35">
      <c r="A107" s="4">
        <v>41522.484340277799</v>
      </c>
      <c r="B107" s="4">
        <v>41465.416666666701</v>
      </c>
      <c r="C107" s="3" t="s">
        <v>22</v>
      </c>
      <c r="D107" s="30" t="s">
        <v>438</v>
      </c>
      <c r="E107" s="3" t="s">
        <v>35</v>
      </c>
      <c r="F107" s="27" t="s">
        <v>437</v>
      </c>
      <c r="G107" s="3" t="s">
        <v>436</v>
      </c>
      <c r="H107" s="3" t="s">
        <v>37</v>
      </c>
      <c r="I107" s="3" t="s">
        <v>439</v>
      </c>
      <c r="J107" s="3">
        <v>3097038</v>
      </c>
      <c r="K107" s="3">
        <v>0.53400000000000003</v>
      </c>
      <c r="L107" s="3">
        <v>0.28999999999999998</v>
      </c>
      <c r="M107" s="3">
        <v>0.46860000000000002</v>
      </c>
      <c r="N107" s="3">
        <v>5099.527</v>
      </c>
      <c r="O107" s="3">
        <v>1622788295</v>
      </c>
      <c r="P107" s="3">
        <v>3097038</v>
      </c>
      <c r="Q107" s="3">
        <v>3097038</v>
      </c>
      <c r="R107" s="3">
        <v>3097038</v>
      </c>
      <c r="S107" s="3">
        <v>5000000</v>
      </c>
      <c r="T107" s="3">
        <v>500000</v>
      </c>
      <c r="U107" s="3">
        <v>5096</v>
      </c>
      <c r="V107" s="3">
        <v>5665</v>
      </c>
      <c r="W107" s="3">
        <v>11.17</v>
      </c>
      <c r="X107" s="34">
        <v>0</v>
      </c>
      <c r="Y107" s="35">
        <v>67500000</v>
      </c>
      <c r="Z107" s="34">
        <f t="shared" si="4"/>
        <v>1</v>
      </c>
      <c r="AA107" s="36">
        <f>67500000/67500000</f>
        <v>1</v>
      </c>
      <c r="AB107" s="7">
        <v>42572</v>
      </c>
    </row>
    <row r="108" spans="1:28" s="3" customFormat="1" x14ac:dyDescent="0.35">
      <c r="A108" s="4">
        <v>42017.432453703703</v>
      </c>
      <c r="B108" s="4">
        <v>41948.458333333299</v>
      </c>
      <c r="C108" s="3" t="s">
        <v>22</v>
      </c>
      <c r="D108" s="30" t="s">
        <v>438</v>
      </c>
      <c r="E108" s="3" t="s">
        <v>29</v>
      </c>
      <c r="F108" s="27" t="s">
        <v>440</v>
      </c>
      <c r="G108" s="3" t="s">
        <v>436</v>
      </c>
      <c r="H108" s="3" t="s">
        <v>31</v>
      </c>
      <c r="I108" s="3" t="s">
        <v>441</v>
      </c>
      <c r="J108" s="3">
        <v>356175</v>
      </c>
      <c r="K108" s="3">
        <v>0.53400000000000003</v>
      </c>
      <c r="L108" s="3">
        <v>0.28999999999999998</v>
      </c>
      <c r="M108" s="3">
        <v>0.46860000000000002</v>
      </c>
      <c r="N108" s="3">
        <v>5099.527</v>
      </c>
      <c r="O108" s="3">
        <v>1622788295</v>
      </c>
      <c r="P108" s="3">
        <v>356175</v>
      </c>
      <c r="Q108" s="3">
        <v>356175</v>
      </c>
      <c r="R108" s="3">
        <v>356175</v>
      </c>
      <c r="S108" s="3">
        <v>1000000</v>
      </c>
      <c r="T108" s="3">
        <v>1000000</v>
      </c>
      <c r="U108" s="3">
        <v>5096</v>
      </c>
      <c r="V108" s="3">
        <v>5665</v>
      </c>
      <c r="W108" s="3">
        <v>11.17</v>
      </c>
      <c r="X108" s="34">
        <v>0</v>
      </c>
      <c r="Y108" s="35">
        <v>9500000</v>
      </c>
      <c r="Z108" s="34">
        <f t="shared" si="4"/>
        <v>1</v>
      </c>
      <c r="AA108" s="36">
        <f>9500000/9500000</f>
        <v>1</v>
      </c>
      <c r="AB108" s="7">
        <v>42572</v>
      </c>
    </row>
    <row r="109" spans="1:28" s="3" customFormat="1" x14ac:dyDescent="0.35">
      <c r="A109" s="4">
        <v>42263.389016203699</v>
      </c>
      <c r="B109" s="4">
        <v>42185.458333333299</v>
      </c>
      <c r="C109" s="3" t="s">
        <v>22</v>
      </c>
      <c r="D109" s="30" t="s">
        <v>438</v>
      </c>
      <c r="E109" s="3" t="s">
        <v>194</v>
      </c>
      <c r="F109" s="27" t="s">
        <v>442</v>
      </c>
      <c r="G109" s="3" t="s">
        <v>436</v>
      </c>
      <c r="H109" s="3" t="s">
        <v>126</v>
      </c>
      <c r="I109" s="3" t="s">
        <v>443</v>
      </c>
      <c r="J109" s="3">
        <v>0</v>
      </c>
      <c r="K109" s="3">
        <v>0.53400000000000003</v>
      </c>
      <c r="L109" s="3">
        <v>0.28999999999999998</v>
      </c>
      <c r="M109" s="3">
        <v>0.46860000000000002</v>
      </c>
      <c r="N109" s="3">
        <v>5099.527</v>
      </c>
      <c r="O109" s="3">
        <v>1622788295</v>
      </c>
      <c r="P109" s="3">
        <v>1631394</v>
      </c>
      <c r="Q109" s="3">
        <v>1772819</v>
      </c>
      <c r="R109" s="3">
        <v>1772819</v>
      </c>
      <c r="S109" s="3">
        <v>300000</v>
      </c>
      <c r="T109" s="3">
        <v>3000000</v>
      </c>
      <c r="U109" s="3">
        <v>5096</v>
      </c>
      <c r="V109" s="3">
        <v>5665</v>
      </c>
      <c r="W109" s="3">
        <v>11.17</v>
      </c>
      <c r="X109" s="34">
        <v>0</v>
      </c>
      <c r="Y109" s="35">
        <v>9500000</v>
      </c>
      <c r="Z109" s="34">
        <f t="shared" si="4"/>
        <v>1</v>
      </c>
      <c r="AA109" s="36">
        <f>9500000/9500000</f>
        <v>1</v>
      </c>
      <c r="AB109" s="7">
        <v>42570</v>
      </c>
    </row>
    <row r="110" spans="1:28" s="3" customFormat="1" ht="22.15" customHeight="1" x14ac:dyDescent="0.35">
      <c r="A110" s="4">
        <v>42263.389016203699</v>
      </c>
      <c r="B110" s="4">
        <v>42584</v>
      </c>
      <c r="C110" s="3" t="s">
        <v>112</v>
      </c>
      <c r="D110" s="30" t="s">
        <v>447</v>
      </c>
      <c r="E110" s="61" t="s">
        <v>1236</v>
      </c>
      <c r="F110" s="88" t="s">
        <v>1228</v>
      </c>
      <c r="G110" s="61" t="s">
        <v>444</v>
      </c>
      <c r="H110" s="61" t="s">
        <v>446</v>
      </c>
      <c r="I110" s="3" t="s">
        <v>448</v>
      </c>
      <c r="L110" s="3">
        <v>0.28999999999999998</v>
      </c>
      <c r="M110" s="3">
        <v>0.41570000000000001</v>
      </c>
      <c r="N110" s="3">
        <v>39498</v>
      </c>
      <c r="O110" s="3">
        <v>12937822576</v>
      </c>
      <c r="S110" s="3">
        <v>0</v>
      </c>
      <c r="T110" s="3">
        <v>3121000</v>
      </c>
      <c r="U110" s="3">
        <v>35673</v>
      </c>
      <c r="V110" s="3">
        <v>40383</v>
      </c>
      <c r="W110" s="3">
        <v>13.2</v>
      </c>
      <c r="X110" s="34">
        <v>0</v>
      </c>
      <c r="Y110" s="35">
        <v>49920000</v>
      </c>
      <c r="Z110" s="34">
        <f t="shared" si="4"/>
        <v>1</v>
      </c>
      <c r="AA110" s="36">
        <f>49920000/49920000</f>
        <v>1</v>
      </c>
      <c r="AB110" s="7">
        <v>42571</v>
      </c>
    </row>
    <row r="111" spans="1:28" s="3" customFormat="1" x14ac:dyDescent="0.35">
      <c r="A111" s="4">
        <v>40909</v>
      </c>
      <c r="B111" s="4">
        <v>40514</v>
      </c>
      <c r="C111" s="3" t="s">
        <v>22</v>
      </c>
      <c r="D111" s="30" t="s">
        <v>453</v>
      </c>
      <c r="E111" s="3" t="s">
        <v>450</v>
      </c>
      <c r="F111" s="27" t="s">
        <v>451</v>
      </c>
      <c r="G111" s="3" t="s">
        <v>449</v>
      </c>
      <c r="H111" s="3" t="s">
        <v>452</v>
      </c>
      <c r="I111" s="3" t="s">
        <v>454</v>
      </c>
      <c r="J111" s="3">
        <v>3045500</v>
      </c>
      <c r="K111" s="3">
        <v>0.42149999999999999</v>
      </c>
      <c r="L111" s="3">
        <v>0.28999999999999998</v>
      </c>
      <c r="M111" s="3">
        <v>0.40649999999999997</v>
      </c>
      <c r="N111" s="3">
        <v>72967.600000000006</v>
      </c>
      <c r="O111" s="3">
        <v>32592065783</v>
      </c>
      <c r="P111" s="3">
        <v>7295125</v>
      </c>
      <c r="Q111" s="3">
        <v>3045500</v>
      </c>
      <c r="R111" s="3">
        <v>7295125</v>
      </c>
      <c r="S111" s="3">
        <v>7242600</v>
      </c>
      <c r="T111" s="3">
        <v>3652600</v>
      </c>
      <c r="U111" s="3">
        <v>60559</v>
      </c>
      <c r="V111" s="3">
        <v>72712</v>
      </c>
      <c r="W111" s="3">
        <v>20.07</v>
      </c>
      <c r="X111" s="34">
        <v>41274167</v>
      </c>
      <c r="Y111" s="35">
        <v>3725833</v>
      </c>
      <c r="Z111" s="34">
        <f t="shared" si="4"/>
        <v>-10.077836016804833</v>
      </c>
      <c r="AA111" s="36">
        <f>3725833/45000000</f>
        <v>8.2796288888888889E-2</v>
      </c>
      <c r="AB111" s="7">
        <v>42573</v>
      </c>
    </row>
    <row r="112" spans="1:28" s="3" customFormat="1" x14ac:dyDescent="0.35">
      <c r="A112" s="4">
        <v>41551.39875</v>
      </c>
      <c r="B112" s="4">
        <v>40514</v>
      </c>
      <c r="C112" s="3" t="s">
        <v>22</v>
      </c>
      <c r="D112" s="30" t="s">
        <v>453</v>
      </c>
      <c r="E112" s="3" t="s">
        <v>455</v>
      </c>
      <c r="F112" s="27" t="s">
        <v>456</v>
      </c>
      <c r="G112" s="3" t="s">
        <v>449</v>
      </c>
      <c r="H112" s="3" t="s">
        <v>457</v>
      </c>
      <c r="I112" s="3" t="s">
        <v>458</v>
      </c>
      <c r="J112" s="3">
        <v>6249768</v>
      </c>
      <c r="K112" s="3">
        <v>0.42149999999999999</v>
      </c>
      <c r="L112" s="3">
        <v>0.28999999999999998</v>
      </c>
      <c r="M112" s="3">
        <v>0.40649999999999997</v>
      </c>
      <c r="N112" s="3">
        <v>72967.600000000006</v>
      </c>
      <c r="O112" s="3">
        <v>32592065783</v>
      </c>
      <c r="P112" s="3">
        <v>6233578</v>
      </c>
      <c r="Q112" s="3">
        <v>6233578</v>
      </c>
      <c r="R112" s="3">
        <v>6233578</v>
      </c>
      <c r="S112" s="3">
        <v>5792931</v>
      </c>
      <c r="T112" s="3">
        <v>5792931</v>
      </c>
      <c r="U112" s="3">
        <v>60559</v>
      </c>
      <c r="V112" s="3">
        <v>72712</v>
      </c>
      <c r="W112" s="3">
        <v>20.07</v>
      </c>
      <c r="X112" s="34">
        <v>15277912</v>
      </c>
      <c r="Y112" s="35">
        <v>139722088</v>
      </c>
      <c r="Z112" s="34">
        <f t="shared" si="4"/>
        <v>0.89065499794134195</v>
      </c>
      <c r="AA112" s="36">
        <f>139722088/155000000</f>
        <v>0.90143282580645157</v>
      </c>
      <c r="AB112" s="7">
        <v>42573</v>
      </c>
    </row>
    <row r="113" spans="1:30" s="3" customFormat="1" x14ac:dyDescent="0.35">
      <c r="A113" s="4">
        <v>41222.3889583333</v>
      </c>
      <c r="B113" s="4">
        <v>41059</v>
      </c>
      <c r="C113" s="3" t="s">
        <v>22</v>
      </c>
      <c r="D113" s="30" t="s">
        <v>453</v>
      </c>
      <c r="E113" s="3" t="s">
        <v>459</v>
      </c>
      <c r="F113" s="27" t="s">
        <v>460</v>
      </c>
      <c r="G113" s="3" t="s">
        <v>449</v>
      </c>
      <c r="H113" s="3" t="s">
        <v>461</v>
      </c>
      <c r="I113" s="3" t="s">
        <v>462</v>
      </c>
      <c r="J113" s="3">
        <v>12266750</v>
      </c>
      <c r="K113" s="3">
        <v>0.42149999999999999</v>
      </c>
      <c r="L113" s="3">
        <v>0.28999999999999998</v>
      </c>
      <c r="M113" s="3">
        <v>0.40649999999999997</v>
      </c>
      <c r="N113" s="3">
        <v>72967.600000000006</v>
      </c>
      <c r="O113" s="3">
        <v>32592065783</v>
      </c>
      <c r="P113" s="3">
        <v>9888550</v>
      </c>
      <c r="Q113" s="3">
        <v>12266750</v>
      </c>
      <c r="R113" s="3">
        <v>12266750</v>
      </c>
      <c r="S113" s="3">
        <v>9580900</v>
      </c>
      <c r="T113" s="3">
        <v>10150600</v>
      </c>
      <c r="U113" s="3">
        <v>60559</v>
      </c>
      <c r="V113" s="3">
        <v>72712</v>
      </c>
      <c r="W113" s="3">
        <v>20.07</v>
      </c>
      <c r="X113" s="34">
        <v>27039223</v>
      </c>
      <c r="Y113" s="35">
        <v>122960777</v>
      </c>
      <c r="Z113" s="34">
        <f t="shared" si="4"/>
        <v>0.78009879524427528</v>
      </c>
      <c r="AA113" s="36">
        <f>122960777/150000000</f>
        <v>0.81973851333333336</v>
      </c>
      <c r="AB113" s="7">
        <v>42572</v>
      </c>
    </row>
    <row r="114" spans="1:30" s="3" customFormat="1" x14ac:dyDescent="0.35">
      <c r="A114" s="4">
        <v>41488.491990740702</v>
      </c>
      <c r="B114" s="4">
        <v>41466</v>
      </c>
      <c r="C114" s="3" t="s">
        <v>22</v>
      </c>
      <c r="D114" s="30" t="s">
        <v>453</v>
      </c>
      <c r="E114" s="3" t="s">
        <v>463</v>
      </c>
      <c r="F114" s="27" t="s">
        <v>464</v>
      </c>
      <c r="G114" s="3" t="s">
        <v>449</v>
      </c>
      <c r="H114" s="3" t="s">
        <v>37</v>
      </c>
      <c r="I114" s="3" t="s">
        <v>465</v>
      </c>
      <c r="J114" s="3">
        <v>8705725</v>
      </c>
      <c r="K114" s="3">
        <v>0.42149999999999999</v>
      </c>
      <c r="L114" s="3">
        <v>0.28999999999999998</v>
      </c>
      <c r="M114" s="3">
        <v>0.40649999999999997</v>
      </c>
      <c r="N114" s="3">
        <v>72967.600000000006</v>
      </c>
      <c r="O114" s="3">
        <v>32592065783</v>
      </c>
      <c r="P114" s="3">
        <v>8620725</v>
      </c>
      <c r="Q114" s="3">
        <v>8705725</v>
      </c>
      <c r="R114" s="3">
        <v>8705725</v>
      </c>
      <c r="S114" s="3">
        <v>8507250</v>
      </c>
      <c r="T114" s="3">
        <v>8425250</v>
      </c>
      <c r="U114" s="3">
        <v>60559</v>
      </c>
      <c r="V114" s="3">
        <v>72712</v>
      </c>
      <c r="W114" s="3">
        <v>20.07</v>
      </c>
      <c r="X114" s="34">
        <v>44176938</v>
      </c>
      <c r="Y114" s="35">
        <v>65618062</v>
      </c>
      <c r="Z114" s="34">
        <f t="shared" si="4"/>
        <v>0.32675643483649364</v>
      </c>
      <c r="AA114" s="36">
        <f>65618062/109795000</f>
        <v>0.5976416230247279</v>
      </c>
      <c r="AB114" s="7">
        <v>42572</v>
      </c>
    </row>
    <row r="115" spans="1:30" s="3" customFormat="1" x14ac:dyDescent="0.35">
      <c r="A115" s="4">
        <v>42111.427094907398</v>
      </c>
      <c r="B115" s="4">
        <v>42038</v>
      </c>
      <c r="C115" s="3" t="s">
        <v>22</v>
      </c>
      <c r="D115" s="30" t="s">
        <v>453</v>
      </c>
      <c r="E115" s="3" t="s">
        <v>466</v>
      </c>
      <c r="F115" s="27" t="s">
        <v>467</v>
      </c>
      <c r="G115" s="3" t="s">
        <v>449</v>
      </c>
      <c r="H115" s="3" t="s">
        <v>468</v>
      </c>
      <c r="I115" s="3" t="s">
        <v>469</v>
      </c>
      <c r="J115" s="3">
        <v>2204750</v>
      </c>
      <c r="K115" s="3">
        <v>0.42149999999999999</v>
      </c>
      <c r="L115" s="3">
        <v>0.28999999999999998</v>
      </c>
      <c r="M115" s="3">
        <v>0.40649999999999997</v>
      </c>
      <c r="N115" s="3">
        <v>72967.600000000006</v>
      </c>
      <c r="O115" s="3">
        <v>32592065783</v>
      </c>
      <c r="P115" s="3">
        <v>2204750</v>
      </c>
      <c r="Q115" s="3">
        <v>2204750</v>
      </c>
      <c r="R115" s="3">
        <v>2204750</v>
      </c>
      <c r="S115" s="3">
        <v>3052818</v>
      </c>
      <c r="T115" s="3">
        <v>18642350</v>
      </c>
      <c r="U115" s="3">
        <v>60559</v>
      </c>
      <c r="V115" s="3">
        <v>72712</v>
      </c>
      <c r="W115" s="3">
        <v>20.07</v>
      </c>
      <c r="X115" s="34">
        <v>76494053</v>
      </c>
      <c r="Y115" s="35">
        <v>103505947</v>
      </c>
      <c r="Z115" s="34">
        <f t="shared" si="4"/>
        <v>0.2609694880623622</v>
      </c>
      <c r="AA115" s="36">
        <f>103505947/180000000</f>
        <v>0.5750330388888889</v>
      </c>
      <c r="AB115" s="7">
        <v>42570</v>
      </c>
    </row>
    <row r="116" spans="1:30" s="3" customFormat="1" x14ac:dyDescent="0.35">
      <c r="A116" s="4">
        <v>42453.6401736111</v>
      </c>
      <c r="B116" s="4">
        <v>42396</v>
      </c>
      <c r="D116" s="30" t="s">
        <v>453</v>
      </c>
      <c r="E116" s="3" t="s">
        <v>470</v>
      </c>
      <c r="F116" s="27" t="s">
        <v>471</v>
      </c>
      <c r="G116" s="3" t="s">
        <v>449</v>
      </c>
      <c r="H116" s="3" t="s">
        <v>446</v>
      </c>
      <c r="I116" s="3" t="s">
        <v>472</v>
      </c>
      <c r="L116" s="3">
        <v>0.28999999999999998</v>
      </c>
      <c r="M116" s="3">
        <v>0.40649999999999997</v>
      </c>
      <c r="N116" s="3">
        <v>72967.600000000006</v>
      </c>
      <c r="O116" s="3">
        <v>32592065783</v>
      </c>
      <c r="P116" s="3">
        <v>5324037</v>
      </c>
      <c r="Q116" s="3">
        <v>13943675</v>
      </c>
      <c r="R116" s="3">
        <v>13943675</v>
      </c>
      <c r="S116" s="3">
        <v>5087521</v>
      </c>
      <c r="T116" s="3">
        <v>14015450</v>
      </c>
      <c r="U116" s="3">
        <v>60559</v>
      </c>
      <c r="V116" s="3">
        <v>72712</v>
      </c>
      <c r="W116" s="3">
        <v>20.07</v>
      </c>
      <c r="X116" s="34">
        <v>109059450</v>
      </c>
      <c r="Y116" s="35">
        <v>150940550</v>
      </c>
      <c r="Z116" s="34">
        <f t="shared" si="4"/>
        <v>0.27746751949691451</v>
      </c>
      <c r="AA116" s="36">
        <f>150940550/260000000</f>
        <v>0.58054057692307692</v>
      </c>
      <c r="AB116" s="7">
        <v>42571</v>
      </c>
    </row>
    <row r="117" spans="1:30" s="3" customFormat="1" x14ac:dyDescent="0.35">
      <c r="A117" s="4">
        <v>40909</v>
      </c>
      <c r="B117" s="4">
        <v>40644</v>
      </c>
      <c r="D117" s="30" t="s">
        <v>476</v>
      </c>
      <c r="E117" s="3" t="s">
        <v>50</v>
      </c>
      <c r="F117" s="27" t="s">
        <v>474</v>
      </c>
      <c r="G117" s="3" t="s">
        <v>473</v>
      </c>
      <c r="H117" s="3" t="s">
        <v>475</v>
      </c>
      <c r="I117" s="3" t="s">
        <v>477</v>
      </c>
      <c r="J117" s="3">
        <v>5369212</v>
      </c>
      <c r="K117" s="3">
        <v>0.30159999999999998</v>
      </c>
      <c r="L117" s="3">
        <v>0.28999999999999998</v>
      </c>
      <c r="M117" s="3">
        <v>0.3448</v>
      </c>
      <c r="N117" s="3">
        <v>49405.7</v>
      </c>
      <c r="O117" s="3">
        <v>17229826900</v>
      </c>
      <c r="P117" s="3">
        <v>5235438</v>
      </c>
      <c r="Q117" s="3">
        <v>5369212</v>
      </c>
      <c r="R117" s="3">
        <v>5369212</v>
      </c>
      <c r="S117" s="3">
        <v>5694644</v>
      </c>
      <c r="T117" s="3">
        <v>5790000</v>
      </c>
      <c r="U117" s="3">
        <v>45075</v>
      </c>
      <c r="V117" s="3">
        <v>50377</v>
      </c>
      <c r="W117" s="3">
        <v>11.76</v>
      </c>
      <c r="X117" s="48">
        <v>21242285</v>
      </c>
      <c r="Y117" s="15">
        <v>62657715</v>
      </c>
      <c r="Z117" s="34">
        <f t="shared" si="4"/>
        <v>0.66097893930539919</v>
      </c>
      <c r="AA117" s="36">
        <f>'Klein ISD multiple costs '!I13</f>
        <v>7.5570786045698952</v>
      </c>
      <c r="AB117" s="7">
        <v>42573</v>
      </c>
    </row>
    <row r="118" spans="1:30" s="3" customFormat="1" x14ac:dyDescent="0.35">
      <c r="A118" s="4">
        <v>42111.427094907398</v>
      </c>
      <c r="B118" s="4">
        <v>42017.416666666701</v>
      </c>
      <c r="D118" s="30" t="s">
        <v>476</v>
      </c>
      <c r="E118" s="3" t="s">
        <v>478</v>
      </c>
      <c r="F118" s="27" t="s">
        <v>479</v>
      </c>
      <c r="G118" s="3" t="s">
        <v>473</v>
      </c>
      <c r="H118" s="3" t="s">
        <v>480</v>
      </c>
      <c r="I118" s="3" t="s">
        <v>481</v>
      </c>
      <c r="J118" s="3">
        <v>4402385</v>
      </c>
      <c r="K118" s="3">
        <v>0.30159999999999998</v>
      </c>
      <c r="L118" s="3">
        <v>0.28999999999999998</v>
      </c>
      <c r="M118" s="3">
        <v>0.3448</v>
      </c>
      <c r="N118" s="3">
        <v>49405.7</v>
      </c>
      <c r="O118" s="3">
        <v>17229826900</v>
      </c>
      <c r="P118" s="3">
        <v>4011435</v>
      </c>
      <c r="Q118" s="3">
        <v>4402385</v>
      </c>
      <c r="R118" s="3">
        <v>4402385</v>
      </c>
      <c r="U118" s="3">
        <v>45075</v>
      </c>
      <c r="V118" s="3">
        <v>50377</v>
      </c>
      <c r="W118" s="3">
        <v>11.76</v>
      </c>
      <c r="X118" s="3">
        <v>171000000</v>
      </c>
      <c r="Y118" s="15">
        <v>171000000</v>
      </c>
      <c r="Z118" s="34">
        <f t="shared" si="4"/>
        <v>0</v>
      </c>
      <c r="AA118" s="11">
        <v>5.3570000000000002</v>
      </c>
      <c r="AB118" s="7">
        <v>42570</v>
      </c>
    </row>
    <row r="119" spans="1:30" s="3" customFormat="1" x14ac:dyDescent="0.35">
      <c r="A119" s="6"/>
      <c r="B119" s="7">
        <v>40996</v>
      </c>
      <c r="C119" s="5"/>
      <c r="D119" s="31">
        <v>101915</v>
      </c>
      <c r="E119" s="5" t="s">
        <v>777</v>
      </c>
      <c r="F119" s="27">
        <v>79961</v>
      </c>
      <c r="G119" s="5" t="s">
        <v>473</v>
      </c>
      <c r="H119" s="5" t="s">
        <v>813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>
        <v>4305900</v>
      </c>
      <c r="T119" s="5">
        <v>4308900</v>
      </c>
      <c r="U119" s="5"/>
      <c r="V119" s="5"/>
      <c r="W119" s="5"/>
      <c r="X119" s="5">
        <v>15667985</v>
      </c>
      <c r="Y119" s="16">
        <f>'Klein ISD multiple costs '!F27</f>
        <v>0</v>
      </c>
      <c r="Z119" s="34" t="e">
        <f t="shared" si="4"/>
        <v>#DIV/0!</v>
      </c>
      <c r="AA119" s="10">
        <v>4.0609999999999999</v>
      </c>
      <c r="AB119" s="8">
        <v>42206</v>
      </c>
    </row>
    <row r="120" spans="1:30" s="3" customFormat="1" x14ac:dyDescent="0.35">
      <c r="A120" s="6"/>
      <c r="B120" s="7">
        <v>40996</v>
      </c>
      <c r="C120" s="5"/>
      <c r="D120" s="31">
        <v>101915</v>
      </c>
      <c r="E120" s="5" t="s">
        <v>777</v>
      </c>
      <c r="F120" s="27">
        <v>79962</v>
      </c>
      <c r="G120" s="5" t="s">
        <v>473</v>
      </c>
      <c r="H120" s="5" t="s">
        <v>814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>
        <v>4305900</v>
      </c>
      <c r="T120" s="5">
        <v>4308900</v>
      </c>
      <c r="U120" s="5"/>
      <c r="V120" s="5"/>
      <c r="W120" s="5"/>
      <c r="X120" s="5">
        <v>15667985</v>
      </c>
      <c r="Y120" s="16">
        <f>'Klein ISD multiple costs '!F28</f>
        <v>41332015</v>
      </c>
      <c r="Z120" s="34">
        <f t="shared" si="4"/>
        <v>0.62092375607625228</v>
      </c>
      <c r="AA120" s="10">
        <v>4.0609999999999999</v>
      </c>
      <c r="AB120" s="8">
        <v>42206</v>
      </c>
    </row>
    <row r="121" spans="1:30" s="3" customFormat="1" x14ac:dyDescent="0.35">
      <c r="A121" s="4">
        <v>42017.432453703703</v>
      </c>
      <c r="B121" s="4">
        <v>41885</v>
      </c>
      <c r="C121" s="3" t="s">
        <v>22</v>
      </c>
      <c r="D121" s="30" t="s">
        <v>485</v>
      </c>
      <c r="E121" s="3" t="s">
        <v>483</v>
      </c>
      <c r="F121" s="27" t="s">
        <v>484</v>
      </c>
      <c r="G121" s="3" t="s">
        <v>482</v>
      </c>
      <c r="H121" s="3" t="s">
        <v>31</v>
      </c>
      <c r="I121" s="3" t="s">
        <v>486</v>
      </c>
      <c r="J121" s="3">
        <v>6520975</v>
      </c>
      <c r="K121" s="3">
        <v>0.4229</v>
      </c>
      <c r="L121" s="3">
        <v>0.28999999999999998</v>
      </c>
      <c r="M121" s="3">
        <v>1.2379</v>
      </c>
      <c r="N121" s="3">
        <v>7209.46</v>
      </c>
      <c r="O121" s="3">
        <v>8324199872</v>
      </c>
      <c r="P121" s="3">
        <v>6256550</v>
      </c>
      <c r="Q121" s="3">
        <v>6520975</v>
      </c>
      <c r="R121" s="3">
        <v>6520975</v>
      </c>
      <c r="S121" s="3">
        <v>13000000</v>
      </c>
      <c r="T121" s="3">
        <v>13000000</v>
      </c>
      <c r="U121" s="3">
        <v>7783</v>
      </c>
      <c r="V121" s="3">
        <v>7728</v>
      </c>
      <c r="W121" s="3">
        <v>-0.71</v>
      </c>
      <c r="X121" s="46">
        <v>0</v>
      </c>
      <c r="Y121" s="35">
        <v>110000000</v>
      </c>
      <c r="Z121" s="34">
        <f t="shared" si="4"/>
        <v>1</v>
      </c>
      <c r="AA121" s="36">
        <f>110000000/110000000</f>
        <v>1</v>
      </c>
      <c r="AB121" s="12">
        <v>42572</v>
      </c>
    </row>
    <row r="122" spans="1:30" s="3" customFormat="1" ht="20.45" customHeight="1" x14ac:dyDescent="0.35">
      <c r="A122" s="4">
        <v>42111.427094907398</v>
      </c>
      <c r="B122" s="4">
        <v>42073.416666666701</v>
      </c>
      <c r="C122" s="3" t="s">
        <v>22</v>
      </c>
      <c r="D122" s="30" t="s">
        <v>485</v>
      </c>
      <c r="E122" s="3" t="s">
        <v>487</v>
      </c>
      <c r="F122" s="27" t="s">
        <v>488</v>
      </c>
      <c r="G122" s="3" t="s">
        <v>482</v>
      </c>
      <c r="H122" s="3" t="s">
        <v>60</v>
      </c>
      <c r="I122" s="3" t="s">
        <v>489</v>
      </c>
      <c r="J122" s="3">
        <v>2886812</v>
      </c>
      <c r="K122" s="3">
        <v>0.4229</v>
      </c>
      <c r="L122" s="3">
        <v>0.28999999999999998</v>
      </c>
      <c r="M122" s="3">
        <v>1.2379</v>
      </c>
      <c r="N122" s="3">
        <v>7209.46</v>
      </c>
      <c r="O122" s="3">
        <v>8324199872</v>
      </c>
      <c r="P122" s="3">
        <v>2886812</v>
      </c>
      <c r="Q122" s="3">
        <v>2886812</v>
      </c>
      <c r="R122" s="3">
        <v>2886812</v>
      </c>
      <c r="S122" s="3">
        <v>19000000</v>
      </c>
      <c r="T122" s="3">
        <v>13000000</v>
      </c>
      <c r="U122" s="3">
        <v>7783</v>
      </c>
      <c r="V122" s="3">
        <v>7728</v>
      </c>
      <c r="W122" s="3">
        <v>-0.71</v>
      </c>
      <c r="X122" s="46">
        <v>0</v>
      </c>
      <c r="Y122" s="35">
        <v>75000000</v>
      </c>
      <c r="Z122" s="34">
        <f t="shared" si="4"/>
        <v>1</v>
      </c>
      <c r="AA122" s="36">
        <f>75000000/75000000</f>
        <v>1</v>
      </c>
      <c r="AB122" s="13">
        <v>42570</v>
      </c>
    </row>
    <row r="123" spans="1:30" s="3" customFormat="1" x14ac:dyDescent="0.35">
      <c r="A123" s="4">
        <v>40997</v>
      </c>
      <c r="B123" s="4">
        <v>40932</v>
      </c>
      <c r="C123" s="3" t="s">
        <v>22</v>
      </c>
      <c r="D123" s="30" t="s">
        <v>491</v>
      </c>
      <c r="E123" s="3" t="s">
        <v>492</v>
      </c>
      <c r="F123" s="27" t="s">
        <v>493</v>
      </c>
      <c r="G123" s="3" t="s">
        <v>490</v>
      </c>
      <c r="H123" s="3" t="s">
        <v>494</v>
      </c>
      <c r="I123" s="3" t="s">
        <v>495</v>
      </c>
      <c r="J123" s="3">
        <v>2086713</v>
      </c>
      <c r="K123" s="3">
        <v>0.26960000000000001</v>
      </c>
      <c r="L123" s="3">
        <v>0.2404</v>
      </c>
      <c r="M123" s="3">
        <v>0.2404</v>
      </c>
      <c r="N123" s="3">
        <v>52800</v>
      </c>
      <c r="O123" s="3">
        <v>11800406152</v>
      </c>
      <c r="P123" s="3">
        <v>1130774</v>
      </c>
      <c r="Q123" s="3">
        <v>2080774</v>
      </c>
      <c r="R123" s="3">
        <v>2080774</v>
      </c>
      <c r="S123" s="3">
        <v>2484808</v>
      </c>
      <c r="T123" s="3">
        <v>3358100</v>
      </c>
      <c r="U123" s="3">
        <v>51964</v>
      </c>
      <c r="V123" s="3">
        <v>55859</v>
      </c>
      <c r="W123" s="3">
        <v>7.5</v>
      </c>
      <c r="X123" s="34">
        <v>3083397</v>
      </c>
      <c r="Y123" s="35">
        <v>25966603</v>
      </c>
      <c r="Z123" s="34">
        <f t="shared" si="4"/>
        <v>0.88125528009959564</v>
      </c>
      <c r="AA123" s="36">
        <f>25966603/29050000</f>
        <v>0.89385896729776249</v>
      </c>
      <c r="AB123" s="7">
        <v>42572</v>
      </c>
    </row>
    <row r="124" spans="1:30" s="5" customFormat="1" x14ac:dyDescent="0.35">
      <c r="A124" s="4">
        <v>41366.582256944399</v>
      </c>
      <c r="B124" s="4">
        <v>41310</v>
      </c>
      <c r="C124" s="3" t="s">
        <v>22</v>
      </c>
      <c r="D124" s="30" t="s">
        <v>491</v>
      </c>
      <c r="E124" s="3" t="s">
        <v>297</v>
      </c>
      <c r="F124" s="27" t="s">
        <v>496</v>
      </c>
      <c r="G124" s="3" t="s">
        <v>490</v>
      </c>
      <c r="H124" s="3" t="s">
        <v>299</v>
      </c>
      <c r="I124" s="3" t="s">
        <v>497</v>
      </c>
      <c r="J124" s="3">
        <v>9850900</v>
      </c>
      <c r="K124" s="3">
        <v>0.26960000000000001</v>
      </c>
      <c r="L124" s="3">
        <v>0.2404</v>
      </c>
      <c r="M124" s="3">
        <v>0.2404</v>
      </c>
      <c r="N124" s="3">
        <v>52800</v>
      </c>
      <c r="O124" s="3">
        <v>11800406152</v>
      </c>
      <c r="P124" s="3">
        <v>11054600</v>
      </c>
      <c r="Q124" s="3">
        <v>9850900</v>
      </c>
      <c r="R124" s="3">
        <v>11054600</v>
      </c>
      <c r="S124" s="3">
        <v>8213104</v>
      </c>
      <c r="T124" s="3">
        <v>8215329</v>
      </c>
      <c r="U124" s="3">
        <v>51964</v>
      </c>
      <c r="V124" s="3">
        <v>55859</v>
      </c>
      <c r="W124" s="3">
        <v>7.5</v>
      </c>
      <c r="X124" s="34">
        <v>45743285</v>
      </c>
      <c r="Y124" s="35">
        <v>127946715</v>
      </c>
      <c r="Z124" s="34">
        <f t="shared" si="4"/>
        <v>0.6424817550024633</v>
      </c>
      <c r="AA124" s="36">
        <f>127946715/173690000</f>
        <v>0.73663834993379007</v>
      </c>
      <c r="AB124" s="7">
        <v>42572</v>
      </c>
    </row>
    <row r="125" spans="1:30" s="3" customFormat="1" x14ac:dyDescent="0.35">
      <c r="A125" s="4" t="s">
        <v>753</v>
      </c>
      <c r="B125" s="4">
        <v>40589</v>
      </c>
      <c r="D125" s="30" t="s">
        <v>500</v>
      </c>
      <c r="E125" s="3" t="s">
        <v>50</v>
      </c>
      <c r="F125" s="27" t="s">
        <v>499</v>
      </c>
      <c r="G125" s="3" t="s">
        <v>498</v>
      </c>
      <c r="H125" s="3" t="s">
        <v>52</v>
      </c>
      <c r="I125" s="3" t="s">
        <v>501</v>
      </c>
      <c r="J125" s="3">
        <v>347988</v>
      </c>
      <c r="K125" s="3">
        <v>0.26429999999999998</v>
      </c>
      <c r="L125" s="3">
        <v>0.26650000000000001</v>
      </c>
      <c r="M125" s="3">
        <v>0.42630000000000001</v>
      </c>
      <c r="N125" s="3">
        <v>8016.1729999999998</v>
      </c>
      <c r="O125" s="3">
        <v>5476667046</v>
      </c>
      <c r="P125" s="3">
        <v>346212</v>
      </c>
      <c r="Q125" s="3">
        <v>347988</v>
      </c>
      <c r="R125" s="3">
        <v>347988</v>
      </c>
      <c r="S125" s="3">
        <v>0</v>
      </c>
      <c r="T125" s="3">
        <v>0</v>
      </c>
      <c r="U125" s="3">
        <v>6754</v>
      </c>
      <c r="V125" s="3">
        <v>8330</v>
      </c>
      <c r="W125" s="3">
        <v>23.33</v>
      </c>
      <c r="X125" s="34">
        <v>0</v>
      </c>
      <c r="Y125" s="35">
        <v>14208502</v>
      </c>
      <c r="Z125" s="34">
        <f t="shared" si="4"/>
        <v>1</v>
      </c>
      <c r="AA125" s="36">
        <f>14208502/14208502</f>
        <v>1</v>
      </c>
      <c r="AB125" s="7">
        <v>42573</v>
      </c>
      <c r="AD125" s="8">
        <v>42570</v>
      </c>
    </row>
    <row r="126" spans="1:30" s="76" customFormat="1" x14ac:dyDescent="0.35">
      <c r="A126" s="86"/>
      <c r="B126" s="86">
        <v>42604</v>
      </c>
      <c r="C126" s="82"/>
      <c r="D126" s="87">
        <v>101925</v>
      </c>
      <c r="E126" s="82" t="s">
        <v>72</v>
      </c>
      <c r="F126" s="88" t="s">
        <v>1229</v>
      </c>
      <c r="G126" s="82" t="s">
        <v>758</v>
      </c>
      <c r="H126" s="82" t="s">
        <v>74</v>
      </c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>
        <v>0</v>
      </c>
      <c r="T126" s="82">
        <v>114792</v>
      </c>
      <c r="U126" s="82"/>
      <c r="V126" s="82"/>
      <c r="W126" s="82"/>
      <c r="X126" s="89">
        <v>676000</v>
      </c>
      <c r="Y126" s="90">
        <v>43424000</v>
      </c>
      <c r="Z126" s="78">
        <f t="shared" si="4"/>
        <v>0.98443257184966837</v>
      </c>
      <c r="AA126" s="91">
        <f>43424000/44100000</f>
        <v>0.98467120181405898</v>
      </c>
      <c r="AB126" s="92">
        <v>42571</v>
      </c>
    </row>
    <row r="127" spans="1:30" s="3" customFormat="1" x14ac:dyDescent="0.35">
      <c r="A127" s="4">
        <v>42263.389016203699</v>
      </c>
      <c r="B127" s="4">
        <v>42205</v>
      </c>
      <c r="C127" s="3" t="s">
        <v>22</v>
      </c>
      <c r="D127" s="30" t="s">
        <v>504</v>
      </c>
      <c r="E127" s="3" t="s">
        <v>194</v>
      </c>
      <c r="F127" s="27" t="s">
        <v>503</v>
      </c>
      <c r="G127" s="3" t="s">
        <v>502</v>
      </c>
      <c r="H127" s="3" t="s">
        <v>126</v>
      </c>
      <c r="I127" s="3" t="s">
        <v>505</v>
      </c>
      <c r="J127" s="3">
        <v>0</v>
      </c>
      <c r="K127" s="3">
        <v>0</v>
      </c>
      <c r="L127" s="3">
        <v>0</v>
      </c>
      <c r="M127" s="3">
        <v>0.3841</v>
      </c>
      <c r="N127" s="3">
        <v>5019.6989999999996</v>
      </c>
      <c r="O127" s="3">
        <v>2572765142</v>
      </c>
      <c r="P127" s="3">
        <v>6888328</v>
      </c>
      <c r="Q127" s="3">
        <v>5422750</v>
      </c>
      <c r="R127" s="3">
        <v>6888328</v>
      </c>
      <c r="S127" s="3">
        <v>15000000</v>
      </c>
      <c r="T127" s="3">
        <v>15000000</v>
      </c>
      <c r="U127" s="3">
        <v>5829</v>
      </c>
      <c r="V127" s="3">
        <v>5576</v>
      </c>
      <c r="W127" s="3">
        <v>-4.34</v>
      </c>
      <c r="X127" s="34">
        <v>0</v>
      </c>
      <c r="Y127" s="35">
        <v>90210000</v>
      </c>
      <c r="Z127" s="34">
        <f t="shared" si="4"/>
        <v>1</v>
      </c>
      <c r="AA127" s="36">
        <f>90210000/90210000</f>
        <v>1</v>
      </c>
      <c r="AB127" s="7">
        <v>42570</v>
      </c>
    </row>
    <row r="128" spans="1:30" s="76" customFormat="1" x14ac:dyDescent="0.35">
      <c r="A128" s="75">
        <v>42419.304305555597</v>
      </c>
      <c r="B128" s="75">
        <v>42552</v>
      </c>
      <c r="D128" s="77" t="s">
        <v>504</v>
      </c>
      <c r="E128" s="76" t="s">
        <v>72</v>
      </c>
      <c r="F128" s="88" t="s">
        <v>1230</v>
      </c>
      <c r="G128" s="76" t="s">
        <v>502</v>
      </c>
      <c r="H128" s="76" t="s">
        <v>74</v>
      </c>
      <c r="I128" s="76" t="s">
        <v>507</v>
      </c>
      <c r="L128" s="76">
        <v>0</v>
      </c>
      <c r="M128" s="76">
        <v>0.3841</v>
      </c>
      <c r="N128" s="76">
        <v>5019.6989999999996</v>
      </c>
      <c r="O128" s="76">
        <v>2572765142</v>
      </c>
      <c r="S128" s="76">
        <v>0</v>
      </c>
      <c r="T128" s="76">
        <v>2000000</v>
      </c>
      <c r="U128" s="76">
        <v>5829</v>
      </c>
      <c r="V128" s="76">
        <v>5576</v>
      </c>
      <c r="W128" s="76">
        <v>-4.34</v>
      </c>
      <c r="X128" s="78">
        <v>0</v>
      </c>
      <c r="Y128" s="79">
        <v>9500000</v>
      </c>
      <c r="Z128" s="78">
        <f t="shared" ref="Z128:Z131" si="5">1-(X128/Y128)</f>
        <v>1</v>
      </c>
      <c r="AA128" s="80">
        <f>9500000/9500000</f>
        <v>1</v>
      </c>
      <c r="AB128" s="81">
        <v>42571</v>
      </c>
    </row>
    <row r="129" spans="1:28" s="3" customFormat="1" x14ac:dyDescent="0.35">
      <c r="A129" s="4">
        <v>42453.6401736111</v>
      </c>
      <c r="B129" s="4">
        <v>42380.4375</v>
      </c>
      <c r="D129" s="30" t="s">
        <v>510</v>
      </c>
      <c r="E129" s="3" t="s">
        <v>74</v>
      </c>
      <c r="F129" s="27" t="s">
        <v>509</v>
      </c>
      <c r="G129" s="3" t="s">
        <v>508</v>
      </c>
      <c r="H129" s="3" t="s">
        <v>74</v>
      </c>
      <c r="I129" s="3" t="s">
        <v>511</v>
      </c>
      <c r="L129" s="3">
        <v>9.6299999999999997E-2</v>
      </c>
      <c r="M129" s="3">
        <v>0.16839999999999999</v>
      </c>
      <c r="N129" s="3">
        <v>900</v>
      </c>
      <c r="O129" s="3">
        <v>389101442</v>
      </c>
      <c r="P129" s="3">
        <v>180454</v>
      </c>
      <c r="Q129" s="3">
        <v>564150</v>
      </c>
      <c r="R129" s="3">
        <v>564150</v>
      </c>
      <c r="S129" s="3">
        <v>0</v>
      </c>
      <c r="T129" s="3">
        <v>1200000</v>
      </c>
      <c r="U129" s="3">
        <v>785</v>
      </c>
      <c r="V129" s="3">
        <v>914</v>
      </c>
      <c r="W129" s="3">
        <v>16.43</v>
      </c>
      <c r="X129" s="37">
        <v>0</v>
      </c>
      <c r="Y129" s="38">
        <v>9600000</v>
      </c>
      <c r="Z129" s="34">
        <f t="shared" si="5"/>
        <v>1</v>
      </c>
      <c r="AA129" s="36">
        <f>9600000/9600000</f>
        <v>1</v>
      </c>
      <c r="AB129" s="7">
        <v>42571</v>
      </c>
    </row>
    <row r="130" spans="1:28" s="3" customFormat="1" x14ac:dyDescent="0.35">
      <c r="A130" s="4">
        <v>40997</v>
      </c>
      <c r="B130" s="4">
        <v>40724</v>
      </c>
      <c r="C130" s="3" t="s">
        <v>22</v>
      </c>
      <c r="D130" s="30" t="s">
        <v>515</v>
      </c>
      <c r="E130" s="3" t="s">
        <v>513</v>
      </c>
      <c r="F130" s="27" t="s">
        <v>514</v>
      </c>
      <c r="G130" s="3" t="s">
        <v>512</v>
      </c>
      <c r="H130" s="3" t="s">
        <v>146</v>
      </c>
      <c r="I130" s="3" t="s">
        <v>516</v>
      </c>
      <c r="J130" s="3">
        <v>21673</v>
      </c>
      <c r="K130" s="3">
        <v>0.16389999999999999</v>
      </c>
      <c r="L130" s="3">
        <v>0.1648</v>
      </c>
      <c r="M130" s="3">
        <v>0.17699999999999999</v>
      </c>
      <c r="N130" s="3">
        <v>3074.6320000000001</v>
      </c>
      <c r="O130" s="3">
        <v>1252534273</v>
      </c>
      <c r="P130" s="3">
        <v>20188</v>
      </c>
      <c r="Q130" s="3">
        <v>20188</v>
      </c>
      <c r="R130" s="3">
        <v>20188</v>
      </c>
      <c r="S130" s="3">
        <v>1000000</v>
      </c>
      <c r="T130" s="3">
        <v>1000000</v>
      </c>
      <c r="U130" s="3">
        <v>3423</v>
      </c>
      <c r="V130" s="3">
        <v>3178</v>
      </c>
      <c r="W130" s="3">
        <v>-7.16</v>
      </c>
      <c r="X130" s="34">
        <v>0</v>
      </c>
      <c r="Y130" s="35">
        <v>6525000</v>
      </c>
      <c r="Z130" s="34">
        <f t="shared" si="5"/>
        <v>1</v>
      </c>
      <c r="AA130" s="36">
        <f>6525000/6525000</f>
        <v>1</v>
      </c>
      <c r="AB130" s="7">
        <v>42573</v>
      </c>
    </row>
    <row r="131" spans="1:28" s="5" customFormat="1" x14ac:dyDescent="0.35">
      <c r="A131" s="4">
        <v>42453.6401736111</v>
      </c>
      <c r="B131" s="4">
        <v>42390.416666666701</v>
      </c>
      <c r="C131" s="3"/>
      <c r="D131" s="30" t="s">
        <v>515</v>
      </c>
      <c r="E131" s="3" t="s">
        <v>74</v>
      </c>
      <c r="F131" s="27" t="s">
        <v>517</v>
      </c>
      <c r="G131" s="3" t="s">
        <v>512</v>
      </c>
      <c r="H131" s="3" t="s">
        <v>74</v>
      </c>
      <c r="I131" s="3" t="s">
        <v>518</v>
      </c>
      <c r="J131" s="3"/>
      <c r="K131" s="3"/>
      <c r="L131" s="3">
        <v>0.1648</v>
      </c>
      <c r="M131" s="3">
        <v>0.17699999999999999</v>
      </c>
      <c r="N131" s="3">
        <v>3074.6320000000001</v>
      </c>
      <c r="O131" s="3">
        <v>1252534273</v>
      </c>
      <c r="P131" s="3">
        <v>1224373</v>
      </c>
      <c r="Q131" s="3">
        <v>3078925</v>
      </c>
      <c r="R131" s="3">
        <v>3078925</v>
      </c>
      <c r="S131" s="3">
        <v>280000</v>
      </c>
      <c r="T131" s="3">
        <v>6500000</v>
      </c>
      <c r="U131" s="3">
        <v>3423</v>
      </c>
      <c r="V131" s="3">
        <v>3178</v>
      </c>
      <c r="W131" s="3">
        <v>-7.16</v>
      </c>
      <c r="X131" s="34">
        <v>0</v>
      </c>
      <c r="Y131" s="35">
        <v>59900000</v>
      </c>
      <c r="Z131" s="34">
        <f t="shared" si="5"/>
        <v>1</v>
      </c>
      <c r="AA131" s="36">
        <f>59900000/59900000</f>
        <v>1</v>
      </c>
      <c r="AB131" s="7">
        <v>42571</v>
      </c>
    </row>
    <row r="132" spans="1:28" s="3" customFormat="1" x14ac:dyDescent="0.35">
      <c r="A132" s="4">
        <v>40909</v>
      </c>
      <c r="B132" s="4">
        <v>40584</v>
      </c>
      <c r="C132" s="3" t="s">
        <v>22</v>
      </c>
      <c r="D132" s="30" t="s">
        <v>521</v>
      </c>
      <c r="E132" s="3" t="s">
        <v>332</v>
      </c>
      <c r="F132" s="27" t="s">
        <v>520</v>
      </c>
      <c r="G132" s="3" t="s">
        <v>519</v>
      </c>
      <c r="H132" s="3" t="s">
        <v>334</v>
      </c>
      <c r="I132" s="3" t="s">
        <v>522</v>
      </c>
      <c r="J132" s="3">
        <v>2658500</v>
      </c>
      <c r="K132" s="3">
        <v>0.26229999999999998</v>
      </c>
      <c r="L132" s="3">
        <v>0.27060000000000001</v>
      </c>
      <c r="M132" s="3">
        <v>0.29930000000000001</v>
      </c>
      <c r="N132" s="3">
        <v>2562.0459999999998</v>
      </c>
      <c r="O132" s="3">
        <v>632146263</v>
      </c>
      <c r="P132" s="3">
        <v>2668500</v>
      </c>
      <c r="Q132" s="3">
        <v>2658500</v>
      </c>
      <c r="R132" s="3">
        <v>2668500</v>
      </c>
      <c r="S132" s="3">
        <v>2772750</v>
      </c>
      <c r="T132" s="3">
        <v>2777750</v>
      </c>
      <c r="U132" s="3">
        <v>2878</v>
      </c>
      <c r="V132" s="3">
        <v>2710</v>
      </c>
      <c r="W132" s="3">
        <v>-5.84</v>
      </c>
      <c r="X132" s="34">
        <v>0</v>
      </c>
      <c r="Y132" s="35">
        <v>0</v>
      </c>
      <c r="Z132" s="34">
        <v>0</v>
      </c>
      <c r="AA132" s="34">
        <v>0</v>
      </c>
      <c r="AB132" s="7">
        <v>42573</v>
      </c>
    </row>
    <row r="133" spans="1:28" s="3" customFormat="1" x14ac:dyDescent="0.35">
      <c r="A133" s="4">
        <v>40909</v>
      </c>
      <c r="B133" s="4">
        <v>40409</v>
      </c>
      <c r="C133" s="3" t="s">
        <v>22</v>
      </c>
      <c r="D133" s="30" t="s">
        <v>525</v>
      </c>
      <c r="E133" s="3" t="s">
        <v>67</v>
      </c>
      <c r="F133" s="27" t="s">
        <v>524</v>
      </c>
      <c r="G133" s="3" t="s">
        <v>523</v>
      </c>
      <c r="H133" s="3" t="s">
        <v>239</v>
      </c>
      <c r="I133" s="3" t="s">
        <v>526</v>
      </c>
      <c r="J133" s="3">
        <v>60000</v>
      </c>
      <c r="K133" s="3">
        <v>0.19339999999999999</v>
      </c>
      <c r="L133" s="3">
        <v>0.19389999999999999</v>
      </c>
      <c r="M133" s="3">
        <v>0.41739999999999999</v>
      </c>
      <c r="N133" s="3">
        <v>1152</v>
      </c>
      <c r="O133" s="3">
        <v>1105596490</v>
      </c>
      <c r="P133" s="3">
        <v>60000</v>
      </c>
      <c r="Q133" s="3">
        <v>60000</v>
      </c>
      <c r="R133" s="3">
        <v>60000</v>
      </c>
      <c r="S133" s="3">
        <v>750000</v>
      </c>
      <c r="T133" s="3">
        <v>750000</v>
      </c>
      <c r="U133" s="3">
        <v>1259</v>
      </c>
      <c r="V133" s="3">
        <v>1290</v>
      </c>
      <c r="W133" s="3">
        <v>2.46</v>
      </c>
      <c r="X133" s="34">
        <v>0</v>
      </c>
      <c r="Y133" s="35">
        <v>7900000</v>
      </c>
      <c r="Z133" s="34">
        <f t="shared" ref="Z133:Z164" si="6">1-(X133/Y133)</f>
        <v>1</v>
      </c>
      <c r="AA133" s="36">
        <f>7900000/7900000</f>
        <v>1</v>
      </c>
      <c r="AB133" s="7">
        <v>42573</v>
      </c>
    </row>
    <row r="134" spans="1:28" s="3" customFormat="1" x14ac:dyDescent="0.35">
      <c r="A134" s="4">
        <v>41222.381770833301</v>
      </c>
      <c r="B134" s="4">
        <v>41015.479166666701</v>
      </c>
      <c r="C134" s="3" t="s">
        <v>22</v>
      </c>
      <c r="D134" s="30" t="s">
        <v>525</v>
      </c>
      <c r="E134" s="3" t="s">
        <v>45</v>
      </c>
      <c r="F134" s="27" t="s">
        <v>527</v>
      </c>
      <c r="G134" s="3" t="s">
        <v>523</v>
      </c>
      <c r="H134" s="3" t="s">
        <v>25</v>
      </c>
      <c r="I134" s="3" t="s">
        <v>528</v>
      </c>
      <c r="J134" s="3">
        <v>32575</v>
      </c>
      <c r="K134" s="3">
        <v>0.19339999999999999</v>
      </c>
      <c r="L134" s="3">
        <v>0.19389999999999999</v>
      </c>
      <c r="M134" s="3">
        <v>0.41739999999999999</v>
      </c>
      <c r="N134" s="3">
        <v>1152</v>
      </c>
      <c r="O134" s="3">
        <v>1105596490</v>
      </c>
      <c r="P134" s="3">
        <v>32575</v>
      </c>
      <c r="Q134" s="3">
        <v>32575</v>
      </c>
      <c r="R134" s="3">
        <v>32575</v>
      </c>
      <c r="S134" s="3">
        <v>80000</v>
      </c>
      <c r="T134" s="3">
        <v>80000</v>
      </c>
      <c r="U134" s="3">
        <v>1259</v>
      </c>
      <c r="V134" s="3">
        <v>1290</v>
      </c>
      <c r="W134" s="3">
        <v>2.46</v>
      </c>
      <c r="X134" s="34">
        <v>0</v>
      </c>
      <c r="Y134" s="35">
        <v>1000000</v>
      </c>
      <c r="Z134" s="34">
        <f t="shared" si="6"/>
        <v>1</v>
      </c>
      <c r="AA134" s="36">
        <f>1000000/1000000</f>
        <v>1</v>
      </c>
      <c r="AB134" s="7">
        <v>42572</v>
      </c>
    </row>
    <row r="135" spans="1:28" s="3" customFormat="1" x14ac:dyDescent="0.35">
      <c r="A135" s="4">
        <v>42263.389016203699</v>
      </c>
      <c r="B135" s="4">
        <v>42205.458333333299</v>
      </c>
      <c r="C135" s="3" t="s">
        <v>22</v>
      </c>
      <c r="D135" s="30" t="s">
        <v>525</v>
      </c>
      <c r="E135" s="3" t="s">
        <v>194</v>
      </c>
      <c r="F135" s="27" t="s">
        <v>529</v>
      </c>
      <c r="G135" s="3" t="s">
        <v>523</v>
      </c>
      <c r="H135" s="3" t="s">
        <v>126</v>
      </c>
      <c r="I135" s="3" t="s">
        <v>530</v>
      </c>
      <c r="J135" s="3">
        <v>0</v>
      </c>
      <c r="K135" s="3">
        <v>0.19339999999999999</v>
      </c>
      <c r="L135" s="3">
        <v>0.19389999999999999</v>
      </c>
      <c r="M135" s="3">
        <v>0.41739999999999999</v>
      </c>
      <c r="N135" s="3">
        <v>1152</v>
      </c>
      <c r="O135" s="3">
        <v>1105596490</v>
      </c>
      <c r="P135" s="3">
        <v>188094</v>
      </c>
      <c r="Q135" s="3">
        <v>188625</v>
      </c>
      <c r="R135" s="3">
        <v>188625</v>
      </c>
      <c r="S135" s="3">
        <v>600000</v>
      </c>
      <c r="T135" s="3">
        <v>600000</v>
      </c>
      <c r="U135" s="3">
        <v>1259</v>
      </c>
      <c r="V135" s="3">
        <v>1290</v>
      </c>
      <c r="W135" s="3">
        <v>2.46</v>
      </c>
      <c r="X135" s="34">
        <v>0</v>
      </c>
      <c r="Y135" s="35">
        <v>3000000</v>
      </c>
      <c r="Z135" s="34">
        <f t="shared" si="6"/>
        <v>1</v>
      </c>
      <c r="AA135" s="36">
        <f>3000000/3000000</f>
        <v>1</v>
      </c>
      <c r="AB135" s="7">
        <v>42570</v>
      </c>
    </row>
    <row r="136" spans="1:28" s="3" customFormat="1" x14ac:dyDescent="0.35">
      <c r="A136" s="4">
        <v>42263.389016203699</v>
      </c>
      <c r="B136" s="4">
        <v>42201</v>
      </c>
      <c r="C136" s="3" t="s">
        <v>22</v>
      </c>
      <c r="D136" s="30" t="s">
        <v>533</v>
      </c>
      <c r="E136" s="3" t="s">
        <v>487</v>
      </c>
      <c r="F136" s="27" t="s">
        <v>532</v>
      </c>
      <c r="G136" s="3" t="s">
        <v>531</v>
      </c>
      <c r="H136" s="3" t="s">
        <v>126</v>
      </c>
      <c r="I136" s="3" t="s">
        <v>534</v>
      </c>
      <c r="J136" s="3">
        <v>0</v>
      </c>
      <c r="K136" s="3">
        <v>0</v>
      </c>
      <c r="L136" s="3">
        <v>0</v>
      </c>
      <c r="M136" s="3">
        <v>0.35489999999999999</v>
      </c>
      <c r="N136" s="3">
        <v>412.82299999999998</v>
      </c>
      <c r="O136" s="3">
        <v>214186220</v>
      </c>
      <c r="P136" s="3">
        <v>532647</v>
      </c>
      <c r="Q136" s="3">
        <v>532597</v>
      </c>
      <c r="R136" s="3">
        <v>532647</v>
      </c>
      <c r="S136" s="3">
        <v>1600000</v>
      </c>
      <c r="T136" s="3">
        <v>1600000</v>
      </c>
      <c r="U136" s="3">
        <v>461</v>
      </c>
      <c r="V136" s="3">
        <v>458</v>
      </c>
      <c r="W136" s="3">
        <v>-0.65</v>
      </c>
      <c r="X136" s="46">
        <v>0</v>
      </c>
      <c r="Y136" s="35">
        <v>8990000</v>
      </c>
      <c r="Z136" s="34">
        <f t="shared" si="6"/>
        <v>1</v>
      </c>
      <c r="AA136" s="36">
        <f>8990000/8990000</f>
        <v>1</v>
      </c>
      <c r="AB136" s="13">
        <v>42570</v>
      </c>
    </row>
    <row r="137" spans="1:28" s="5" customFormat="1" x14ac:dyDescent="0.35">
      <c r="A137" s="4">
        <v>42237.624247685198</v>
      </c>
      <c r="B137" s="4">
        <v>42151</v>
      </c>
      <c r="C137" s="3" t="s">
        <v>304</v>
      </c>
      <c r="D137" s="30" t="s">
        <v>537</v>
      </c>
      <c r="E137" s="3" t="s">
        <v>487</v>
      </c>
      <c r="F137" s="27" t="s">
        <v>536</v>
      </c>
      <c r="G137" s="3" t="s">
        <v>535</v>
      </c>
      <c r="H137" s="3" t="s">
        <v>98</v>
      </c>
      <c r="I137" s="3" t="s">
        <v>538</v>
      </c>
      <c r="J137" s="3">
        <v>0</v>
      </c>
      <c r="K137" s="3">
        <v>8.6099999999999996E-2</v>
      </c>
      <c r="L137" s="3">
        <v>9.2700000000000005E-2</v>
      </c>
      <c r="M137" s="3">
        <v>9.2700000000000005E-2</v>
      </c>
      <c r="N137" s="3">
        <v>5429.3</v>
      </c>
      <c r="O137" s="3">
        <v>461589000</v>
      </c>
      <c r="P137" s="3">
        <v>2358769</v>
      </c>
      <c r="Q137" s="3">
        <v>2606569</v>
      </c>
      <c r="R137" s="3">
        <v>2606569</v>
      </c>
      <c r="S137" s="3">
        <v>261500</v>
      </c>
      <c r="T137" s="3">
        <v>262500</v>
      </c>
      <c r="U137" s="3">
        <v>5694</v>
      </c>
      <c r="V137" s="3">
        <v>5640</v>
      </c>
      <c r="W137" s="3">
        <v>-0.95</v>
      </c>
      <c r="X137" s="34">
        <v>0</v>
      </c>
      <c r="Y137" s="35">
        <v>3714500</v>
      </c>
      <c r="Z137" s="34">
        <f t="shared" si="6"/>
        <v>1</v>
      </c>
      <c r="AA137" s="36">
        <f>3714500/3714500</f>
        <v>1</v>
      </c>
      <c r="AB137" s="7">
        <v>42570</v>
      </c>
    </row>
    <row r="138" spans="1:28" s="5" customFormat="1" x14ac:dyDescent="0.35">
      <c r="A138" s="4">
        <v>40908</v>
      </c>
      <c r="B138" s="4">
        <v>40374</v>
      </c>
      <c r="C138" s="3"/>
      <c r="D138" s="30" t="s">
        <v>541</v>
      </c>
      <c r="E138" s="3" t="s">
        <v>67</v>
      </c>
      <c r="F138" s="27" t="s">
        <v>540</v>
      </c>
      <c r="G138" s="3" t="s">
        <v>539</v>
      </c>
      <c r="H138" s="3" t="s">
        <v>239</v>
      </c>
      <c r="I138" s="3" t="s">
        <v>377</v>
      </c>
      <c r="J138" s="3">
        <v>291256</v>
      </c>
      <c r="K138" s="3">
        <v>0.2228</v>
      </c>
      <c r="L138" s="3">
        <v>0.1968</v>
      </c>
      <c r="M138" s="3">
        <v>0.1968</v>
      </c>
      <c r="N138" s="3">
        <v>610</v>
      </c>
      <c r="O138" s="3">
        <v>177067569</v>
      </c>
      <c r="P138" s="3">
        <v>287506</v>
      </c>
      <c r="Q138" s="3">
        <v>291256</v>
      </c>
      <c r="R138" s="3">
        <v>291256</v>
      </c>
      <c r="S138" s="3">
        <v>288168.76</v>
      </c>
      <c r="T138" s="3">
        <v>292168.76</v>
      </c>
      <c r="U138" s="3">
        <v>717</v>
      </c>
      <c r="V138" s="3">
        <v>671</v>
      </c>
      <c r="W138" s="3">
        <v>-6.42</v>
      </c>
      <c r="X138" s="34">
        <v>1530200</v>
      </c>
      <c r="Y138" s="35">
        <v>4469800</v>
      </c>
      <c r="Z138" s="34">
        <f t="shared" si="6"/>
        <v>0.6576580607633451</v>
      </c>
      <c r="AA138" s="36">
        <f>4469800/6000000</f>
        <v>0.74496666666666667</v>
      </c>
      <c r="AB138" s="7">
        <v>42573</v>
      </c>
    </row>
    <row r="139" spans="1:28" s="3" customFormat="1" x14ac:dyDescent="0.35">
      <c r="A139" s="4">
        <v>41222.398356481499</v>
      </c>
      <c r="B139" s="4">
        <v>41102</v>
      </c>
      <c r="C139" s="3" t="s">
        <v>22</v>
      </c>
      <c r="D139" s="30" t="s">
        <v>544</v>
      </c>
      <c r="E139" s="3" t="s">
        <v>347</v>
      </c>
      <c r="F139" s="27" t="s">
        <v>543</v>
      </c>
      <c r="G139" s="3" t="s">
        <v>542</v>
      </c>
      <c r="H139" s="3" t="s">
        <v>25</v>
      </c>
      <c r="I139" s="3" t="s">
        <v>545</v>
      </c>
      <c r="J139" s="3">
        <v>1230356</v>
      </c>
      <c r="K139" s="3">
        <v>0.13139999999999999</v>
      </c>
      <c r="L139" s="3">
        <v>0.1313</v>
      </c>
      <c r="M139" s="3">
        <v>0.39950000000000002</v>
      </c>
      <c r="N139" s="3">
        <v>1411.134</v>
      </c>
      <c r="O139" s="3">
        <v>542522434</v>
      </c>
      <c r="P139" s="3">
        <v>1249556</v>
      </c>
      <c r="Q139" s="3">
        <v>1230356</v>
      </c>
      <c r="R139" s="3">
        <v>1249556</v>
      </c>
      <c r="S139" s="3">
        <v>1251150</v>
      </c>
      <c r="T139" s="3">
        <v>1233450</v>
      </c>
      <c r="U139" s="3">
        <v>1509</v>
      </c>
      <c r="V139" s="3">
        <v>1468</v>
      </c>
      <c r="W139" s="3">
        <v>-2.72</v>
      </c>
      <c r="X139" s="34">
        <v>2701915</v>
      </c>
      <c r="Y139" s="35">
        <v>20002225</v>
      </c>
      <c r="Z139" s="34">
        <f t="shared" si="6"/>
        <v>0.86491927773035249</v>
      </c>
      <c r="AA139" s="36">
        <f>20002225/22704140</f>
        <v>0.88099461155542558</v>
      </c>
      <c r="AB139" s="7">
        <v>42572</v>
      </c>
    </row>
    <row r="140" spans="1:28" s="3" customFormat="1" x14ac:dyDescent="0.35">
      <c r="A140" s="4">
        <v>42263.389016203699</v>
      </c>
      <c r="B140" s="4">
        <v>42208</v>
      </c>
      <c r="D140" s="30" t="s">
        <v>544</v>
      </c>
      <c r="E140" s="3" t="s">
        <v>96</v>
      </c>
      <c r="F140" s="27" t="s">
        <v>546</v>
      </c>
      <c r="G140" s="3" t="s">
        <v>542</v>
      </c>
      <c r="H140" s="3" t="s">
        <v>126</v>
      </c>
      <c r="I140" s="3" t="s">
        <v>547</v>
      </c>
      <c r="L140" s="3">
        <v>0.1313</v>
      </c>
      <c r="M140" s="3">
        <v>0.39950000000000002</v>
      </c>
      <c r="N140" s="3">
        <v>1411.134</v>
      </c>
      <c r="O140" s="3">
        <v>542522434</v>
      </c>
      <c r="P140" s="3">
        <v>488475</v>
      </c>
      <c r="Q140" s="3">
        <v>525900</v>
      </c>
      <c r="R140" s="3">
        <v>525900</v>
      </c>
      <c r="S140" s="3">
        <v>572396</v>
      </c>
      <c r="T140" s="3">
        <v>526781</v>
      </c>
      <c r="U140" s="3">
        <v>1509</v>
      </c>
      <c r="V140" s="3">
        <v>1468</v>
      </c>
      <c r="W140" s="3">
        <v>-2.72</v>
      </c>
      <c r="X140" s="34">
        <v>8101987</v>
      </c>
      <c r="Y140" s="35">
        <v>2970751</v>
      </c>
      <c r="Z140" s="34">
        <f t="shared" si="6"/>
        <v>-1.7272521325415693</v>
      </c>
      <c r="AA140" s="36">
        <f>2970751/11072737</f>
        <v>0.26829418959377432</v>
      </c>
      <c r="AB140" s="7">
        <v>42570</v>
      </c>
    </row>
    <row r="141" spans="1:28" s="3" customFormat="1" x14ac:dyDescent="0.35">
      <c r="A141" s="4">
        <v>42263.389016203699</v>
      </c>
      <c r="B141" s="4">
        <v>42194</v>
      </c>
      <c r="C141" s="3" t="s">
        <v>22</v>
      </c>
      <c r="D141" s="30" t="s">
        <v>551</v>
      </c>
      <c r="E141" s="3" t="s">
        <v>549</v>
      </c>
      <c r="F141" s="27" t="s">
        <v>550</v>
      </c>
      <c r="G141" s="3" t="s">
        <v>548</v>
      </c>
      <c r="H141" s="3" t="s">
        <v>60</v>
      </c>
      <c r="I141" s="3" t="s">
        <v>552</v>
      </c>
      <c r="J141" s="3">
        <v>0</v>
      </c>
      <c r="K141" s="3">
        <v>0.22289999999999999</v>
      </c>
      <c r="L141" s="3">
        <v>0.22389999999999999</v>
      </c>
      <c r="M141" s="3">
        <v>0.4204</v>
      </c>
      <c r="N141" s="3">
        <v>6577.1549999999997</v>
      </c>
      <c r="O141" s="3">
        <v>4615828672</v>
      </c>
      <c r="P141" s="3">
        <v>1266878</v>
      </c>
      <c r="Q141" s="3">
        <v>1281112</v>
      </c>
      <c r="R141" s="3">
        <v>1281112</v>
      </c>
      <c r="U141" s="3">
        <v>6573</v>
      </c>
      <c r="V141" s="3">
        <v>6971</v>
      </c>
      <c r="W141" s="3">
        <v>6.06</v>
      </c>
      <c r="Y141" s="15"/>
      <c r="Z141" s="43" t="e">
        <f t="shared" si="6"/>
        <v>#DIV/0!</v>
      </c>
      <c r="AB141" s="5" t="s">
        <v>789</v>
      </c>
    </row>
    <row r="142" spans="1:28" s="3" customFormat="1" x14ac:dyDescent="0.35">
      <c r="A142" s="4">
        <v>40909</v>
      </c>
      <c r="B142" s="4">
        <v>40752</v>
      </c>
      <c r="C142" s="3" t="s">
        <v>22</v>
      </c>
      <c r="D142" s="30" t="s">
        <v>555</v>
      </c>
      <c r="E142" s="3" t="s">
        <v>50</v>
      </c>
      <c r="F142" s="27" t="s">
        <v>554</v>
      </c>
      <c r="G142" s="3" t="s">
        <v>553</v>
      </c>
      <c r="H142" s="3" t="s">
        <v>52</v>
      </c>
      <c r="I142" s="3" t="s">
        <v>556</v>
      </c>
      <c r="J142" s="3">
        <v>108050</v>
      </c>
      <c r="K142" s="3">
        <v>0.1195</v>
      </c>
      <c r="L142" s="3">
        <v>0.1174</v>
      </c>
      <c r="M142" s="3">
        <v>0.30769999999999997</v>
      </c>
      <c r="N142" s="3">
        <v>320</v>
      </c>
      <c r="O142" s="3">
        <v>177356150</v>
      </c>
      <c r="P142" s="3">
        <v>58050</v>
      </c>
      <c r="Q142" s="3">
        <v>108050</v>
      </c>
      <c r="R142" s="3">
        <v>108050</v>
      </c>
      <c r="S142" s="3">
        <v>65750</v>
      </c>
      <c r="T142" s="3">
        <v>125750</v>
      </c>
      <c r="U142" s="3">
        <v>270</v>
      </c>
      <c r="V142" s="3">
        <v>345</v>
      </c>
      <c r="W142" s="3">
        <v>27.78</v>
      </c>
      <c r="X142" s="34">
        <v>0</v>
      </c>
      <c r="Y142" s="35">
        <v>2500000</v>
      </c>
      <c r="Z142" s="34">
        <f t="shared" si="6"/>
        <v>1</v>
      </c>
      <c r="AA142" s="36">
        <f>2500000/2500000</f>
        <v>1</v>
      </c>
      <c r="AB142" s="13">
        <v>42573</v>
      </c>
    </row>
    <row r="143" spans="1:28" s="3" customFormat="1" x14ac:dyDescent="0.35">
      <c r="A143" s="4">
        <v>42263.389016203699</v>
      </c>
      <c r="B143" s="4">
        <v>42212</v>
      </c>
      <c r="C143" s="3" t="s">
        <v>22</v>
      </c>
      <c r="D143" s="30" t="s">
        <v>555</v>
      </c>
      <c r="E143" s="3" t="s">
        <v>557</v>
      </c>
      <c r="F143" s="27" t="s">
        <v>558</v>
      </c>
      <c r="G143" s="3" t="s">
        <v>553</v>
      </c>
      <c r="H143" s="3" t="s">
        <v>559</v>
      </c>
      <c r="I143" s="3" t="s">
        <v>560</v>
      </c>
      <c r="L143" s="3">
        <v>0.1174</v>
      </c>
      <c r="M143" s="3">
        <v>0.30769999999999997</v>
      </c>
      <c r="N143" s="3">
        <v>320</v>
      </c>
      <c r="O143" s="3">
        <v>177356150</v>
      </c>
      <c r="P143" s="3">
        <v>182501</v>
      </c>
      <c r="Q143" s="3">
        <v>182501</v>
      </c>
      <c r="R143" s="3">
        <v>182501</v>
      </c>
      <c r="S143" s="3">
        <v>250400</v>
      </c>
      <c r="T143" s="3">
        <v>250400</v>
      </c>
      <c r="U143" s="3">
        <v>270</v>
      </c>
      <c r="V143" s="3">
        <v>345</v>
      </c>
      <c r="W143" s="3">
        <v>27.78</v>
      </c>
      <c r="X143" s="46">
        <v>0</v>
      </c>
      <c r="Y143" s="35">
        <v>4000000</v>
      </c>
      <c r="Z143" s="34">
        <f t="shared" si="6"/>
        <v>1</v>
      </c>
      <c r="AA143" s="36">
        <f>4000000/4000000</f>
        <v>1</v>
      </c>
      <c r="AB143" s="13">
        <v>42570</v>
      </c>
    </row>
    <row r="144" spans="1:28" s="3" customFormat="1" x14ac:dyDescent="0.35">
      <c r="A144" s="4">
        <v>41927.558125000003</v>
      </c>
      <c r="B144" s="4">
        <v>41821</v>
      </c>
      <c r="C144" s="3" t="s">
        <v>22</v>
      </c>
      <c r="D144" s="30" t="s">
        <v>563</v>
      </c>
      <c r="E144" s="3" t="s">
        <v>29</v>
      </c>
      <c r="F144" s="27" t="s">
        <v>562</v>
      </c>
      <c r="G144" s="3" t="s">
        <v>561</v>
      </c>
      <c r="H144" s="3" t="s">
        <v>31</v>
      </c>
      <c r="I144" s="3" t="s">
        <v>564</v>
      </c>
      <c r="J144" s="3">
        <v>3393712</v>
      </c>
      <c r="K144" s="3">
        <v>0.33839999999999998</v>
      </c>
      <c r="L144" s="3">
        <v>0.28999999999999998</v>
      </c>
      <c r="M144" s="3">
        <v>0.3175</v>
      </c>
      <c r="N144" s="3">
        <v>4378.2610000000004</v>
      </c>
      <c r="O144" s="3">
        <v>1771083011</v>
      </c>
      <c r="P144" s="3">
        <v>3348412</v>
      </c>
      <c r="Q144" s="3">
        <v>3393712</v>
      </c>
      <c r="R144" s="3">
        <v>3393712</v>
      </c>
      <c r="S144" s="3">
        <v>3709250</v>
      </c>
      <c r="T144" s="3">
        <v>3697650</v>
      </c>
      <c r="U144" s="3">
        <v>4806</v>
      </c>
      <c r="V144" s="3">
        <v>5176</v>
      </c>
      <c r="W144" s="3">
        <v>7.7</v>
      </c>
      <c r="X144" s="34">
        <v>0</v>
      </c>
      <c r="Y144" s="35">
        <v>72275000</v>
      </c>
      <c r="Z144" s="34">
        <f t="shared" si="6"/>
        <v>1</v>
      </c>
      <c r="AA144" s="36">
        <f>72275000/72275000</f>
        <v>1</v>
      </c>
      <c r="AB144" s="7">
        <v>42572</v>
      </c>
    </row>
    <row r="145" spans="1:28" s="76" customFormat="1" x14ac:dyDescent="0.35">
      <c r="A145" s="75">
        <v>42536.352407407401</v>
      </c>
      <c r="B145" s="75">
        <v>42542</v>
      </c>
      <c r="D145" s="77" t="s">
        <v>567</v>
      </c>
      <c r="E145" s="76" t="s">
        <v>750</v>
      </c>
      <c r="F145" s="88" t="s">
        <v>1209</v>
      </c>
      <c r="G145" s="76" t="s">
        <v>565</v>
      </c>
      <c r="H145" s="76" t="s">
        <v>78</v>
      </c>
      <c r="I145" s="76" t="s">
        <v>568</v>
      </c>
      <c r="L145" s="76">
        <v>0.28999999999999998</v>
      </c>
      <c r="M145" s="76">
        <v>0.34410000000000002</v>
      </c>
      <c r="N145" s="76">
        <v>573.93899999999996</v>
      </c>
      <c r="O145" s="76">
        <v>126870469</v>
      </c>
      <c r="S145" s="76">
        <v>622460</v>
      </c>
      <c r="T145" s="76">
        <v>657460</v>
      </c>
      <c r="U145" s="76">
        <v>575</v>
      </c>
      <c r="V145" s="76">
        <v>605</v>
      </c>
      <c r="W145" s="76">
        <v>5.22</v>
      </c>
      <c r="X145" s="78">
        <v>0</v>
      </c>
      <c r="Y145" s="79">
        <v>13800000</v>
      </c>
      <c r="Z145" s="78">
        <f t="shared" si="6"/>
        <v>1</v>
      </c>
      <c r="AA145" s="80">
        <f>13800000/13800000</f>
        <v>1</v>
      </c>
      <c r="AB145" s="81">
        <v>42571</v>
      </c>
    </row>
    <row r="146" spans="1:28" s="3" customFormat="1" x14ac:dyDescent="0.35">
      <c r="A146" s="4">
        <v>41927.558125000003</v>
      </c>
      <c r="B146" s="4">
        <v>41863</v>
      </c>
      <c r="C146" s="3" t="s">
        <v>22</v>
      </c>
      <c r="D146" s="30" t="s">
        <v>571</v>
      </c>
      <c r="E146" s="3" t="s">
        <v>29</v>
      </c>
      <c r="F146" s="27" t="s">
        <v>570</v>
      </c>
      <c r="G146" s="3" t="s">
        <v>569</v>
      </c>
      <c r="H146" s="3" t="s">
        <v>31</v>
      </c>
      <c r="I146" s="3" t="s">
        <v>572</v>
      </c>
      <c r="J146" s="3">
        <v>234612</v>
      </c>
      <c r="K146" s="3">
        <v>0.26079999999999998</v>
      </c>
      <c r="L146" s="3">
        <v>0.25940000000000002</v>
      </c>
      <c r="M146" s="3">
        <v>0.2661</v>
      </c>
      <c r="N146" s="3">
        <v>742</v>
      </c>
      <c r="O146" s="3">
        <v>133027821</v>
      </c>
      <c r="P146" s="3">
        <v>234612</v>
      </c>
      <c r="Q146" s="3">
        <v>234612</v>
      </c>
      <c r="R146" s="3">
        <v>234612</v>
      </c>
      <c r="S146" s="3">
        <v>292750</v>
      </c>
      <c r="T146" s="3">
        <v>292750</v>
      </c>
      <c r="U146" s="3">
        <v>819</v>
      </c>
      <c r="V146" s="3">
        <v>731</v>
      </c>
      <c r="W146" s="3">
        <v>-10.74</v>
      </c>
      <c r="X146" s="34">
        <v>0</v>
      </c>
      <c r="Y146" s="35">
        <v>8000000</v>
      </c>
      <c r="Z146" s="34">
        <f t="shared" si="6"/>
        <v>1</v>
      </c>
      <c r="AA146" s="36">
        <f>8000000/8000000</f>
        <v>1</v>
      </c>
      <c r="AB146" s="7">
        <v>42572</v>
      </c>
    </row>
    <row r="147" spans="1:28" s="3" customFormat="1" x14ac:dyDescent="0.35">
      <c r="A147" s="4">
        <v>42111.427094907398</v>
      </c>
      <c r="B147" s="4">
        <v>42060</v>
      </c>
      <c r="C147" s="3" t="s">
        <v>22</v>
      </c>
      <c r="D147" s="30" t="s">
        <v>576</v>
      </c>
      <c r="E147" s="3" t="s">
        <v>574</v>
      </c>
      <c r="F147" s="27" t="s">
        <v>575</v>
      </c>
      <c r="G147" s="3" t="s">
        <v>573</v>
      </c>
      <c r="H147" s="3" t="s">
        <v>179</v>
      </c>
      <c r="I147" s="3" t="s">
        <v>577</v>
      </c>
      <c r="J147" s="3">
        <v>3917375</v>
      </c>
      <c r="K147" s="3">
        <v>0.27879999999999999</v>
      </c>
      <c r="L147" s="3">
        <v>0.28999999999999998</v>
      </c>
      <c r="M147" s="3">
        <v>0.82289999999999996</v>
      </c>
      <c r="N147" s="3">
        <v>8040.2460000000001</v>
      </c>
      <c r="O147" s="3">
        <v>7182177146</v>
      </c>
      <c r="P147" s="3">
        <v>3917375</v>
      </c>
      <c r="Q147" s="3">
        <v>3917375</v>
      </c>
      <c r="R147" s="3">
        <v>3917375</v>
      </c>
      <c r="S147" s="3">
        <v>5493950</v>
      </c>
      <c r="T147" s="3">
        <v>5495550</v>
      </c>
      <c r="U147" s="3">
        <v>8891</v>
      </c>
      <c r="V147" s="3">
        <v>8818</v>
      </c>
      <c r="W147" s="3">
        <v>-0.82</v>
      </c>
      <c r="X147" s="34">
        <v>0</v>
      </c>
      <c r="Y147" s="35">
        <v>100000000</v>
      </c>
      <c r="Z147" s="34">
        <f t="shared" si="6"/>
        <v>1</v>
      </c>
      <c r="AA147" s="34">
        <f>100000000/100000000</f>
        <v>1</v>
      </c>
      <c r="AB147" s="7">
        <v>42570</v>
      </c>
    </row>
    <row r="148" spans="1:28" s="3" customFormat="1" x14ac:dyDescent="0.35">
      <c r="A148" s="4">
        <v>41551.39875</v>
      </c>
      <c r="B148" s="4">
        <v>41498.583333333299</v>
      </c>
      <c r="C148" s="3" t="s">
        <v>22</v>
      </c>
      <c r="D148" s="30" t="s">
        <v>580</v>
      </c>
      <c r="E148" s="3" t="s">
        <v>767</v>
      </c>
      <c r="F148" s="27" t="s">
        <v>579</v>
      </c>
      <c r="G148" s="3" t="s">
        <v>578</v>
      </c>
      <c r="H148" s="3" t="s">
        <v>37</v>
      </c>
      <c r="I148" s="3" t="s">
        <v>581</v>
      </c>
      <c r="J148" s="3">
        <v>1391575</v>
      </c>
      <c r="K148" s="3">
        <v>0.29210000000000003</v>
      </c>
      <c r="L148" s="3">
        <v>0.2843</v>
      </c>
      <c r="M148" s="3">
        <v>0.2843</v>
      </c>
      <c r="N148" s="3">
        <v>3352.1550000000002</v>
      </c>
      <c r="O148" s="3">
        <v>1442178936</v>
      </c>
      <c r="P148" s="3">
        <v>1391575</v>
      </c>
      <c r="Q148" s="3">
        <v>1391575</v>
      </c>
      <c r="R148" s="3">
        <v>1391575</v>
      </c>
      <c r="S148" s="3">
        <v>2200000</v>
      </c>
      <c r="T148" s="3">
        <v>2200000</v>
      </c>
      <c r="U148" s="3">
        <v>3511</v>
      </c>
      <c r="V148" s="3">
        <v>3588</v>
      </c>
      <c r="W148" s="3">
        <v>2.19</v>
      </c>
      <c r="X148" s="34">
        <v>0</v>
      </c>
      <c r="Y148" s="35">
        <v>28700000</v>
      </c>
      <c r="Z148" s="34">
        <f t="shared" si="6"/>
        <v>1</v>
      </c>
      <c r="AA148" s="36">
        <f>28700000/28700000</f>
        <v>1</v>
      </c>
      <c r="AB148" s="7">
        <v>42572</v>
      </c>
    </row>
    <row r="149" spans="1:28" s="3" customFormat="1" x14ac:dyDescent="0.35">
      <c r="A149" s="4">
        <v>41927.558125000003</v>
      </c>
      <c r="B149" s="4">
        <v>41862</v>
      </c>
      <c r="C149" s="3" t="s">
        <v>22</v>
      </c>
      <c r="D149" s="30" t="s">
        <v>580</v>
      </c>
      <c r="E149" s="3" t="s">
        <v>582</v>
      </c>
      <c r="F149" s="27" t="s">
        <v>583</v>
      </c>
      <c r="G149" s="3" t="s">
        <v>578</v>
      </c>
      <c r="H149" s="3" t="s">
        <v>584</v>
      </c>
      <c r="I149" s="3" t="s">
        <v>585</v>
      </c>
      <c r="J149" s="3">
        <v>433000</v>
      </c>
      <c r="K149" s="3">
        <v>0.29210000000000003</v>
      </c>
      <c r="L149" s="3">
        <v>0.2843</v>
      </c>
      <c r="M149" s="3">
        <v>0.2843</v>
      </c>
      <c r="N149" s="3">
        <v>3352.1550000000002</v>
      </c>
      <c r="O149" s="3">
        <v>1442178936</v>
      </c>
      <c r="P149" s="3">
        <v>433000</v>
      </c>
      <c r="Q149" s="3">
        <v>433000</v>
      </c>
      <c r="R149" s="3">
        <v>433000</v>
      </c>
      <c r="S149" s="3">
        <v>1300000</v>
      </c>
      <c r="T149" s="3">
        <v>1300000</v>
      </c>
      <c r="U149" s="3">
        <v>3511</v>
      </c>
      <c r="V149" s="3">
        <v>3588</v>
      </c>
      <c r="W149" s="3">
        <v>2.19</v>
      </c>
      <c r="X149" s="34">
        <v>0</v>
      </c>
      <c r="Y149" s="35">
        <v>6500000</v>
      </c>
      <c r="Z149" s="34">
        <f t="shared" si="6"/>
        <v>1</v>
      </c>
      <c r="AA149" s="36">
        <f>6500000/6500000</f>
        <v>1</v>
      </c>
      <c r="AB149" s="7">
        <v>42572</v>
      </c>
    </row>
    <row r="150" spans="1:28" s="76" customFormat="1" x14ac:dyDescent="0.35">
      <c r="A150" s="75">
        <v>42536.352407407401</v>
      </c>
      <c r="B150" s="75">
        <v>42565</v>
      </c>
      <c r="D150" s="77" t="s">
        <v>588</v>
      </c>
      <c r="E150" s="76" t="s">
        <v>72</v>
      </c>
      <c r="F150" s="88" t="s">
        <v>1210</v>
      </c>
      <c r="G150" s="76" t="s">
        <v>586</v>
      </c>
      <c r="H150" s="76" t="s">
        <v>74</v>
      </c>
      <c r="I150" s="76" t="s">
        <v>589</v>
      </c>
      <c r="L150" s="76">
        <v>4.9000000000000002E-2</v>
      </c>
      <c r="M150" s="76">
        <v>4.9000000000000002E-2</v>
      </c>
      <c r="N150" s="76">
        <v>1925</v>
      </c>
      <c r="O150" s="76">
        <v>260666997</v>
      </c>
      <c r="S150" s="76">
        <v>0</v>
      </c>
      <c r="T150" s="76">
        <v>835068</v>
      </c>
      <c r="U150" s="76">
        <v>1846</v>
      </c>
      <c r="V150" s="76">
        <v>1986</v>
      </c>
      <c r="W150" s="76">
        <v>7.58</v>
      </c>
      <c r="X150" s="78">
        <v>10052000</v>
      </c>
      <c r="Y150" s="79">
        <v>19948000</v>
      </c>
      <c r="Z150" s="78">
        <f t="shared" si="6"/>
        <v>0.49608983356727487</v>
      </c>
      <c r="AA150" s="80">
        <f>19948000/30000000</f>
        <v>0.66493333333333338</v>
      </c>
      <c r="AB150" s="81">
        <v>42571</v>
      </c>
    </row>
    <row r="151" spans="1:28" s="3" customFormat="1" x14ac:dyDescent="0.35">
      <c r="A151" s="4">
        <v>40909</v>
      </c>
      <c r="B151" s="4">
        <v>40368</v>
      </c>
      <c r="C151" s="3" t="s">
        <v>22</v>
      </c>
      <c r="D151" s="30" t="s">
        <v>592</v>
      </c>
      <c r="E151" s="3" t="s">
        <v>67</v>
      </c>
      <c r="F151" s="27" t="s">
        <v>591</v>
      </c>
      <c r="G151" s="3" t="s">
        <v>590</v>
      </c>
      <c r="H151" s="3" t="s">
        <v>239</v>
      </c>
      <c r="I151" s="3" t="s">
        <v>593</v>
      </c>
      <c r="J151" s="3">
        <v>340000</v>
      </c>
      <c r="K151" s="3">
        <v>0.38140000000000002</v>
      </c>
      <c r="L151" s="3">
        <v>0.2888</v>
      </c>
      <c r="M151" s="3">
        <v>0.2888</v>
      </c>
      <c r="N151" s="3">
        <v>3337</v>
      </c>
      <c r="O151" s="3">
        <v>575098708</v>
      </c>
      <c r="P151" s="3">
        <v>345000</v>
      </c>
      <c r="Q151" s="3">
        <v>340000</v>
      </c>
      <c r="R151" s="3">
        <v>345000</v>
      </c>
      <c r="S151" s="3">
        <v>365000</v>
      </c>
      <c r="T151" s="3">
        <v>360000</v>
      </c>
      <c r="U151" s="3">
        <v>2839</v>
      </c>
      <c r="V151" s="3">
        <v>3443</v>
      </c>
      <c r="W151" s="3">
        <v>21.28</v>
      </c>
      <c r="X151" s="34">
        <v>2800000</v>
      </c>
      <c r="Y151" s="35">
        <v>5200000</v>
      </c>
      <c r="Z151" s="34">
        <f t="shared" si="6"/>
        <v>0.46153846153846156</v>
      </c>
      <c r="AA151" s="36">
        <f>5200000/8000000</f>
        <v>0.65</v>
      </c>
    </row>
    <row r="152" spans="1:28" s="76" customFormat="1" x14ac:dyDescent="0.35">
      <c r="A152" s="75">
        <v>42453.6401736111</v>
      </c>
      <c r="B152" s="75">
        <v>42479</v>
      </c>
      <c r="D152" s="77" t="s">
        <v>592</v>
      </c>
      <c r="E152" s="76" t="s">
        <v>72</v>
      </c>
      <c r="F152" s="88" t="s">
        <v>1231</v>
      </c>
      <c r="G152" s="76" t="s">
        <v>590</v>
      </c>
      <c r="H152" s="76" t="s">
        <v>74</v>
      </c>
      <c r="I152" s="76" t="s">
        <v>595</v>
      </c>
      <c r="L152" s="76">
        <v>0.2888</v>
      </c>
      <c r="M152" s="76">
        <v>0.2888</v>
      </c>
      <c r="N152" s="76">
        <v>3337</v>
      </c>
      <c r="O152" s="76">
        <v>575098708</v>
      </c>
      <c r="S152" s="76">
        <v>0</v>
      </c>
      <c r="T152" s="76">
        <v>997810</v>
      </c>
      <c r="U152" s="76">
        <v>2839</v>
      </c>
      <c r="V152" s="76">
        <v>3443</v>
      </c>
      <c r="W152" s="76">
        <v>21.28</v>
      </c>
      <c r="X152" s="78">
        <v>0</v>
      </c>
      <c r="Y152" s="79">
        <v>20000000</v>
      </c>
      <c r="Z152" s="78">
        <f t="shared" si="6"/>
        <v>1</v>
      </c>
      <c r="AA152" s="80">
        <f>20000000/20000000</f>
        <v>1</v>
      </c>
      <c r="AB152" s="81">
        <v>42571</v>
      </c>
    </row>
    <row r="153" spans="1:28" s="3" customFormat="1" x14ac:dyDescent="0.35">
      <c r="A153" s="4">
        <v>40909</v>
      </c>
      <c r="B153" s="4">
        <v>40598</v>
      </c>
      <c r="C153" s="3" t="s">
        <v>22</v>
      </c>
      <c r="D153" s="30" t="s">
        <v>599</v>
      </c>
      <c r="E153" s="3" t="s">
        <v>597</v>
      </c>
      <c r="F153" s="27" t="s">
        <v>598</v>
      </c>
      <c r="G153" s="3" t="s">
        <v>596</v>
      </c>
      <c r="H153" s="3" t="s">
        <v>334</v>
      </c>
      <c r="I153" s="3" t="s">
        <v>600</v>
      </c>
      <c r="J153" s="3">
        <v>269475</v>
      </c>
      <c r="K153" s="3">
        <v>0.36730000000000002</v>
      </c>
      <c r="L153" s="3">
        <v>0.28999999999999998</v>
      </c>
      <c r="M153" s="3">
        <v>0.31390000000000001</v>
      </c>
      <c r="N153" s="3">
        <v>9250</v>
      </c>
      <c r="O153" s="3">
        <v>2613753957</v>
      </c>
      <c r="P153" s="3">
        <v>155675</v>
      </c>
      <c r="Q153" s="3">
        <v>269475</v>
      </c>
      <c r="R153" s="3">
        <v>269475</v>
      </c>
      <c r="S153" s="3">
        <v>318506.26</v>
      </c>
      <c r="T153" s="3">
        <v>777956.26</v>
      </c>
      <c r="U153" s="3">
        <v>8087</v>
      </c>
      <c r="V153" s="3">
        <v>9364</v>
      </c>
      <c r="W153" s="3">
        <v>15.79</v>
      </c>
      <c r="X153" s="34">
        <v>5239960</v>
      </c>
      <c r="Y153" s="35">
        <v>9760040</v>
      </c>
      <c r="Z153" s="34">
        <f t="shared" si="6"/>
        <v>0.46312105278257054</v>
      </c>
      <c r="AA153" s="36">
        <f>9760040/15000000</f>
        <v>0.65066933333333332</v>
      </c>
      <c r="AB153" s="7">
        <v>42573</v>
      </c>
    </row>
    <row r="154" spans="1:28" s="3" customFormat="1" x14ac:dyDescent="0.35">
      <c r="A154" s="4">
        <v>40909</v>
      </c>
      <c r="B154" s="4">
        <v>40773</v>
      </c>
      <c r="C154" s="3" t="s">
        <v>22</v>
      </c>
      <c r="D154" s="30" t="s">
        <v>599</v>
      </c>
      <c r="E154" s="3" t="s">
        <v>601</v>
      </c>
      <c r="F154" s="27" t="s">
        <v>602</v>
      </c>
      <c r="G154" s="3" t="s">
        <v>596</v>
      </c>
      <c r="H154" s="3" t="s">
        <v>311</v>
      </c>
      <c r="I154" s="3" t="s">
        <v>603</v>
      </c>
      <c r="J154" s="3">
        <v>458262</v>
      </c>
      <c r="K154" s="3">
        <v>0.36730000000000002</v>
      </c>
      <c r="L154" s="3">
        <v>0.28999999999999998</v>
      </c>
      <c r="M154" s="3">
        <v>0.31390000000000001</v>
      </c>
      <c r="N154" s="3">
        <v>9250</v>
      </c>
      <c r="O154" s="3">
        <v>2613753957</v>
      </c>
      <c r="P154" s="3">
        <v>458262</v>
      </c>
      <c r="Q154" s="3">
        <v>458262</v>
      </c>
      <c r="R154" s="3">
        <v>458262</v>
      </c>
      <c r="S154" s="3">
        <v>612750</v>
      </c>
      <c r="T154" s="3">
        <v>612750</v>
      </c>
      <c r="U154" s="3">
        <v>8087</v>
      </c>
      <c r="V154" s="3">
        <v>9364</v>
      </c>
      <c r="W154" s="3">
        <v>15.79</v>
      </c>
      <c r="X154" s="34">
        <v>5622800</v>
      </c>
      <c r="Y154" s="35">
        <v>6632200</v>
      </c>
      <c r="Z154" s="34">
        <f t="shared" si="6"/>
        <v>0.15219685775459124</v>
      </c>
      <c r="AA154" s="36">
        <f>6632200/12255000</f>
        <v>0.54118319053447572</v>
      </c>
      <c r="AB154" s="7">
        <v>42573</v>
      </c>
    </row>
    <row r="155" spans="1:28" s="3" customFormat="1" x14ac:dyDescent="0.35">
      <c r="A155" s="4">
        <v>42237.624247685198</v>
      </c>
      <c r="B155" s="4">
        <v>42138</v>
      </c>
      <c r="C155" s="3" t="s">
        <v>22</v>
      </c>
      <c r="D155" s="30" t="s">
        <v>606</v>
      </c>
      <c r="E155" s="3" t="s">
        <v>126</v>
      </c>
      <c r="F155" s="27" t="s">
        <v>605</v>
      </c>
      <c r="G155" s="3" t="s">
        <v>604</v>
      </c>
      <c r="H155" s="3" t="s">
        <v>126</v>
      </c>
      <c r="I155" s="3" t="s">
        <v>607</v>
      </c>
      <c r="J155" s="3">
        <v>0</v>
      </c>
      <c r="K155" s="3">
        <v>8.6800000000000002E-2</v>
      </c>
      <c r="L155" s="3">
        <v>8.6800000000000002E-2</v>
      </c>
      <c r="M155" s="3">
        <v>0.1166</v>
      </c>
      <c r="N155" s="3">
        <v>3590</v>
      </c>
      <c r="O155" s="3">
        <v>593925500</v>
      </c>
      <c r="P155" s="3">
        <v>331800</v>
      </c>
      <c r="Q155" s="3">
        <v>331800</v>
      </c>
      <c r="R155" s="3">
        <v>331800</v>
      </c>
      <c r="S155" s="3">
        <v>336600</v>
      </c>
      <c r="T155" s="3">
        <v>336600</v>
      </c>
      <c r="U155" s="3">
        <v>3746</v>
      </c>
      <c r="V155" s="3">
        <v>3824</v>
      </c>
      <c r="W155" s="3">
        <v>2.08</v>
      </c>
      <c r="X155" s="34">
        <v>5702317</v>
      </c>
      <c r="Y155" s="35">
        <v>51797683</v>
      </c>
      <c r="Z155" s="34">
        <f t="shared" si="6"/>
        <v>0.88991173601336571</v>
      </c>
      <c r="AA155" s="36">
        <f>51797683/57500000</f>
        <v>0.90082926956521736</v>
      </c>
      <c r="AB155" s="7">
        <v>42570</v>
      </c>
    </row>
    <row r="156" spans="1:28" s="3" customFormat="1" x14ac:dyDescent="0.35">
      <c r="A156" s="4">
        <v>42536.352407407401</v>
      </c>
      <c r="B156" s="4">
        <v>42450</v>
      </c>
      <c r="D156" s="30" t="s">
        <v>606</v>
      </c>
      <c r="E156" s="3" t="s">
        <v>86</v>
      </c>
      <c r="F156" s="27" t="s">
        <v>608</v>
      </c>
      <c r="G156" s="3" t="s">
        <v>604</v>
      </c>
      <c r="H156" s="3" t="s">
        <v>86</v>
      </c>
      <c r="I156" s="3" t="s">
        <v>609</v>
      </c>
      <c r="L156" s="3">
        <v>8.6800000000000002E-2</v>
      </c>
      <c r="M156" s="3">
        <v>0.1166</v>
      </c>
      <c r="N156" s="3">
        <v>3590</v>
      </c>
      <c r="O156" s="3">
        <v>593925500</v>
      </c>
      <c r="P156" s="3">
        <v>737443</v>
      </c>
      <c r="Q156" s="3">
        <v>3775369</v>
      </c>
      <c r="R156" s="3">
        <v>3775369</v>
      </c>
      <c r="S156" s="3">
        <v>831769</v>
      </c>
      <c r="T156" s="3">
        <v>3920350</v>
      </c>
      <c r="U156" s="3">
        <v>3746</v>
      </c>
      <c r="V156" s="3">
        <v>3824</v>
      </c>
      <c r="W156" s="3">
        <v>2.08</v>
      </c>
      <c r="X156" s="34">
        <v>5702317</v>
      </c>
      <c r="Y156" s="35">
        <v>51797683</v>
      </c>
      <c r="Z156" s="34">
        <f t="shared" si="6"/>
        <v>0.88991173601336571</v>
      </c>
      <c r="AA156" s="36">
        <f>51797683/57500000</f>
        <v>0.90082926956521736</v>
      </c>
      <c r="AB156" s="7">
        <v>42571</v>
      </c>
    </row>
    <row r="157" spans="1:28" s="3" customFormat="1" x14ac:dyDescent="0.35">
      <c r="A157" s="4">
        <v>41551.39875</v>
      </c>
      <c r="B157" s="4">
        <v>41149</v>
      </c>
      <c r="C157" s="3" t="s">
        <v>22</v>
      </c>
      <c r="D157" s="30" t="s">
        <v>614</v>
      </c>
      <c r="E157" s="3" t="s">
        <v>611</v>
      </c>
      <c r="F157" s="27" t="s">
        <v>612</v>
      </c>
      <c r="G157" s="3" t="s">
        <v>610</v>
      </c>
      <c r="H157" s="3" t="s">
        <v>613</v>
      </c>
      <c r="I157" s="3" t="s">
        <v>615</v>
      </c>
      <c r="J157" s="3">
        <v>324331</v>
      </c>
      <c r="K157" s="3">
        <v>0.20910000000000001</v>
      </c>
      <c r="L157" s="3">
        <v>0.19620000000000001</v>
      </c>
      <c r="M157" s="3">
        <v>0.19620000000000001</v>
      </c>
      <c r="N157" s="3">
        <v>3266.0479999999998</v>
      </c>
      <c r="O157" s="3">
        <v>784405239</v>
      </c>
      <c r="P157" s="3">
        <v>323007</v>
      </c>
      <c r="Q157" s="3">
        <v>323007</v>
      </c>
      <c r="R157" s="3">
        <v>323007</v>
      </c>
      <c r="S157" s="3">
        <v>305000</v>
      </c>
      <c r="T157" s="3">
        <v>305000</v>
      </c>
      <c r="U157" s="3">
        <v>3958</v>
      </c>
      <c r="V157" s="3">
        <v>3428</v>
      </c>
      <c r="W157" s="3">
        <v>-13.39</v>
      </c>
      <c r="X157" s="34">
        <v>0</v>
      </c>
      <c r="Y157" s="35">
        <v>6790000</v>
      </c>
      <c r="Z157" s="34">
        <f t="shared" si="6"/>
        <v>1</v>
      </c>
      <c r="AA157" s="36">
        <f>6790000/6790000</f>
        <v>1</v>
      </c>
      <c r="AB157" s="7">
        <v>42572</v>
      </c>
    </row>
    <row r="158" spans="1:28" s="3" customFormat="1" x14ac:dyDescent="0.35">
      <c r="A158" s="4">
        <v>42536.352407407401</v>
      </c>
      <c r="B158" s="4">
        <v>42450</v>
      </c>
      <c r="D158" s="30" t="s">
        <v>619</v>
      </c>
      <c r="E158" s="3" t="s">
        <v>617</v>
      </c>
      <c r="F158" s="27" t="s">
        <v>618</v>
      </c>
      <c r="G158" s="3" t="s">
        <v>616</v>
      </c>
      <c r="H158" s="3" t="s">
        <v>74</v>
      </c>
      <c r="I158" s="3" t="s">
        <v>620</v>
      </c>
      <c r="L158" s="3">
        <v>0.15939999999999999</v>
      </c>
      <c r="M158" s="3">
        <v>0.15939999999999999</v>
      </c>
      <c r="N158" s="3">
        <v>3620</v>
      </c>
      <c r="O158" s="3">
        <v>965908731</v>
      </c>
      <c r="P158" s="3">
        <v>487552</v>
      </c>
      <c r="Q158" s="3">
        <v>1526250</v>
      </c>
      <c r="R158" s="3">
        <v>1526250</v>
      </c>
      <c r="S158" s="3">
        <v>724750</v>
      </c>
      <c r="T158" s="3">
        <v>1985650</v>
      </c>
      <c r="U158" s="3">
        <v>3843</v>
      </c>
      <c r="V158" s="3">
        <v>4124</v>
      </c>
      <c r="W158" s="3">
        <v>7.31</v>
      </c>
      <c r="X158" s="44">
        <v>0</v>
      </c>
      <c r="Y158" s="45">
        <v>35000000</v>
      </c>
      <c r="Z158" s="34">
        <f t="shared" si="6"/>
        <v>1</v>
      </c>
      <c r="AA158" s="36">
        <f>35000000/35000000</f>
        <v>1</v>
      </c>
      <c r="AB158" s="7">
        <v>42571</v>
      </c>
    </row>
    <row r="159" spans="1:28" s="3" customFormat="1" x14ac:dyDescent="0.35">
      <c r="A159" s="4">
        <v>42263.389016203699</v>
      </c>
      <c r="B159" s="4">
        <v>42206</v>
      </c>
      <c r="D159" s="30" t="s">
        <v>623</v>
      </c>
      <c r="E159" s="3" t="s">
        <v>194</v>
      </c>
      <c r="F159" s="27" t="s">
        <v>622</v>
      </c>
      <c r="G159" s="3" t="s">
        <v>621</v>
      </c>
      <c r="H159" s="3" t="s">
        <v>126</v>
      </c>
      <c r="I159" s="3" t="s">
        <v>624</v>
      </c>
      <c r="L159" s="3">
        <v>0.1104</v>
      </c>
      <c r="M159" s="3">
        <v>0.32469999999999999</v>
      </c>
      <c r="N159" s="3">
        <v>4866.9139999999998</v>
      </c>
      <c r="O159" s="3">
        <v>1702836306</v>
      </c>
      <c r="P159" s="3">
        <v>3570921</v>
      </c>
      <c r="Q159" s="3">
        <v>3511950</v>
      </c>
      <c r="R159" s="3">
        <v>3570921</v>
      </c>
      <c r="S159" s="3">
        <v>3570921</v>
      </c>
      <c r="T159" s="3">
        <v>3511950</v>
      </c>
      <c r="U159" s="3">
        <v>4898</v>
      </c>
      <c r="V159" s="3">
        <v>5294</v>
      </c>
      <c r="W159" s="3">
        <v>8.08</v>
      </c>
      <c r="X159" s="34">
        <v>18388259</v>
      </c>
      <c r="Y159" s="35">
        <v>59531741</v>
      </c>
      <c r="Z159" s="34">
        <f t="shared" si="6"/>
        <v>0.69111840690162252</v>
      </c>
      <c r="AA159" s="36">
        <f>59531741/77920000</f>
        <v>0.76401104979466117</v>
      </c>
      <c r="AB159" s="7">
        <v>42570</v>
      </c>
    </row>
    <row r="160" spans="1:28" s="3" customFormat="1" x14ac:dyDescent="0.35">
      <c r="A160" s="4">
        <v>42263.389016203699</v>
      </c>
      <c r="B160" s="4">
        <v>42205</v>
      </c>
      <c r="C160" s="3" t="s">
        <v>304</v>
      </c>
      <c r="D160" s="30" t="s">
        <v>627</v>
      </c>
      <c r="E160" s="3" t="s">
        <v>466</v>
      </c>
      <c r="F160" s="27" t="s">
        <v>626</v>
      </c>
      <c r="G160" s="3" t="s">
        <v>625</v>
      </c>
      <c r="H160" s="3" t="s">
        <v>179</v>
      </c>
      <c r="I160" s="3" t="s">
        <v>628</v>
      </c>
      <c r="J160" s="3">
        <v>0</v>
      </c>
      <c r="K160" s="3">
        <v>7.1099999999999997E-2</v>
      </c>
      <c r="L160" s="3">
        <v>7.0999999999999994E-2</v>
      </c>
      <c r="M160" s="3">
        <v>0.11459999999999999</v>
      </c>
      <c r="N160" s="3">
        <v>1683.749</v>
      </c>
      <c r="O160" s="3">
        <v>416232474</v>
      </c>
      <c r="P160" s="3">
        <v>178150</v>
      </c>
      <c r="Q160" s="3">
        <v>178150</v>
      </c>
      <c r="R160" s="3">
        <v>178150</v>
      </c>
      <c r="S160" s="3">
        <v>200645</v>
      </c>
      <c r="T160" s="3">
        <v>200645</v>
      </c>
      <c r="U160" s="3">
        <v>2128</v>
      </c>
      <c r="V160" s="3">
        <v>1923</v>
      </c>
      <c r="W160" s="3">
        <v>-9.6300000000000008</v>
      </c>
      <c r="X160" s="34">
        <v>1527000</v>
      </c>
      <c r="Y160" s="35">
        <v>5973000</v>
      </c>
      <c r="Z160" s="34">
        <f t="shared" si="6"/>
        <v>0.74434957307885485</v>
      </c>
      <c r="AA160" s="36">
        <f>5973000/7500000</f>
        <v>0.7964</v>
      </c>
      <c r="AB160" s="7">
        <v>42570</v>
      </c>
    </row>
    <row r="161" spans="1:28" s="3" customFormat="1" x14ac:dyDescent="0.35">
      <c r="A161" s="4">
        <v>42263.389016203699</v>
      </c>
      <c r="B161" s="4">
        <v>42205</v>
      </c>
      <c r="C161" s="3" t="s">
        <v>22</v>
      </c>
      <c r="D161" s="30" t="s">
        <v>627</v>
      </c>
      <c r="E161" s="3" t="s">
        <v>629</v>
      </c>
      <c r="F161" s="27" t="s">
        <v>630</v>
      </c>
      <c r="G161" s="3" t="s">
        <v>625</v>
      </c>
      <c r="H161" s="3" t="s">
        <v>468</v>
      </c>
      <c r="I161" s="3" t="s">
        <v>631</v>
      </c>
      <c r="J161" s="3">
        <v>0</v>
      </c>
      <c r="K161" s="3">
        <v>7.1099999999999997E-2</v>
      </c>
      <c r="L161" s="3">
        <v>7.0999999999999994E-2</v>
      </c>
      <c r="M161" s="3">
        <v>0.11459999999999999</v>
      </c>
      <c r="N161" s="3">
        <v>1683.749</v>
      </c>
      <c r="O161" s="3">
        <v>416232474</v>
      </c>
      <c r="P161" s="3">
        <v>81700</v>
      </c>
      <c r="Q161" s="3">
        <v>81700</v>
      </c>
      <c r="R161" s="3">
        <v>81700</v>
      </c>
      <c r="S161" s="3">
        <v>102185</v>
      </c>
      <c r="T161" s="3">
        <v>102185</v>
      </c>
      <c r="U161" s="3">
        <v>2128</v>
      </c>
      <c r="V161" s="3">
        <v>1923</v>
      </c>
      <c r="W161" s="3">
        <v>-9.6300000000000008</v>
      </c>
      <c r="X161" s="34">
        <v>1527000</v>
      </c>
      <c r="Y161" s="35">
        <v>5973000</v>
      </c>
      <c r="Z161" s="34">
        <f t="shared" si="6"/>
        <v>0.74434957307885485</v>
      </c>
      <c r="AA161" s="36">
        <f>5973000/7500000</f>
        <v>0.7964</v>
      </c>
      <c r="AB161" s="7">
        <v>42570</v>
      </c>
    </row>
    <row r="162" spans="1:28" s="3" customFormat="1" x14ac:dyDescent="0.35">
      <c r="A162" s="6"/>
      <c r="B162" s="6"/>
      <c r="C162" s="5"/>
      <c r="D162" s="31">
        <v>147903</v>
      </c>
      <c r="E162" s="5" t="s">
        <v>72</v>
      </c>
      <c r="F162" s="28"/>
      <c r="G162" s="5" t="s">
        <v>751</v>
      </c>
      <c r="H162" s="5" t="s">
        <v>865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>
        <v>0</v>
      </c>
      <c r="T162" s="5">
        <v>358600</v>
      </c>
      <c r="U162" s="5"/>
      <c r="V162" s="5"/>
      <c r="W162" s="5"/>
      <c r="X162" s="40">
        <v>1628800</v>
      </c>
      <c r="Y162" s="41">
        <v>6371200</v>
      </c>
      <c r="Z162" s="34">
        <f t="shared" si="6"/>
        <v>0.74434957307885485</v>
      </c>
      <c r="AA162" s="42">
        <f>6371200/8000000</f>
        <v>0.7964</v>
      </c>
      <c r="AB162" s="8">
        <v>42571</v>
      </c>
    </row>
    <row r="163" spans="1:28" s="3" customFormat="1" x14ac:dyDescent="0.35">
      <c r="A163" s="4">
        <v>40909</v>
      </c>
      <c r="B163" s="4">
        <v>40597</v>
      </c>
      <c r="C163" s="3" t="s">
        <v>152</v>
      </c>
      <c r="D163" s="30" t="s">
        <v>635</v>
      </c>
      <c r="E163" s="3" t="s">
        <v>633</v>
      </c>
      <c r="F163" s="27" t="s">
        <v>634</v>
      </c>
      <c r="G163" s="3" t="s">
        <v>632</v>
      </c>
      <c r="H163" s="3" t="s">
        <v>52</v>
      </c>
      <c r="I163" s="3" t="s">
        <v>636</v>
      </c>
      <c r="J163" s="3">
        <v>1441590</v>
      </c>
      <c r="K163" s="3">
        <v>0.19470000000000001</v>
      </c>
      <c r="L163" s="3">
        <v>0.20019999999999999</v>
      </c>
      <c r="M163" s="3">
        <v>0.21079999999999999</v>
      </c>
      <c r="N163" s="3">
        <v>27222.870999999999</v>
      </c>
      <c r="O163" s="3">
        <v>9618203237</v>
      </c>
      <c r="P163" s="3">
        <v>3481590</v>
      </c>
      <c r="Q163" s="3">
        <v>1441590</v>
      </c>
      <c r="R163" s="3">
        <v>3481590</v>
      </c>
      <c r="S163" s="3">
        <v>3532388</v>
      </c>
      <c r="T163" s="3">
        <v>1492388</v>
      </c>
      <c r="U163" s="3">
        <v>28506</v>
      </c>
      <c r="V163" s="3">
        <v>28549</v>
      </c>
      <c r="W163" s="3">
        <v>0.15</v>
      </c>
      <c r="X163" s="34">
        <v>0</v>
      </c>
      <c r="Y163" s="35">
        <v>45000000</v>
      </c>
      <c r="Z163" s="34">
        <f t="shared" si="6"/>
        <v>1</v>
      </c>
      <c r="AA163" s="36">
        <f>45000000/45000000</f>
        <v>1</v>
      </c>
      <c r="AB163" s="7">
        <v>42573</v>
      </c>
    </row>
    <row r="164" spans="1:28" s="5" customFormat="1" x14ac:dyDescent="0.35">
      <c r="A164" s="4">
        <v>41222.4070138889</v>
      </c>
      <c r="B164" s="4">
        <v>41163</v>
      </c>
      <c r="C164" s="3" t="s">
        <v>152</v>
      </c>
      <c r="D164" s="30" t="s">
        <v>635</v>
      </c>
      <c r="E164" s="3" t="s">
        <v>637</v>
      </c>
      <c r="F164" s="27" t="s">
        <v>638</v>
      </c>
      <c r="G164" s="3" t="s">
        <v>632</v>
      </c>
      <c r="H164" s="3" t="s">
        <v>639</v>
      </c>
      <c r="I164" s="3" t="s">
        <v>640</v>
      </c>
      <c r="J164" s="3">
        <v>3938625</v>
      </c>
      <c r="K164" s="3">
        <v>0.19470000000000001</v>
      </c>
      <c r="L164" s="3">
        <v>0.20019999999999999</v>
      </c>
      <c r="M164" s="3">
        <v>0.21079999999999999</v>
      </c>
      <c r="N164" s="3">
        <v>27222.870999999999</v>
      </c>
      <c r="O164" s="3">
        <v>9618203237</v>
      </c>
      <c r="P164" s="3">
        <v>3554500</v>
      </c>
      <c r="Q164" s="3">
        <v>3938625</v>
      </c>
      <c r="R164" s="3">
        <v>3938625</v>
      </c>
      <c r="S164" s="3">
        <v>3762872</v>
      </c>
      <c r="T164" s="3">
        <v>4173522</v>
      </c>
      <c r="U164" s="3">
        <v>28506</v>
      </c>
      <c r="V164" s="3">
        <v>28549</v>
      </c>
      <c r="W164" s="3">
        <v>0.15</v>
      </c>
      <c r="X164" s="34">
        <v>9000000</v>
      </c>
      <c r="Y164" s="35">
        <v>56000000</v>
      </c>
      <c r="Z164" s="34">
        <f t="shared" si="6"/>
        <v>0.8392857142857143</v>
      </c>
      <c r="AA164" s="36">
        <f>56000000/65000000</f>
        <v>0.86153846153846159</v>
      </c>
      <c r="AB164" s="7">
        <v>42572</v>
      </c>
    </row>
    <row r="165" spans="1:28" s="3" customFormat="1" x14ac:dyDescent="0.35">
      <c r="A165" s="4">
        <v>42263.389016203699</v>
      </c>
      <c r="B165" s="4">
        <v>42199</v>
      </c>
      <c r="C165" s="3" t="s">
        <v>22</v>
      </c>
      <c r="D165" s="30" t="s">
        <v>643</v>
      </c>
      <c r="E165" s="3" t="s">
        <v>194</v>
      </c>
      <c r="F165" s="27" t="s">
        <v>642</v>
      </c>
      <c r="G165" s="3" t="s">
        <v>641</v>
      </c>
      <c r="H165" s="3" t="s">
        <v>126</v>
      </c>
      <c r="I165" s="3" t="s">
        <v>644</v>
      </c>
      <c r="J165" s="3">
        <v>0</v>
      </c>
      <c r="K165" s="3">
        <v>0.11360000000000001</v>
      </c>
      <c r="L165" s="3">
        <v>0.1145</v>
      </c>
      <c r="M165" s="3">
        <v>0.2651</v>
      </c>
      <c r="N165" s="3">
        <v>1167.818</v>
      </c>
      <c r="O165" s="3">
        <v>366868744</v>
      </c>
      <c r="P165" s="3">
        <v>629888</v>
      </c>
      <c r="Q165" s="3">
        <v>632262</v>
      </c>
      <c r="R165" s="3">
        <v>632262</v>
      </c>
      <c r="S165" s="3">
        <v>645194</v>
      </c>
      <c r="T165" s="3">
        <v>649751</v>
      </c>
      <c r="U165" s="3">
        <v>1269</v>
      </c>
      <c r="V165" s="3">
        <v>1244</v>
      </c>
      <c r="W165" s="3">
        <v>-1.97</v>
      </c>
      <c r="X165" s="34">
        <v>0</v>
      </c>
      <c r="Y165" s="35">
        <v>14400000</v>
      </c>
      <c r="Z165" s="34">
        <f t="shared" ref="Z165:Z196" si="7">1-(X165/Y165)</f>
        <v>1</v>
      </c>
      <c r="AA165" s="36">
        <f>14400000/14400000</f>
        <v>1</v>
      </c>
      <c r="AB165" s="7">
        <v>42570</v>
      </c>
    </row>
    <row r="166" spans="1:28" s="5" customFormat="1" x14ac:dyDescent="0.35">
      <c r="A166" s="4">
        <v>41927.558125000003</v>
      </c>
      <c r="B166" s="4">
        <v>41843</v>
      </c>
      <c r="C166" s="3" t="s">
        <v>152</v>
      </c>
      <c r="D166" s="30" t="s">
        <v>647</v>
      </c>
      <c r="E166" s="3" t="s">
        <v>29</v>
      </c>
      <c r="F166" s="27" t="s">
        <v>646</v>
      </c>
      <c r="G166" s="3" t="s">
        <v>645</v>
      </c>
      <c r="H166" s="3" t="s">
        <v>31</v>
      </c>
      <c r="I166" s="3" t="s">
        <v>648</v>
      </c>
      <c r="J166" s="3">
        <v>2124250</v>
      </c>
      <c r="K166" s="3">
        <v>0.4219</v>
      </c>
      <c r="L166" s="3">
        <v>0.28999999999999998</v>
      </c>
      <c r="M166" s="3">
        <v>0.44240000000000002</v>
      </c>
      <c r="N166" s="3">
        <v>9070.81</v>
      </c>
      <c r="O166" s="3">
        <v>3209657395</v>
      </c>
      <c r="P166" s="3">
        <v>2977775</v>
      </c>
      <c r="Q166" s="3">
        <v>2124250</v>
      </c>
      <c r="R166" s="3">
        <v>2977775</v>
      </c>
      <c r="S166" s="3">
        <v>3164038</v>
      </c>
      <c r="T166" s="3">
        <v>2316688</v>
      </c>
      <c r="U166" s="3">
        <v>7491</v>
      </c>
      <c r="V166" s="3">
        <v>9150</v>
      </c>
      <c r="W166" s="3">
        <v>22.15</v>
      </c>
      <c r="X166" s="34">
        <v>0</v>
      </c>
      <c r="Y166" s="35">
        <v>45200000</v>
      </c>
      <c r="Z166" s="34">
        <f t="shared" si="7"/>
        <v>1</v>
      </c>
      <c r="AA166" s="36">
        <f>45200000/45200000</f>
        <v>1</v>
      </c>
      <c r="AB166" s="7">
        <v>42572</v>
      </c>
    </row>
    <row r="167" spans="1:28" s="76" customFormat="1" x14ac:dyDescent="0.35">
      <c r="A167" s="75">
        <v>42536.352407407401</v>
      </c>
      <c r="B167" s="75">
        <v>42534</v>
      </c>
      <c r="D167" s="77" t="s">
        <v>651</v>
      </c>
      <c r="E167" s="76" t="s">
        <v>72</v>
      </c>
      <c r="F167" s="88" t="s">
        <v>1208</v>
      </c>
      <c r="G167" s="76" t="s">
        <v>649</v>
      </c>
      <c r="H167" s="76" t="s">
        <v>74</v>
      </c>
      <c r="I167" s="76" t="s">
        <v>652</v>
      </c>
      <c r="L167" s="76">
        <v>7.7700000000000005E-2</v>
      </c>
      <c r="M167" s="76">
        <v>7.7700000000000005E-2</v>
      </c>
      <c r="N167" s="76">
        <v>2140.7809999999999</v>
      </c>
      <c r="O167" s="76">
        <v>889676550</v>
      </c>
      <c r="S167" s="76">
        <v>0</v>
      </c>
      <c r="T167" s="76">
        <v>256869</v>
      </c>
      <c r="U167" s="76">
        <v>2253</v>
      </c>
      <c r="V167" s="76">
        <v>2323</v>
      </c>
      <c r="W167" s="76">
        <v>3.11</v>
      </c>
      <c r="X167" s="78">
        <v>840000</v>
      </c>
      <c r="Y167" s="79">
        <v>18960000</v>
      </c>
      <c r="Z167" s="78">
        <f t="shared" si="7"/>
        <v>0.95569620253164556</v>
      </c>
      <c r="AA167" s="80">
        <f>18960000/19800000</f>
        <v>0.95757575757575752</v>
      </c>
      <c r="AB167" s="81">
        <v>42571</v>
      </c>
    </row>
    <row r="168" spans="1:28" s="3" customFormat="1" x14ac:dyDescent="0.35">
      <c r="A168" s="4">
        <v>42453.6401736111</v>
      </c>
      <c r="B168" s="4">
        <v>42398</v>
      </c>
      <c r="D168" s="30" t="s">
        <v>655</v>
      </c>
      <c r="E168" s="3" t="s">
        <v>74</v>
      </c>
      <c r="F168" s="27" t="s">
        <v>654</v>
      </c>
      <c r="G168" s="3" t="s">
        <v>653</v>
      </c>
      <c r="H168" s="3" t="s">
        <v>74</v>
      </c>
      <c r="I168" s="3" t="s">
        <v>656</v>
      </c>
      <c r="L168" s="3">
        <v>0</v>
      </c>
      <c r="M168" s="3">
        <v>0</v>
      </c>
      <c r="N168" s="3">
        <v>630.59199999999998</v>
      </c>
      <c r="O168" s="3">
        <v>339498720</v>
      </c>
      <c r="Q168" s="3">
        <v>310240</v>
      </c>
      <c r="R168" s="3">
        <v>310240</v>
      </c>
      <c r="S168" s="3">
        <v>0</v>
      </c>
      <c r="T168" s="3">
        <v>326302</v>
      </c>
      <c r="U168" s="3">
        <v>663</v>
      </c>
      <c r="V168" s="3">
        <v>651</v>
      </c>
      <c r="W168" s="3">
        <v>-1.81</v>
      </c>
      <c r="X168" s="34">
        <v>0</v>
      </c>
      <c r="Y168" s="35">
        <v>4499529</v>
      </c>
      <c r="Z168" s="34">
        <f t="shared" si="7"/>
        <v>1</v>
      </c>
      <c r="AA168" s="36">
        <f>4499529/4499529</f>
        <v>1</v>
      </c>
      <c r="AB168" s="7">
        <v>42571</v>
      </c>
    </row>
    <row r="169" spans="1:28" s="61" customFormat="1" x14ac:dyDescent="0.35">
      <c r="A169" s="64">
        <v>41522.484340277799</v>
      </c>
      <c r="B169" s="64">
        <v>41485</v>
      </c>
      <c r="C169" s="61" t="s">
        <v>22</v>
      </c>
      <c r="D169" s="72" t="s">
        <v>660</v>
      </c>
      <c r="E169" s="61" t="s">
        <v>1239</v>
      </c>
      <c r="F169" s="70" t="s">
        <v>658</v>
      </c>
      <c r="G169" s="61" t="s">
        <v>657</v>
      </c>
      <c r="H169" s="61" t="s">
        <v>659</v>
      </c>
      <c r="I169" s="61" t="s">
        <v>661</v>
      </c>
      <c r="L169" s="61">
        <v>0.28449999999999998</v>
      </c>
      <c r="M169" s="61">
        <v>0.28449999999999998</v>
      </c>
      <c r="N169" s="61">
        <v>1385.127</v>
      </c>
      <c r="O169" s="61">
        <v>348852128</v>
      </c>
      <c r="P169" s="61">
        <v>666825</v>
      </c>
      <c r="Q169" s="61">
        <v>671175</v>
      </c>
      <c r="R169" s="61">
        <v>671175</v>
      </c>
      <c r="S169" s="61">
        <v>587447</v>
      </c>
      <c r="T169" s="61">
        <v>591847</v>
      </c>
      <c r="U169" s="61">
        <v>1321</v>
      </c>
      <c r="V169" s="61">
        <v>1397</v>
      </c>
      <c r="W169" s="61">
        <v>5.75</v>
      </c>
      <c r="X169" s="43">
        <v>302500</v>
      </c>
      <c r="Y169" s="73">
        <v>13045000</v>
      </c>
      <c r="Z169" s="43">
        <f t="shared" si="7"/>
        <v>0.97681103871215025</v>
      </c>
      <c r="AA169" s="74">
        <f>12742500/13045000</f>
        <v>0.97681103871215025</v>
      </c>
      <c r="AB169" s="69">
        <v>42572</v>
      </c>
    </row>
    <row r="170" spans="1:28" s="3" customFormat="1" x14ac:dyDescent="0.35">
      <c r="A170" s="4">
        <v>40909</v>
      </c>
      <c r="B170" s="4">
        <v>40268</v>
      </c>
      <c r="D170" s="30" t="s">
        <v>664</v>
      </c>
      <c r="E170" s="3" t="s">
        <v>67</v>
      </c>
      <c r="F170" s="27" t="s">
        <v>663</v>
      </c>
      <c r="G170" s="3" t="s">
        <v>662</v>
      </c>
      <c r="H170" s="3" t="s">
        <v>239</v>
      </c>
      <c r="I170" s="3" t="s">
        <v>665</v>
      </c>
      <c r="L170" s="3">
        <v>0.24249999999999999</v>
      </c>
      <c r="M170" s="3">
        <v>0.24829999999999999</v>
      </c>
      <c r="N170" s="3">
        <v>651</v>
      </c>
      <c r="O170" s="3">
        <v>155244817</v>
      </c>
      <c r="P170" s="3">
        <v>726744</v>
      </c>
      <c r="Q170" s="3">
        <v>726744</v>
      </c>
      <c r="R170" s="3">
        <v>726744</v>
      </c>
      <c r="S170" s="3">
        <v>720481.26</v>
      </c>
      <c r="T170" s="3">
        <v>720481.26</v>
      </c>
      <c r="U170" s="3">
        <v>684</v>
      </c>
      <c r="V170" s="3">
        <v>673</v>
      </c>
      <c r="W170" s="3">
        <v>-1.61</v>
      </c>
      <c r="X170" s="34">
        <v>0</v>
      </c>
      <c r="Y170" s="35">
        <v>11500000</v>
      </c>
      <c r="Z170" s="34">
        <f t="shared" si="7"/>
        <v>1</v>
      </c>
      <c r="AA170" s="49">
        <f>11500000/11500000</f>
        <v>1</v>
      </c>
      <c r="AB170" s="7">
        <v>42573</v>
      </c>
    </row>
    <row r="171" spans="1:28" s="3" customFormat="1" x14ac:dyDescent="0.35">
      <c r="A171" s="4">
        <v>42536.352407407401</v>
      </c>
      <c r="B171" s="4">
        <v>42439</v>
      </c>
      <c r="D171" s="30" t="s">
        <v>668</v>
      </c>
      <c r="E171" s="3" t="s">
        <v>72</v>
      </c>
      <c r="F171" s="27" t="s">
        <v>667</v>
      </c>
      <c r="G171" s="3" t="s">
        <v>666</v>
      </c>
      <c r="H171" s="3" t="s">
        <v>78</v>
      </c>
      <c r="I171" s="3" t="s">
        <v>669</v>
      </c>
      <c r="L171" s="3">
        <v>0.15790000000000001</v>
      </c>
      <c r="M171" s="3">
        <v>0.15790000000000001</v>
      </c>
      <c r="N171" s="3">
        <v>4063.3</v>
      </c>
      <c r="O171" s="3">
        <v>1398768146</v>
      </c>
      <c r="P171" s="3">
        <v>446722</v>
      </c>
      <c r="Q171" s="3">
        <v>881275</v>
      </c>
      <c r="R171" s="3">
        <v>881275</v>
      </c>
      <c r="S171" s="3">
        <v>0</v>
      </c>
      <c r="T171" s="3">
        <v>3902188</v>
      </c>
      <c r="U171" s="3">
        <v>3475</v>
      </c>
      <c r="V171" s="3">
        <v>4454</v>
      </c>
      <c r="W171" s="3">
        <v>28.17</v>
      </c>
      <c r="X171" s="34">
        <v>0</v>
      </c>
      <c r="Y171" s="35">
        <v>78000000</v>
      </c>
      <c r="Z171" s="34">
        <f t="shared" si="7"/>
        <v>1</v>
      </c>
      <c r="AA171" s="36">
        <f>78000000/78000000</f>
        <v>1</v>
      </c>
      <c r="AB171" s="7">
        <v>42571</v>
      </c>
    </row>
    <row r="172" spans="1:28" s="3" customFormat="1" x14ac:dyDescent="0.35">
      <c r="A172" s="4">
        <v>41927.558125000003</v>
      </c>
      <c r="B172" s="4">
        <v>41834</v>
      </c>
      <c r="C172" s="3" t="s">
        <v>22</v>
      </c>
      <c r="D172" s="30" t="s">
        <v>672</v>
      </c>
      <c r="E172" s="3" t="s">
        <v>29</v>
      </c>
      <c r="F172" s="27" t="s">
        <v>671</v>
      </c>
      <c r="G172" s="3" t="s">
        <v>670</v>
      </c>
      <c r="H172" s="3" t="s">
        <v>31</v>
      </c>
      <c r="I172" s="3" t="s">
        <v>673</v>
      </c>
      <c r="J172" s="3">
        <v>361600</v>
      </c>
      <c r="K172" s="3">
        <v>0.20100000000000001</v>
      </c>
      <c r="L172" s="3">
        <v>0.16650000000000001</v>
      </c>
      <c r="M172" s="3">
        <v>0.17480000000000001</v>
      </c>
      <c r="N172" s="3">
        <v>1522.8920000000001</v>
      </c>
      <c r="O172" s="3">
        <v>311608957</v>
      </c>
      <c r="P172" s="3">
        <v>365100</v>
      </c>
      <c r="Q172" s="3">
        <v>361600</v>
      </c>
      <c r="R172" s="3">
        <v>365100</v>
      </c>
      <c r="S172" s="3">
        <v>1500000</v>
      </c>
      <c r="T172" s="3">
        <v>1500000</v>
      </c>
      <c r="U172" s="3">
        <v>1569</v>
      </c>
      <c r="V172" s="3">
        <v>1738</v>
      </c>
      <c r="W172" s="3">
        <v>10.77</v>
      </c>
      <c r="X172" s="34">
        <v>0</v>
      </c>
      <c r="Y172" s="35">
        <v>5650000</v>
      </c>
      <c r="Z172" s="34">
        <f t="shared" si="7"/>
        <v>1</v>
      </c>
      <c r="AA172" s="36">
        <f>5650000/5650000</f>
        <v>1</v>
      </c>
      <c r="AB172" s="7">
        <v>42572</v>
      </c>
    </row>
    <row r="173" spans="1:28" s="3" customFormat="1" x14ac:dyDescent="0.35">
      <c r="A173" s="4">
        <v>41522.484340277799</v>
      </c>
      <c r="B173" s="4">
        <v>41487</v>
      </c>
      <c r="C173" s="3" t="s">
        <v>22</v>
      </c>
      <c r="D173" s="30" t="s">
        <v>677</v>
      </c>
      <c r="E173" s="3" t="s">
        <v>675</v>
      </c>
      <c r="F173" s="27" t="s">
        <v>676</v>
      </c>
      <c r="G173" s="3" t="s">
        <v>674</v>
      </c>
      <c r="H173" s="3" t="s">
        <v>37</v>
      </c>
      <c r="I173" s="3" t="s">
        <v>678</v>
      </c>
      <c r="J173" s="3">
        <v>1706188</v>
      </c>
      <c r="K173" s="3">
        <v>0.43419999999999997</v>
      </c>
      <c r="L173" s="3">
        <v>0.28999999999999998</v>
      </c>
      <c r="M173" s="3">
        <v>0.54590000000000005</v>
      </c>
      <c r="N173" s="3">
        <v>910.23099999999999</v>
      </c>
      <c r="O173" s="3">
        <v>416509150</v>
      </c>
      <c r="P173" s="3">
        <v>1708788</v>
      </c>
      <c r="Q173" s="3">
        <v>1706188</v>
      </c>
      <c r="R173" s="3">
        <v>1708788</v>
      </c>
      <c r="S173" s="3">
        <v>1585200</v>
      </c>
      <c r="T173" s="3">
        <v>1583500</v>
      </c>
      <c r="U173" s="3">
        <v>1062</v>
      </c>
      <c r="V173" s="3">
        <v>975</v>
      </c>
      <c r="W173" s="3">
        <v>-8.19</v>
      </c>
      <c r="X173" s="34">
        <v>3161600</v>
      </c>
      <c r="Y173" s="35">
        <v>26738400</v>
      </c>
      <c r="Z173" s="34">
        <f t="shared" si="7"/>
        <v>0.88175807078957602</v>
      </c>
      <c r="AA173" s="36">
        <f>26738400/29900000</f>
        <v>0.89426086956521744</v>
      </c>
      <c r="AB173" s="7">
        <v>42572</v>
      </c>
    </row>
    <row r="174" spans="1:28" s="3" customFormat="1" x14ac:dyDescent="0.35">
      <c r="A174" s="4">
        <v>41458.398553240702</v>
      </c>
      <c r="B174" s="4">
        <v>41389</v>
      </c>
      <c r="C174" s="3" t="s">
        <v>22</v>
      </c>
      <c r="D174" s="30" t="s">
        <v>681</v>
      </c>
      <c r="E174" s="3" t="s">
        <v>350</v>
      </c>
      <c r="F174" s="27" t="s">
        <v>680</v>
      </c>
      <c r="G174" s="3" t="s">
        <v>679</v>
      </c>
      <c r="H174" s="3" t="s">
        <v>37</v>
      </c>
      <c r="I174" s="3" t="s">
        <v>682</v>
      </c>
      <c r="J174" s="3">
        <v>741719</v>
      </c>
      <c r="K174" s="3">
        <v>0.16950000000000001</v>
      </c>
      <c r="L174" s="3">
        <v>0.1623</v>
      </c>
      <c r="M174" s="3">
        <v>0.16539999999999999</v>
      </c>
      <c r="N174" s="3">
        <v>3430</v>
      </c>
      <c r="O174" s="3">
        <v>534699540</v>
      </c>
      <c r="P174" s="3">
        <v>740269</v>
      </c>
      <c r="Q174" s="3">
        <v>741719</v>
      </c>
      <c r="R174" s="3">
        <v>741719</v>
      </c>
      <c r="S174" s="3">
        <v>883875</v>
      </c>
      <c r="T174" s="3">
        <v>882375</v>
      </c>
      <c r="U174" s="3">
        <v>3483</v>
      </c>
      <c r="V174" s="3">
        <v>3760</v>
      </c>
      <c r="W174" s="3">
        <v>7.95</v>
      </c>
      <c r="X174" s="34">
        <v>2993953</v>
      </c>
      <c r="Y174" s="35">
        <v>10506047</v>
      </c>
      <c r="Z174" s="34">
        <f t="shared" si="7"/>
        <v>0.71502573708265338</v>
      </c>
      <c r="AA174" s="36">
        <f>10506047/13500000</f>
        <v>0.7782257037037037</v>
      </c>
      <c r="AB174" s="7">
        <v>42572</v>
      </c>
    </row>
    <row r="175" spans="1:28" s="61" customFormat="1" x14ac:dyDescent="0.35">
      <c r="A175" s="64">
        <v>42536.352407407401</v>
      </c>
      <c r="B175" s="64">
        <v>42597</v>
      </c>
      <c r="D175" s="72" t="s">
        <v>681</v>
      </c>
      <c r="E175" s="61" t="s">
        <v>1241</v>
      </c>
      <c r="F175" s="70" t="s">
        <v>1219</v>
      </c>
      <c r="G175" s="61" t="s">
        <v>679</v>
      </c>
      <c r="H175" s="61" t="s">
        <v>1242</v>
      </c>
      <c r="I175" s="61" t="s">
        <v>684</v>
      </c>
      <c r="L175" s="61">
        <v>0.1623</v>
      </c>
      <c r="M175" s="61">
        <v>0.16539999999999999</v>
      </c>
      <c r="N175" s="61">
        <v>3430</v>
      </c>
      <c r="O175" s="61">
        <v>534699540</v>
      </c>
      <c r="S175" s="61">
        <v>0</v>
      </c>
      <c r="T175" s="61">
        <v>2033000</v>
      </c>
      <c r="U175" s="61">
        <v>3483</v>
      </c>
      <c r="V175" s="61">
        <v>3760</v>
      </c>
      <c r="W175" s="61">
        <v>7.95</v>
      </c>
      <c r="X175" s="43">
        <v>3610068</v>
      </c>
      <c r="Y175" s="73">
        <v>30000000</v>
      </c>
      <c r="Z175" s="43">
        <f t="shared" si="7"/>
        <v>0.87966440000000001</v>
      </c>
      <c r="AA175" s="74">
        <f>26389932/30000000</f>
        <v>0.87966440000000001</v>
      </c>
      <c r="AB175" s="69">
        <v>42571</v>
      </c>
    </row>
    <row r="176" spans="1:28" s="3" customFormat="1" x14ac:dyDescent="0.35">
      <c r="A176" s="4">
        <v>41222.398356481499</v>
      </c>
      <c r="B176" s="4">
        <v>41101</v>
      </c>
      <c r="C176" s="3" t="s">
        <v>22</v>
      </c>
      <c r="D176" s="30" t="s">
        <v>687</v>
      </c>
      <c r="E176" s="3" t="s">
        <v>45</v>
      </c>
      <c r="F176" s="27" t="s">
        <v>686</v>
      </c>
      <c r="G176" s="3" t="s">
        <v>685</v>
      </c>
      <c r="H176" s="3" t="s">
        <v>25</v>
      </c>
      <c r="I176" s="3" t="s">
        <v>688</v>
      </c>
      <c r="J176" s="3">
        <v>1904550</v>
      </c>
      <c r="K176" s="3">
        <v>0.42670000000000002</v>
      </c>
      <c r="L176" s="3">
        <v>0.28999999999999998</v>
      </c>
      <c r="M176" s="3">
        <v>0.40450000000000003</v>
      </c>
      <c r="N176" s="3">
        <v>13653.763999999999</v>
      </c>
      <c r="O176" s="3">
        <v>3124909640</v>
      </c>
      <c r="P176" s="3">
        <v>1904550</v>
      </c>
      <c r="Q176" s="3">
        <v>1904550</v>
      </c>
      <c r="R176" s="3">
        <v>1904550</v>
      </c>
      <c r="S176" s="3">
        <v>4000000</v>
      </c>
      <c r="T176" s="3">
        <v>4000000</v>
      </c>
      <c r="U176" s="3">
        <v>10078</v>
      </c>
      <c r="V176" s="3">
        <v>13769</v>
      </c>
      <c r="W176" s="3">
        <v>36.619999999999997</v>
      </c>
      <c r="X176" s="34">
        <v>0</v>
      </c>
      <c r="Y176" s="35">
        <v>55000000</v>
      </c>
      <c r="Z176" s="34">
        <f t="shared" si="7"/>
        <v>1</v>
      </c>
      <c r="AA176" s="36">
        <f>55000000/55000000</f>
        <v>1</v>
      </c>
      <c r="AB176" s="7">
        <v>42572</v>
      </c>
    </row>
    <row r="177" spans="1:28" s="3" customFormat="1" x14ac:dyDescent="0.35">
      <c r="A177" s="4">
        <v>41522.484340277799</v>
      </c>
      <c r="B177" s="4">
        <v>41450.416666666701</v>
      </c>
      <c r="C177" s="3" t="s">
        <v>22</v>
      </c>
      <c r="D177" s="30" t="s">
        <v>687</v>
      </c>
      <c r="E177" s="3" t="s">
        <v>35</v>
      </c>
      <c r="F177" s="27" t="s">
        <v>689</v>
      </c>
      <c r="G177" s="3" t="s">
        <v>685</v>
      </c>
      <c r="H177" s="3" t="s">
        <v>37</v>
      </c>
      <c r="I177" s="3" t="s">
        <v>690</v>
      </c>
      <c r="L177" s="3">
        <v>0.28999999999999998</v>
      </c>
      <c r="M177" s="3">
        <v>0.40450000000000003</v>
      </c>
      <c r="N177" s="3">
        <v>13653.763999999999</v>
      </c>
      <c r="O177" s="3">
        <v>3124909640</v>
      </c>
      <c r="P177" s="3">
        <v>2517575</v>
      </c>
      <c r="Q177" s="3">
        <v>2417275</v>
      </c>
      <c r="R177" s="3">
        <v>2517575</v>
      </c>
      <c r="S177" s="3">
        <v>3000000</v>
      </c>
      <c r="T177" s="3">
        <v>3000000</v>
      </c>
      <c r="U177" s="3">
        <v>10078</v>
      </c>
      <c r="V177" s="3">
        <v>13769</v>
      </c>
      <c r="W177" s="3">
        <v>36.619999999999997</v>
      </c>
      <c r="X177" s="34">
        <v>0</v>
      </c>
      <c r="Y177" s="35">
        <v>33000000</v>
      </c>
      <c r="Z177" s="34">
        <f t="shared" si="7"/>
        <v>1</v>
      </c>
      <c r="AA177" s="36">
        <f>33000000/33000000</f>
        <v>1</v>
      </c>
      <c r="AB177" s="7">
        <v>42572</v>
      </c>
    </row>
    <row r="178" spans="1:28" s="3" customFormat="1" x14ac:dyDescent="0.35">
      <c r="A178" s="4">
        <v>41864.4977083333</v>
      </c>
      <c r="B178" s="4">
        <v>41816</v>
      </c>
      <c r="C178" s="3" t="s">
        <v>22</v>
      </c>
      <c r="D178" s="30" t="s">
        <v>687</v>
      </c>
      <c r="E178" s="3" t="s">
        <v>29</v>
      </c>
      <c r="F178" s="27" t="s">
        <v>691</v>
      </c>
      <c r="G178" s="3" t="s">
        <v>685</v>
      </c>
      <c r="H178" s="3" t="s">
        <v>31</v>
      </c>
      <c r="I178" s="3" t="s">
        <v>692</v>
      </c>
      <c r="J178" s="3">
        <v>403575</v>
      </c>
      <c r="K178" s="3">
        <v>0.42670000000000002</v>
      </c>
      <c r="L178" s="3">
        <v>0.28999999999999998</v>
      </c>
      <c r="M178" s="3">
        <v>0.40450000000000003</v>
      </c>
      <c r="N178" s="3">
        <v>13653.763999999999</v>
      </c>
      <c r="O178" s="3">
        <v>3124909640</v>
      </c>
      <c r="P178" s="3">
        <v>306075</v>
      </c>
      <c r="Q178" s="3">
        <v>403575</v>
      </c>
      <c r="R178" s="3">
        <v>403575</v>
      </c>
      <c r="S178" s="3">
        <v>1000000</v>
      </c>
      <c r="T178" s="3">
        <v>1000000</v>
      </c>
      <c r="U178" s="3">
        <v>10078</v>
      </c>
      <c r="V178" s="3">
        <v>13769</v>
      </c>
      <c r="W178" s="3">
        <v>36.619999999999997</v>
      </c>
      <c r="X178" s="34">
        <v>0</v>
      </c>
      <c r="Y178" s="35">
        <v>9500000</v>
      </c>
      <c r="Z178" s="34">
        <f t="shared" si="7"/>
        <v>1</v>
      </c>
      <c r="AA178" s="36">
        <f>9500000/9500000</f>
        <v>1</v>
      </c>
      <c r="AB178" s="7">
        <v>42572</v>
      </c>
    </row>
    <row r="179" spans="1:28" s="3" customFormat="1" x14ac:dyDescent="0.35">
      <c r="A179" s="4">
        <v>42263.389016203699</v>
      </c>
      <c r="B179" s="4">
        <v>42186</v>
      </c>
      <c r="C179" s="3" t="s">
        <v>22</v>
      </c>
      <c r="D179" s="30" t="s">
        <v>687</v>
      </c>
      <c r="E179" s="3" t="s">
        <v>194</v>
      </c>
      <c r="F179" s="27" t="s">
        <v>693</v>
      </c>
      <c r="G179" s="3" t="s">
        <v>685</v>
      </c>
      <c r="H179" s="3" t="s">
        <v>126</v>
      </c>
      <c r="I179" s="3" t="s">
        <v>694</v>
      </c>
      <c r="J179" s="3">
        <v>0</v>
      </c>
      <c r="K179" s="3">
        <v>0.42670000000000002</v>
      </c>
      <c r="L179" s="3">
        <v>0.28999999999999998</v>
      </c>
      <c r="M179" s="3">
        <v>0.40450000000000003</v>
      </c>
      <c r="N179" s="3">
        <v>13653.763999999999</v>
      </c>
      <c r="O179" s="3">
        <v>3124909640</v>
      </c>
      <c r="P179" s="3">
        <v>4696400</v>
      </c>
      <c r="Q179" s="3">
        <v>4158850</v>
      </c>
      <c r="R179" s="3">
        <v>4696400</v>
      </c>
      <c r="S179" s="3">
        <v>9500000</v>
      </c>
      <c r="T179" s="3">
        <v>9500000</v>
      </c>
      <c r="U179" s="3">
        <v>10078</v>
      </c>
      <c r="V179" s="3">
        <v>13769</v>
      </c>
      <c r="W179" s="3">
        <v>36.619999999999997</v>
      </c>
      <c r="X179" s="34">
        <v>0</v>
      </c>
      <c r="Y179" s="35">
        <v>90000000</v>
      </c>
      <c r="Z179" s="34">
        <f t="shared" si="7"/>
        <v>1</v>
      </c>
      <c r="AA179" s="36">
        <f>90000000/90000000</f>
        <v>1</v>
      </c>
      <c r="AB179" s="7">
        <v>42570</v>
      </c>
    </row>
    <row r="180" spans="1:28" s="5" customFormat="1" x14ac:dyDescent="0.35">
      <c r="A180" s="4">
        <v>41285.4848263889</v>
      </c>
      <c r="B180" s="4">
        <v>41141.4375</v>
      </c>
      <c r="C180" s="3" t="s">
        <v>22</v>
      </c>
      <c r="D180" s="30" t="s">
        <v>699</v>
      </c>
      <c r="E180" s="3" t="s">
        <v>696</v>
      </c>
      <c r="F180" s="27" t="s">
        <v>697</v>
      </c>
      <c r="G180" s="3" t="s">
        <v>695</v>
      </c>
      <c r="H180" s="3" t="s">
        <v>698</v>
      </c>
      <c r="I180" s="3" t="s">
        <v>700</v>
      </c>
      <c r="J180" s="3">
        <v>67975</v>
      </c>
      <c r="K180" s="3">
        <v>0.12189999999999999</v>
      </c>
      <c r="L180" s="3">
        <v>0.12239999999999999</v>
      </c>
      <c r="M180" s="3">
        <v>0.25380000000000003</v>
      </c>
      <c r="N180" s="3">
        <v>980.25099999999998</v>
      </c>
      <c r="O180" s="3">
        <v>830702498</v>
      </c>
      <c r="P180" s="3">
        <v>67086</v>
      </c>
      <c r="Q180" s="3">
        <v>67086</v>
      </c>
      <c r="R180" s="3">
        <v>67086</v>
      </c>
      <c r="S180" s="3">
        <v>600000</v>
      </c>
      <c r="T180" s="3">
        <v>600000</v>
      </c>
      <c r="U180" s="3">
        <v>1227</v>
      </c>
      <c r="V180" s="3">
        <v>1027</v>
      </c>
      <c r="W180" s="3">
        <v>-16.3</v>
      </c>
      <c r="X180" s="34">
        <v>0</v>
      </c>
      <c r="Y180" s="35">
        <v>5469000</v>
      </c>
      <c r="Z180" s="34">
        <f t="shared" si="7"/>
        <v>1</v>
      </c>
      <c r="AA180" s="36">
        <f>5469000/5469000</f>
        <v>1</v>
      </c>
      <c r="AB180" s="7">
        <v>42572</v>
      </c>
    </row>
    <row r="181" spans="1:28" s="5" customFormat="1" x14ac:dyDescent="0.35">
      <c r="A181" s="4">
        <v>41551.39875</v>
      </c>
      <c r="B181" s="4">
        <v>41494</v>
      </c>
      <c r="C181" s="3" t="s">
        <v>22</v>
      </c>
      <c r="D181" s="30" t="s">
        <v>703</v>
      </c>
      <c r="E181" s="3" t="s">
        <v>35</v>
      </c>
      <c r="F181" s="27" t="s">
        <v>702</v>
      </c>
      <c r="G181" s="3" t="s">
        <v>701</v>
      </c>
      <c r="H181" s="3" t="s">
        <v>37</v>
      </c>
      <c r="I181" s="3" t="s">
        <v>704</v>
      </c>
      <c r="J181" s="3">
        <v>402625</v>
      </c>
      <c r="K181" s="3">
        <v>0.25850000000000001</v>
      </c>
      <c r="L181" s="3">
        <v>0.2515</v>
      </c>
      <c r="M181" s="3">
        <v>0.64600000000000002</v>
      </c>
      <c r="N181" s="3">
        <v>460.16699999999997</v>
      </c>
      <c r="O181" s="3">
        <v>238020094</v>
      </c>
      <c r="P181" s="3">
        <v>401950</v>
      </c>
      <c r="Q181" s="3">
        <v>402625</v>
      </c>
      <c r="R181" s="3">
        <v>402625</v>
      </c>
      <c r="S181" s="3">
        <v>1000000</v>
      </c>
      <c r="T181" s="3">
        <v>1000000</v>
      </c>
      <c r="U181" s="3">
        <v>482</v>
      </c>
      <c r="V181" s="3">
        <v>522</v>
      </c>
      <c r="W181" s="3">
        <v>8.3000000000000007</v>
      </c>
      <c r="X181" s="34">
        <v>0</v>
      </c>
      <c r="Y181" s="35">
        <v>7000000</v>
      </c>
      <c r="Z181" s="34">
        <f t="shared" si="7"/>
        <v>1</v>
      </c>
      <c r="AA181" s="36">
        <f>7000000/7000000</f>
        <v>1</v>
      </c>
      <c r="AB181" s="7">
        <v>42572</v>
      </c>
    </row>
    <row r="182" spans="1:28" s="61" customFormat="1" x14ac:dyDescent="0.35">
      <c r="A182" s="64">
        <v>42111.427094907398</v>
      </c>
      <c r="B182" s="64">
        <v>42019</v>
      </c>
      <c r="C182" s="61" t="s">
        <v>152</v>
      </c>
      <c r="D182" s="72" t="s">
        <v>708</v>
      </c>
      <c r="E182" s="61" t="s">
        <v>706</v>
      </c>
      <c r="F182" s="70" t="s">
        <v>707</v>
      </c>
      <c r="G182" s="61" t="s">
        <v>705</v>
      </c>
      <c r="H182" s="61" t="s">
        <v>126</v>
      </c>
      <c r="I182" s="61" t="s">
        <v>709</v>
      </c>
      <c r="J182" s="61">
        <v>2056988</v>
      </c>
      <c r="K182" s="61">
        <v>0.19370000000000001</v>
      </c>
      <c r="L182" s="61">
        <v>0.1951</v>
      </c>
      <c r="M182" s="61">
        <v>0.26150000000000001</v>
      </c>
      <c r="N182" s="61">
        <v>5599</v>
      </c>
      <c r="O182" s="61">
        <v>1435793791</v>
      </c>
      <c r="P182" s="61">
        <v>2056988</v>
      </c>
      <c r="Q182" s="61">
        <v>2056988</v>
      </c>
      <c r="R182" s="61">
        <v>2056988</v>
      </c>
      <c r="S182" s="61">
        <v>3246250</v>
      </c>
      <c r="T182" s="61">
        <v>3246250</v>
      </c>
      <c r="U182" s="61">
        <v>5697</v>
      </c>
      <c r="V182" s="61">
        <v>5931</v>
      </c>
      <c r="W182" s="61">
        <v>4.1100000000000003</v>
      </c>
      <c r="X182" s="43">
        <v>2000000</v>
      </c>
      <c r="Y182" s="73">
        <v>49673624</v>
      </c>
      <c r="Z182" s="43">
        <f t="shared" si="7"/>
        <v>0.9597371836610914</v>
      </c>
      <c r="AA182" s="74">
        <f>47673624/49673624</f>
        <v>0.9597371836610914</v>
      </c>
      <c r="AB182" s="69">
        <v>42570</v>
      </c>
    </row>
    <row r="183" spans="1:28" s="3" customFormat="1" x14ac:dyDescent="0.35">
      <c r="A183" s="4">
        <v>41551.39875</v>
      </c>
      <c r="B183" s="4">
        <v>40532</v>
      </c>
      <c r="C183" s="3" t="s">
        <v>22</v>
      </c>
      <c r="D183" s="30" t="s">
        <v>714</v>
      </c>
      <c r="E183" s="3" t="s">
        <v>711</v>
      </c>
      <c r="F183" s="27" t="s">
        <v>712</v>
      </c>
      <c r="G183" s="3" t="s">
        <v>710</v>
      </c>
      <c r="H183" s="3" t="s">
        <v>713</v>
      </c>
      <c r="I183" s="3" t="s">
        <v>715</v>
      </c>
      <c r="J183" s="3">
        <v>3940387</v>
      </c>
      <c r="K183" s="3">
        <v>0.18310000000000001</v>
      </c>
      <c r="L183" s="3">
        <v>0.1827</v>
      </c>
      <c r="M183" s="3">
        <v>0.20069999999999999</v>
      </c>
      <c r="N183" s="3">
        <v>37060.631999999998</v>
      </c>
      <c r="O183" s="3">
        <v>14041443510</v>
      </c>
      <c r="P183" s="3">
        <v>3930179</v>
      </c>
      <c r="Q183" s="3">
        <v>3930179</v>
      </c>
      <c r="R183" s="3">
        <v>3930179</v>
      </c>
      <c r="S183" s="3">
        <v>5413668</v>
      </c>
      <c r="T183" s="3">
        <v>5413668</v>
      </c>
      <c r="U183" s="3">
        <v>38226</v>
      </c>
      <c r="V183" s="3">
        <v>38423</v>
      </c>
      <c r="W183" s="3">
        <v>0.52</v>
      </c>
      <c r="X183" s="34">
        <v>2710800</v>
      </c>
      <c r="Y183" s="35">
        <v>110776018</v>
      </c>
      <c r="Z183" s="34">
        <f t="shared" si="7"/>
        <v>0.97552899942657267</v>
      </c>
      <c r="AA183" s="36">
        <f>110776018/113486818</f>
        <v>0.97611352536115692</v>
      </c>
      <c r="AB183" s="7">
        <v>42573</v>
      </c>
    </row>
    <row r="184" spans="1:28" s="3" customFormat="1" x14ac:dyDescent="0.35">
      <c r="A184" s="4">
        <v>42017.432453703703</v>
      </c>
      <c r="B184" s="4">
        <v>40861</v>
      </c>
      <c r="C184" s="3" t="s">
        <v>22</v>
      </c>
      <c r="D184" s="30" t="s">
        <v>714</v>
      </c>
      <c r="E184" s="3" t="s">
        <v>716</v>
      </c>
      <c r="F184" s="27" t="s">
        <v>717</v>
      </c>
      <c r="G184" s="3" t="s">
        <v>710</v>
      </c>
      <c r="H184" s="3" t="s">
        <v>718</v>
      </c>
      <c r="I184" s="3" t="s">
        <v>719</v>
      </c>
      <c r="J184" s="3">
        <v>1746212</v>
      </c>
      <c r="K184" s="3">
        <v>0.18310000000000001</v>
      </c>
      <c r="L184" s="3">
        <v>0.1827</v>
      </c>
      <c r="M184" s="3">
        <v>0.20069999999999999</v>
      </c>
      <c r="N184" s="3">
        <v>37060.631999999998</v>
      </c>
      <c r="O184" s="3">
        <v>14041443510</v>
      </c>
      <c r="P184" s="3">
        <v>1740650</v>
      </c>
      <c r="Q184" s="3">
        <v>1740650</v>
      </c>
      <c r="R184" s="3">
        <v>1740650</v>
      </c>
      <c r="S184" s="3">
        <v>1665000</v>
      </c>
      <c r="T184" s="3">
        <v>1665000</v>
      </c>
      <c r="U184" s="3">
        <v>38226</v>
      </c>
      <c r="V184" s="3">
        <v>38423</v>
      </c>
      <c r="W184" s="3">
        <v>0.52</v>
      </c>
      <c r="X184" s="34">
        <v>0</v>
      </c>
      <c r="Y184" s="35">
        <v>25000000</v>
      </c>
      <c r="Z184" s="34">
        <f t="shared" si="7"/>
        <v>1</v>
      </c>
      <c r="AA184" s="36">
        <f>25000000/25000000</f>
        <v>1</v>
      </c>
      <c r="AB184" s="7">
        <v>42573</v>
      </c>
    </row>
    <row r="185" spans="1:28" s="76" customFormat="1" x14ac:dyDescent="0.35">
      <c r="A185" s="86"/>
      <c r="B185" s="86">
        <v>42527</v>
      </c>
      <c r="C185" s="82"/>
      <c r="D185" s="87">
        <v>181908</v>
      </c>
      <c r="E185" s="82" t="s">
        <v>86</v>
      </c>
      <c r="F185" s="88" t="s">
        <v>1207</v>
      </c>
      <c r="G185" s="82" t="s">
        <v>748</v>
      </c>
      <c r="H185" s="82" t="s">
        <v>86</v>
      </c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>
        <v>0</v>
      </c>
      <c r="T185" s="82">
        <v>635575</v>
      </c>
      <c r="U185" s="82"/>
      <c r="V185" s="82"/>
      <c r="W185" s="82"/>
      <c r="X185" s="100">
        <v>6210000</v>
      </c>
      <c r="Y185" s="101">
        <v>46201963</v>
      </c>
      <c r="Z185" s="78">
        <f t="shared" si="7"/>
        <v>0.86559012654938494</v>
      </c>
      <c r="AA185" s="102">
        <f>46201963/52411963</f>
        <v>0.88151559978778127</v>
      </c>
      <c r="AB185" s="92">
        <v>42571</v>
      </c>
    </row>
    <row r="186" spans="1:28" s="61" customFormat="1" x14ac:dyDescent="0.35">
      <c r="A186" s="64">
        <v>41733.4191782407</v>
      </c>
      <c r="B186" s="64">
        <v>41683</v>
      </c>
      <c r="C186" s="61" t="s">
        <v>22</v>
      </c>
      <c r="D186" s="72" t="s">
        <v>722</v>
      </c>
      <c r="E186" s="61" t="s">
        <v>29</v>
      </c>
      <c r="F186" s="70" t="s">
        <v>721</v>
      </c>
      <c r="G186" s="61" t="s">
        <v>720</v>
      </c>
      <c r="H186" s="61" t="s">
        <v>31</v>
      </c>
      <c r="I186" s="61" t="s">
        <v>723</v>
      </c>
      <c r="J186" s="61">
        <v>1231750</v>
      </c>
      <c r="K186" s="61">
        <v>0.29249999999999998</v>
      </c>
      <c r="L186" s="61">
        <v>0.28999999999999998</v>
      </c>
      <c r="M186" s="61">
        <v>0.30740000000000001</v>
      </c>
      <c r="N186" s="61">
        <v>3052.9780000000001</v>
      </c>
      <c r="O186" s="61">
        <v>739873274</v>
      </c>
      <c r="P186" s="61">
        <v>1232850</v>
      </c>
      <c r="Q186" s="61">
        <v>1231750</v>
      </c>
      <c r="R186" s="61">
        <v>1232850</v>
      </c>
      <c r="S186" s="61">
        <v>1286470</v>
      </c>
      <c r="T186" s="61">
        <v>1286470</v>
      </c>
      <c r="U186" s="61">
        <v>3560</v>
      </c>
      <c r="V186" s="61">
        <v>3195</v>
      </c>
      <c r="W186" s="61">
        <v>-10.25</v>
      </c>
      <c r="X186" s="43">
        <v>1068926</v>
      </c>
      <c r="Y186" s="73">
        <v>25000000</v>
      </c>
      <c r="Z186" s="43">
        <f t="shared" si="7"/>
        <v>0.95724295999999998</v>
      </c>
      <c r="AA186" s="74">
        <f>23931074/25000000</f>
        <v>0.95724295999999998</v>
      </c>
      <c r="AB186" s="69">
        <v>42572</v>
      </c>
    </row>
    <row r="187" spans="1:28" s="3" customFormat="1" x14ac:dyDescent="0.35">
      <c r="A187" s="4"/>
      <c r="B187" s="4">
        <v>42212</v>
      </c>
      <c r="D187" s="32">
        <v>183902</v>
      </c>
      <c r="E187" s="5" t="s">
        <v>194</v>
      </c>
      <c r="F187" s="27" t="s">
        <v>806</v>
      </c>
      <c r="G187" s="5" t="s">
        <v>739</v>
      </c>
      <c r="H187" s="3" t="s">
        <v>126</v>
      </c>
      <c r="S187" s="3">
        <v>6600000</v>
      </c>
      <c r="T187" s="3">
        <v>3200000</v>
      </c>
      <c r="X187" s="40">
        <v>0</v>
      </c>
      <c r="Y187" s="41">
        <v>9750000</v>
      </c>
      <c r="Z187" s="34">
        <f t="shared" si="7"/>
        <v>1</v>
      </c>
      <c r="AA187" s="42">
        <f>9750000/9750000</f>
        <v>1</v>
      </c>
      <c r="AB187" s="7">
        <v>42570</v>
      </c>
    </row>
    <row r="188" spans="1:28" s="3" customFormat="1" x14ac:dyDescent="0.35">
      <c r="A188" s="4"/>
      <c r="B188" s="4">
        <v>42180</v>
      </c>
      <c r="D188" s="31">
        <v>184903</v>
      </c>
      <c r="E188" s="5" t="s">
        <v>96</v>
      </c>
      <c r="F188" s="27" t="s">
        <v>807</v>
      </c>
      <c r="G188" s="5" t="s">
        <v>728</v>
      </c>
      <c r="H188" s="3" t="s">
        <v>126</v>
      </c>
      <c r="S188" s="5">
        <v>4321723</v>
      </c>
      <c r="T188" s="5">
        <v>4161250</v>
      </c>
      <c r="X188" s="40">
        <v>0</v>
      </c>
      <c r="Y188" s="41">
        <v>74900000</v>
      </c>
      <c r="Z188" s="34">
        <f t="shared" si="7"/>
        <v>1</v>
      </c>
      <c r="AA188" s="42">
        <f>74900000/74900000</f>
        <v>1</v>
      </c>
      <c r="AB188" s="7">
        <v>42570</v>
      </c>
    </row>
    <row r="189" spans="1:28" s="3" customFormat="1" x14ac:dyDescent="0.35">
      <c r="A189" s="6"/>
      <c r="B189" s="6">
        <v>41835</v>
      </c>
      <c r="C189" s="5"/>
      <c r="D189" s="31">
        <v>184908</v>
      </c>
      <c r="E189" s="5" t="s">
        <v>763</v>
      </c>
      <c r="F189" s="28" t="s">
        <v>808</v>
      </c>
      <c r="G189" s="5" t="s">
        <v>762</v>
      </c>
      <c r="H189" s="5" t="s">
        <v>809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>
        <v>219537.5</v>
      </c>
      <c r="T189" s="5">
        <v>219537.5</v>
      </c>
      <c r="U189" s="5"/>
      <c r="V189" s="5"/>
      <c r="W189" s="5"/>
      <c r="X189" s="40">
        <v>815000</v>
      </c>
      <c r="Y189" s="41">
        <v>5000000</v>
      </c>
      <c r="Z189" s="34">
        <f t="shared" si="7"/>
        <v>0.83699999999999997</v>
      </c>
      <c r="AA189" s="42">
        <f>5000000/5815000</f>
        <v>0.85984522785898543</v>
      </c>
      <c r="AB189" s="8">
        <v>42572</v>
      </c>
    </row>
    <row r="190" spans="1:28" s="3" customFormat="1" x14ac:dyDescent="0.35">
      <c r="A190" s="6"/>
      <c r="B190" s="6"/>
      <c r="C190" s="5"/>
      <c r="D190" s="31">
        <v>187903</v>
      </c>
      <c r="E190" s="5" t="s">
        <v>72</v>
      </c>
      <c r="F190" s="28"/>
      <c r="G190" s="5" t="s">
        <v>749</v>
      </c>
      <c r="H190" s="5" t="s">
        <v>865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>
        <v>0</v>
      </c>
      <c r="T190" s="5">
        <v>196013</v>
      </c>
      <c r="U190" s="5"/>
      <c r="V190" s="5"/>
      <c r="W190" s="5"/>
      <c r="X190" s="40">
        <v>900000</v>
      </c>
      <c r="Y190" s="41">
        <v>2100000</v>
      </c>
      <c r="Z190" s="34">
        <f t="shared" si="7"/>
        <v>0.5714285714285714</v>
      </c>
      <c r="AA190" s="42">
        <f>2100000/3000000</f>
        <v>0.7</v>
      </c>
      <c r="AB190" s="8">
        <v>42572</v>
      </c>
    </row>
    <row r="191" spans="1:28" s="3" customFormat="1" x14ac:dyDescent="0.35">
      <c r="A191" s="6"/>
      <c r="B191" s="6">
        <v>41015</v>
      </c>
      <c r="C191" s="5"/>
      <c r="D191" s="31">
        <v>187907</v>
      </c>
      <c r="E191" s="5" t="s">
        <v>23</v>
      </c>
      <c r="F191" s="28" t="s">
        <v>810</v>
      </c>
      <c r="G191" s="5" t="s">
        <v>776</v>
      </c>
      <c r="H191" s="5" t="s">
        <v>25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>
        <v>320000</v>
      </c>
      <c r="U191" s="5">
        <v>320000</v>
      </c>
      <c r="V191" s="5"/>
      <c r="W191" s="5"/>
      <c r="X191" s="51">
        <v>0</v>
      </c>
      <c r="Y191" s="41">
        <v>2500000</v>
      </c>
      <c r="Z191" s="34">
        <f t="shared" si="7"/>
        <v>1</v>
      </c>
      <c r="AA191" s="42">
        <f>2500000/2500000</f>
        <v>1</v>
      </c>
      <c r="AB191" s="8">
        <v>42572</v>
      </c>
    </row>
    <row r="192" spans="1:28" s="3" customFormat="1" x14ac:dyDescent="0.35">
      <c r="A192" s="4"/>
      <c r="B192" s="4">
        <v>41465</v>
      </c>
      <c r="D192" s="31">
        <v>188901</v>
      </c>
      <c r="E192" s="5" t="s">
        <v>37</v>
      </c>
      <c r="F192" s="27" t="s">
        <v>811</v>
      </c>
      <c r="G192" s="5" t="s">
        <v>734</v>
      </c>
      <c r="H192" s="3" t="s">
        <v>37</v>
      </c>
      <c r="S192" s="5">
        <v>4000000</v>
      </c>
      <c r="T192" s="5">
        <v>4000000</v>
      </c>
      <c r="X192" s="40">
        <v>0</v>
      </c>
      <c r="Y192" s="41">
        <v>60000000</v>
      </c>
      <c r="Z192" s="34">
        <f t="shared" si="7"/>
        <v>1</v>
      </c>
      <c r="AA192" s="42">
        <f>60000000/60000000</f>
        <v>1</v>
      </c>
      <c r="AB192" s="8">
        <v>42572</v>
      </c>
    </row>
    <row r="193" spans="1:28" s="3" customFormat="1" x14ac:dyDescent="0.35">
      <c r="A193" s="4"/>
      <c r="B193" s="4">
        <v>42115</v>
      </c>
      <c r="D193" s="31">
        <v>188901</v>
      </c>
      <c r="E193" s="5" t="s">
        <v>126</v>
      </c>
      <c r="F193" s="27" t="s">
        <v>812</v>
      </c>
      <c r="G193" s="5" t="s">
        <v>734</v>
      </c>
      <c r="H193" s="3" t="s">
        <v>126</v>
      </c>
      <c r="S193" s="5">
        <v>2500000</v>
      </c>
      <c r="T193" s="5">
        <v>2500000</v>
      </c>
      <c r="X193" s="40">
        <v>0</v>
      </c>
      <c r="Y193" s="41">
        <v>23450000</v>
      </c>
      <c r="Z193" s="34">
        <f t="shared" si="7"/>
        <v>1</v>
      </c>
      <c r="AA193" s="42">
        <f>23450000/23450000</f>
        <v>1</v>
      </c>
      <c r="AB193" s="8">
        <v>42570</v>
      </c>
    </row>
    <row r="194" spans="1:28" s="3" customFormat="1" x14ac:dyDescent="0.35">
      <c r="A194" s="4"/>
      <c r="B194" s="4">
        <v>40967</v>
      </c>
      <c r="D194" s="31">
        <v>199901</v>
      </c>
      <c r="E194" s="5" t="s">
        <v>45</v>
      </c>
      <c r="F194" s="27" t="s">
        <v>815</v>
      </c>
      <c r="G194" s="5" t="s">
        <v>774</v>
      </c>
      <c r="H194" s="3" t="s">
        <v>25</v>
      </c>
      <c r="S194" s="5">
        <v>555000</v>
      </c>
      <c r="T194" s="5">
        <v>555000</v>
      </c>
      <c r="X194" s="40">
        <v>0</v>
      </c>
      <c r="Y194" s="41">
        <v>12000000</v>
      </c>
      <c r="Z194" s="34">
        <f t="shared" si="7"/>
        <v>1</v>
      </c>
      <c r="AA194" s="42">
        <f>12000000/12000000</f>
        <v>1</v>
      </c>
      <c r="AB194" s="7">
        <v>42572</v>
      </c>
    </row>
    <row r="195" spans="1:28" s="3" customFormat="1" x14ac:dyDescent="0.35">
      <c r="A195" s="6"/>
      <c r="B195" s="6">
        <v>42198</v>
      </c>
      <c r="C195" s="5"/>
      <c r="D195" s="31">
        <v>200902</v>
      </c>
      <c r="E195" s="5" t="s">
        <v>194</v>
      </c>
      <c r="F195" s="28" t="s">
        <v>816</v>
      </c>
      <c r="G195" s="5" t="s">
        <v>727</v>
      </c>
      <c r="H195" s="5" t="s">
        <v>126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>
        <v>260500</v>
      </c>
      <c r="T195" s="5">
        <v>260500</v>
      </c>
      <c r="U195" s="5"/>
      <c r="V195" s="5"/>
      <c r="W195" s="5"/>
      <c r="X195" s="40">
        <v>0</v>
      </c>
      <c r="Y195" s="41">
        <v>7000000</v>
      </c>
      <c r="Z195" s="34">
        <f t="shared" si="7"/>
        <v>1</v>
      </c>
      <c r="AA195" s="42">
        <f>7000000/7000000</f>
        <v>1</v>
      </c>
      <c r="AB195" s="7">
        <v>42570</v>
      </c>
    </row>
    <row r="196" spans="1:28" s="5" customFormat="1" x14ac:dyDescent="0.35">
      <c r="A196" s="6"/>
      <c r="B196" s="6">
        <v>41499</v>
      </c>
      <c r="D196" s="31">
        <v>201902</v>
      </c>
      <c r="E196" s="5" t="s">
        <v>35</v>
      </c>
      <c r="F196" s="28" t="s">
        <v>817</v>
      </c>
      <c r="G196" s="5" t="s">
        <v>768</v>
      </c>
      <c r="H196" s="5" t="s">
        <v>37</v>
      </c>
      <c r="S196" s="5">
        <v>2000000</v>
      </c>
      <c r="T196" s="5">
        <v>2000000</v>
      </c>
      <c r="X196" s="40">
        <v>0</v>
      </c>
      <c r="Y196" s="41">
        <v>20510000</v>
      </c>
      <c r="Z196" s="34">
        <f t="shared" si="7"/>
        <v>1</v>
      </c>
      <c r="AA196" s="42">
        <f>20510000/20510000</f>
        <v>1</v>
      </c>
      <c r="AB196" s="8">
        <v>42572</v>
      </c>
    </row>
    <row r="197" spans="1:28" s="3" customFormat="1" x14ac:dyDescent="0.35">
      <c r="A197" s="6"/>
      <c r="B197" s="6">
        <v>41499</v>
      </c>
      <c r="C197" s="5"/>
      <c r="D197" s="31">
        <v>201902</v>
      </c>
      <c r="E197" s="5" t="s">
        <v>769</v>
      </c>
      <c r="F197" s="28" t="s">
        <v>818</v>
      </c>
      <c r="G197" s="5" t="s">
        <v>768</v>
      </c>
      <c r="H197" s="5" t="s">
        <v>819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>
        <v>1000000</v>
      </c>
      <c r="T197" s="5">
        <v>1000000</v>
      </c>
      <c r="U197" s="5"/>
      <c r="V197" s="5"/>
      <c r="W197" s="5"/>
      <c r="X197" s="40">
        <v>0</v>
      </c>
      <c r="Y197" s="41">
        <v>6490000</v>
      </c>
      <c r="Z197" s="34">
        <f t="shared" ref="Z197:Z228" si="8">1-(X197/Y197)</f>
        <v>1</v>
      </c>
      <c r="AA197" s="42">
        <f>6490000/6490000</f>
        <v>1</v>
      </c>
      <c r="AB197" s="8">
        <v>42572</v>
      </c>
    </row>
    <row r="198" spans="1:28" s="3" customFormat="1" x14ac:dyDescent="0.35">
      <c r="A198" s="6"/>
      <c r="B198" s="6">
        <v>40736</v>
      </c>
      <c r="C198" s="5"/>
      <c r="D198" s="31">
        <v>201913</v>
      </c>
      <c r="E198" s="5" t="s">
        <v>50</v>
      </c>
      <c r="F198" s="28" t="s">
        <v>820</v>
      </c>
      <c r="G198" s="5" t="s">
        <v>780</v>
      </c>
      <c r="H198" s="5" t="s">
        <v>52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>
        <v>800000</v>
      </c>
      <c r="T198" s="5">
        <v>800000</v>
      </c>
      <c r="U198" s="5"/>
      <c r="V198" s="5"/>
      <c r="W198" s="5"/>
      <c r="X198" s="40">
        <v>0</v>
      </c>
      <c r="Y198" s="41">
        <v>2385000</v>
      </c>
      <c r="Z198" s="34">
        <f t="shared" si="8"/>
        <v>1</v>
      </c>
      <c r="AA198" s="42">
        <f>2385000/2385000</f>
        <v>1</v>
      </c>
      <c r="AB198" s="8">
        <v>42573</v>
      </c>
    </row>
    <row r="199" spans="1:28" s="3" customFormat="1" x14ac:dyDescent="0.35">
      <c r="A199" s="6"/>
      <c r="B199" s="6">
        <v>40736</v>
      </c>
      <c r="C199" s="5"/>
      <c r="D199" s="31">
        <v>201913</v>
      </c>
      <c r="E199" s="5" t="s">
        <v>513</v>
      </c>
      <c r="F199" s="28" t="s">
        <v>821</v>
      </c>
      <c r="G199" s="5" t="s">
        <v>780</v>
      </c>
      <c r="H199" s="5" t="s">
        <v>822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>
        <v>1000000</v>
      </c>
      <c r="T199" s="5">
        <v>1000000</v>
      </c>
      <c r="U199" s="5"/>
      <c r="V199" s="5"/>
      <c r="W199" s="5"/>
      <c r="X199" s="40">
        <v>0</v>
      </c>
      <c r="Y199" s="41">
        <v>5115000</v>
      </c>
      <c r="Z199" s="34">
        <f t="shared" si="8"/>
        <v>1</v>
      </c>
      <c r="AA199" s="42">
        <f>5115000/5115000</f>
        <v>1</v>
      </c>
      <c r="AB199" s="8">
        <v>42573</v>
      </c>
    </row>
    <row r="200" spans="1:28" s="5" customFormat="1" x14ac:dyDescent="0.35">
      <c r="A200" s="6"/>
      <c r="B200" s="6">
        <v>40931</v>
      </c>
      <c r="D200" s="31">
        <v>201914</v>
      </c>
      <c r="E200" s="5" t="s">
        <v>347</v>
      </c>
      <c r="F200" s="28" t="s">
        <v>823</v>
      </c>
      <c r="G200" s="5" t="s">
        <v>775</v>
      </c>
      <c r="H200" s="5" t="s">
        <v>25</v>
      </c>
      <c r="T200" s="5">
        <v>1200000</v>
      </c>
      <c r="U200" s="5">
        <v>1200000</v>
      </c>
      <c r="X200" s="40">
        <v>0</v>
      </c>
      <c r="Y200" s="41">
        <v>15000000</v>
      </c>
      <c r="Z200" s="34">
        <f t="shared" si="8"/>
        <v>1</v>
      </c>
      <c r="AA200" s="42">
        <f>15000000/15000000</f>
        <v>1</v>
      </c>
      <c r="AB200" s="8">
        <v>42572</v>
      </c>
    </row>
    <row r="201" spans="1:28" s="5" customFormat="1" x14ac:dyDescent="0.35">
      <c r="A201" s="6"/>
      <c r="B201" s="6">
        <v>41291</v>
      </c>
      <c r="D201" s="31">
        <v>203901</v>
      </c>
      <c r="E201" s="5" t="s">
        <v>35</v>
      </c>
      <c r="F201" s="28" t="s">
        <v>825</v>
      </c>
      <c r="G201" s="5" t="s">
        <v>764</v>
      </c>
      <c r="H201" s="5" t="s">
        <v>37</v>
      </c>
      <c r="S201" s="5">
        <v>2000000</v>
      </c>
      <c r="T201" s="5">
        <v>2000000</v>
      </c>
      <c r="X201" s="40">
        <v>0</v>
      </c>
      <c r="Y201" s="41">
        <v>5000000</v>
      </c>
      <c r="Z201" s="34">
        <f t="shared" si="8"/>
        <v>1</v>
      </c>
      <c r="AA201" s="42">
        <f>5000000/5000000</f>
        <v>1</v>
      </c>
      <c r="AB201" s="8">
        <v>42572</v>
      </c>
    </row>
    <row r="202" spans="1:28" s="5" customFormat="1" x14ac:dyDescent="0.35">
      <c r="A202" s="6"/>
      <c r="B202" s="6">
        <v>41046</v>
      </c>
      <c r="D202" s="31">
        <v>203901</v>
      </c>
      <c r="E202" s="5" t="s">
        <v>45</v>
      </c>
      <c r="F202" s="28" t="s">
        <v>824</v>
      </c>
      <c r="G202" s="5" t="s">
        <v>764</v>
      </c>
      <c r="H202" s="5" t="s">
        <v>25</v>
      </c>
      <c r="S202" s="5">
        <v>200000</v>
      </c>
      <c r="T202" s="5">
        <v>200000</v>
      </c>
      <c r="X202" s="40">
        <v>0</v>
      </c>
      <c r="Y202" s="41">
        <v>3770000</v>
      </c>
      <c r="Z202" s="34">
        <f t="shared" si="8"/>
        <v>1</v>
      </c>
      <c r="AA202" s="42">
        <f>3770000/3770000</f>
        <v>1</v>
      </c>
      <c r="AB202" s="8">
        <v>42572</v>
      </c>
    </row>
    <row r="203" spans="1:28" s="5" customFormat="1" x14ac:dyDescent="0.35">
      <c r="A203" s="6"/>
      <c r="B203" s="6">
        <v>40780</v>
      </c>
      <c r="D203" s="31">
        <v>203901</v>
      </c>
      <c r="E203" s="5" t="s">
        <v>50</v>
      </c>
      <c r="F203" s="28" t="s">
        <v>826</v>
      </c>
      <c r="G203" s="5" t="s">
        <v>764</v>
      </c>
      <c r="H203" s="5" t="s">
        <v>822</v>
      </c>
      <c r="S203" s="5">
        <v>1000000</v>
      </c>
      <c r="T203" s="5">
        <v>1000000</v>
      </c>
      <c r="X203" s="40">
        <v>0</v>
      </c>
      <c r="Y203" s="41">
        <v>5230000</v>
      </c>
      <c r="Z203" s="34">
        <f t="shared" si="8"/>
        <v>1</v>
      </c>
      <c r="AA203" s="42">
        <f>5230000/5230000</f>
        <v>1</v>
      </c>
      <c r="AB203" s="8">
        <v>42572</v>
      </c>
    </row>
    <row r="204" spans="1:28" s="76" customFormat="1" x14ac:dyDescent="0.35">
      <c r="A204" s="75"/>
      <c r="B204" s="75">
        <v>42565</v>
      </c>
      <c r="D204" s="87">
        <v>205901</v>
      </c>
      <c r="E204" s="82" t="s">
        <v>74</v>
      </c>
      <c r="F204" s="88" t="s">
        <v>1232</v>
      </c>
      <c r="G204" s="82" t="s">
        <v>755</v>
      </c>
      <c r="H204" s="76" t="s">
        <v>74</v>
      </c>
      <c r="S204" s="82">
        <v>0</v>
      </c>
      <c r="T204" s="82">
        <v>0</v>
      </c>
      <c r="X204" s="89">
        <v>6200000</v>
      </c>
      <c r="Y204" s="90">
        <v>11700000</v>
      </c>
      <c r="Z204" s="78">
        <f t="shared" si="8"/>
        <v>0.47008547008547008</v>
      </c>
      <c r="AA204" s="91">
        <f>11700000/17900000</f>
        <v>0.65363128491620115</v>
      </c>
      <c r="AB204" s="92">
        <v>42571</v>
      </c>
    </row>
    <row r="205" spans="1:28" s="3" customFormat="1" x14ac:dyDescent="0.35">
      <c r="A205" s="4"/>
      <c r="B205" s="4">
        <v>42226</v>
      </c>
      <c r="D205" s="31">
        <v>205905</v>
      </c>
      <c r="E205" s="5" t="s">
        <v>194</v>
      </c>
      <c r="F205" s="27" t="s">
        <v>828</v>
      </c>
      <c r="G205" s="5" t="s">
        <v>738</v>
      </c>
      <c r="H205" s="3" t="s">
        <v>126</v>
      </c>
      <c r="S205" s="5">
        <v>1112453.33</v>
      </c>
      <c r="T205" s="5">
        <v>1176300</v>
      </c>
      <c r="X205" s="40">
        <v>0</v>
      </c>
      <c r="Y205" s="41">
        <v>24500000</v>
      </c>
      <c r="Z205" s="34">
        <f t="shared" si="8"/>
        <v>1</v>
      </c>
      <c r="AA205" s="42">
        <f>24500000/24500000</f>
        <v>1</v>
      </c>
      <c r="AB205" s="7">
        <v>42570</v>
      </c>
    </row>
    <row r="206" spans="1:28" s="3" customFormat="1" x14ac:dyDescent="0.35">
      <c r="A206" s="4"/>
      <c r="B206" s="4">
        <v>42061</v>
      </c>
      <c r="D206" s="31">
        <v>206902</v>
      </c>
      <c r="E206" s="5" t="s">
        <v>194</v>
      </c>
      <c r="F206" s="27" t="s">
        <v>829</v>
      </c>
      <c r="G206" s="5" t="s">
        <v>730</v>
      </c>
      <c r="H206" s="3" t="s">
        <v>126</v>
      </c>
      <c r="S206" s="5">
        <v>156452</v>
      </c>
      <c r="T206" s="5">
        <v>155900</v>
      </c>
      <c r="X206" s="40">
        <v>81645</v>
      </c>
      <c r="Y206" s="41">
        <v>2588355</v>
      </c>
      <c r="Z206" s="34">
        <f t="shared" si="8"/>
        <v>0.96845679978210097</v>
      </c>
      <c r="AA206" s="42">
        <f>2588355/2670000</f>
        <v>0.96942134831460669</v>
      </c>
      <c r="AB206" s="7">
        <v>42570</v>
      </c>
    </row>
    <row r="207" spans="1:28" s="3" customFormat="1" x14ac:dyDescent="0.35">
      <c r="A207" s="4"/>
      <c r="B207" s="4">
        <v>42044</v>
      </c>
      <c r="D207" s="31">
        <v>212901</v>
      </c>
      <c r="E207" s="5" t="s">
        <v>126</v>
      </c>
      <c r="F207" s="27" t="s">
        <v>830</v>
      </c>
      <c r="G207" s="5" t="s">
        <v>741</v>
      </c>
      <c r="H207" s="3" t="s">
        <v>126</v>
      </c>
      <c r="S207" s="5">
        <v>4000000</v>
      </c>
      <c r="T207" s="5">
        <v>4000000</v>
      </c>
      <c r="X207" s="40">
        <v>0</v>
      </c>
      <c r="Y207" s="41">
        <v>11610000</v>
      </c>
      <c r="Z207" s="34">
        <f t="shared" si="8"/>
        <v>1</v>
      </c>
      <c r="AA207" s="42">
        <f>11610000/11610000</f>
        <v>1</v>
      </c>
      <c r="AB207" s="8">
        <v>42570</v>
      </c>
    </row>
    <row r="208" spans="1:28" s="3" customFormat="1" x14ac:dyDescent="0.35">
      <c r="A208" s="4"/>
      <c r="B208" s="4">
        <v>42450</v>
      </c>
      <c r="D208" s="31">
        <v>212901</v>
      </c>
      <c r="E208" s="5" t="s">
        <v>74</v>
      </c>
      <c r="F208" s="27" t="s">
        <v>831</v>
      </c>
      <c r="G208" s="5" t="s">
        <v>741</v>
      </c>
      <c r="H208" s="3" t="s">
        <v>74</v>
      </c>
      <c r="S208" s="5">
        <v>50000</v>
      </c>
      <c r="T208" s="5">
        <v>800000</v>
      </c>
      <c r="X208" s="40">
        <v>0</v>
      </c>
      <c r="Y208" s="41">
        <v>2010000</v>
      </c>
      <c r="Z208" s="34">
        <f t="shared" si="8"/>
        <v>1</v>
      </c>
      <c r="AA208" s="42">
        <f>2010000/2010000</f>
        <v>1</v>
      </c>
      <c r="AB208" s="8">
        <v>42571</v>
      </c>
    </row>
    <row r="209" spans="1:39" s="3" customFormat="1" x14ac:dyDescent="0.35">
      <c r="A209" s="6"/>
      <c r="B209" s="6">
        <v>42213</v>
      </c>
      <c r="C209" s="5"/>
      <c r="D209" s="31">
        <v>212902</v>
      </c>
      <c r="E209" s="5" t="s">
        <v>194</v>
      </c>
      <c r="F209" s="28" t="s">
        <v>832</v>
      </c>
      <c r="G209" s="5" t="s">
        <v>742</v>
      </c>
      <c r="H209" s="5" t="s">
        <v>98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>
        <v>5000000</v>
      </c>
      <c r="T209" s="5">
        <v>5000000</v>
      </c>
      <c r="U209" s="5"/>
      <c r="V209" s="5"/>
      <c r="W209" s="5"/>
      <c r="X209" s="40">
        <v>0</v>
      </c>
      <c r="Y209" s="41">
        <v>40000000</v>
      </c>
      <c r="Z209" s="34">
        <f t="shared" si="8"/>
        <v>1</v>
      </c>
      <c r="AA209" s="42">
        <f>40000000/40000000</f>
        <v>1</v>
      </c>
      <c r="AB209" s="7">
        <v>42570</v>
      </c>
    </row>
    <row r="210" spans="1:39" s="3" customFormat="1" x14ac:dyDescent="0.35">
      <c r="A210" s="6"/>
      <c r="B210" s="6">
        <v>40492</v>
      </c>
      <c r="C210" s="5"/>
      <c r="D210" s="31">
        <v>212910</v>
      </c>
      <c r="E210" s="5" t="s">
        <v>786</v>
      </c>
      <c r="F210" s="28" t="s">
        <v>833</v>
      </c>
      <c r="G210" s="5" t="s">
        <v>785</v>
      </c>
      <c r="H210" s="5" t="s">
        <v>375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>
        <v>0</v>
      </c>
      <c r="T210" s="5">
        <v>0</v>
      </c>
      <c r="U210" s="5"/>
      <c r="V210" s="5"/>
      <c r="W210" s="5"/>
      <c r="X210" s="40">
        <v>2690315</v>
      </c>
      <c r="Y210" s="41">
        <v>24799009</v>
      </c>
      <c r="Z210" s="34">
        <f t="shared" si="8"/>
        <v>0.89151522143485651</v>
      </c>
      <c r="AA210" s="42">
        <f>24799009/274489324</f>
        <v>9.0345987372536213E-2</v>
      </c>
      <c r="AB210" s="8">
        <v>42573</v>
      </c>
    </row>
    <row r="211" spans="1:39" s="76" customFormat="1" x14ac:dyDescent="0.35">
      <c r="A211" s="86"/>
      <c r="B211" s="86">
        <v>42569</v>
      </c>
      <c r="C211" s="82"/>
      <c r="D211" s="87">
        <v>214903</v>
      </c>
      <c r="E211" s="82" t="s">
        <v>72</v>
      </c>
      <c r="F211" s="88" t="s">
        <v>1233</v>
      </c>
      <c r="G211" s="82" t="s">
        <v>747</v>
      </c>
      <c r="H211" s="82" t="s">
        <v>74</v>
      </c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>
        <v>0</v>
      </c>
      <c r="T211" s="82">
        <v>1619535</v>
      </c>
      <c r="U211" s="82"/>
      <c r="V211" s="82"/>
      <c r="W211" s="82"/>
      <c r="X211" s="89">
        <v>0</v>
      </c>
      <c r="Y211" s="90">
        <v>25000000</v>
      </c>
      <c r="Z211" s="78">
        <f t="shared" si="8"/>
        <v>1</v>
      </c>
      <c r="AA211" s="91">
        <f>25000000/25000000</f>
        <v>1</v>
      </c>
      <c r="AB211" s="92">
        <v>42572</v>
      </c>
    </row>
    <row r="212" spans="1:39" s="3" customFormat="1" x14ac:dyDescent="0.35">
      <c r="A212" s="4"/>
      <c r="B212" s="4">
        <v>40941</v>
      </c>
      <c r="D212" s="31" t="s">
        <v>835</v>
      </c>
      <c r="E212" s="5" t="s">
        <v>25</v>
      </c>
      <c r="F212" s="27" t="s">
        <v>836</v>
      </c>
      <c r="G212" s="5" t="s">
        <v>726</v>
      </c>
      <c r="H212" s="3" t="s">
        <v>25</v>
      </c>
      <c r="S212" s="5">
        <v>1785646</v>
      </c>
      <c r="T212" s="5">
        <v>12035221</v>
      </c>
      <c r="X212" s="40">
        <v>16917294</v>
      </c>
      <c r="Y212" s="41">
        <v>10712706</v>
      </c>
      <c r="Z212" s="34">
        <f t="shared" si="8"/>
        <v>-0.57918027433964858</v>
      </c>
      <c r="AA212" s="42">
        <f>10712706/27630000</f>
        <v>0.38772008686210641</v>
      </c>
      <c r="AB212" s="8">
        <v>42572</v>
      </c>
    </row>
    <row r="213" spans="1:39" s="3" customFormat="1" x14ac:dyDescent="0.35">
      <c r="A213" s="4"/>
      <c r="B213" s="4">
        <v>42180</v>
      </c>
      <c r="D213" s="31">
        <v>220901</v>
      </c>
      <c r="E213" s="5" t="s">
        <v>126</v>
      </c>
      <c r="F213" s="27" t="s">
        <v>837</v>
      </c>
      <c r="G213" s="5" t="s">
        <v>726</v>
      </c>
      <c r="H213" s="3" t="s">
        <v>126</v>
      </c>
      <c r="S213" s="5">
        <v>10492638</v>
      </c>
      <c r="T213" s="5">
        <v>10859513</v>
      </c>
      <c r="X213" s="40">
        <v>113644954</v>
      </c>
      <c r="Y213" s="41">
        <v>119610046</v>
      </c>
      <c r="Z213" s="34">
        <f t="shared" si="8"/>
        <v>4.9871162159740301E-2</v>
      </c>
      <c r="AA213" s="42">
        <f>119610046/233255000</f>
        <v>0.5127866326552486</v>
      </c>
      <c r="AB213" s="8">
        <v>42570</v>
      </c>
    </row>
    <row r="214" spans="1:39" s="3" customFormat="1" x14ac:dyDescent="0.35">
      <c r="A214" s="4"/>
      <c r="B214" s="4">
        <v>41683</v>
      </c>
      <c r="D214" s="31">
        <v>220901</v>
      </c>
      <c r="E214" s="5" t="s">
        <v>31</v>
      </c>
      <c r="F214" s="27" t="s">
        <v>838</v>
      </c>
      <c r="G214" s="5" t="s">
        <v>726</v>
      </c>
      <c r="H214" s="3" t="s">
        <v>31</v>
      </c>
      <c r="S214" s="5">
        <v>3368638</v>
      </c>
      <c r="T214" s="5">
        <v>3368319</v>
      </c>
      <c r="X214" s="40">
        <v>13994497</v>
      </c>
      <c r="Y214" s="41">
        <v>3615503</v>
      </c>
      <c r="Z214" s="34">
        <f t="shared" si="8"/>
        <v>-2.8706915745886534</v>
      </c>
      <c r="AA214" s="42">
        <f>3615503/17610000</f>
        <v>0.20530965360590572</v>
      </c>
      <c r="AB214" s="8">
        <v>42572</v>
      </c>
    </row>
    <row r="215" spans="1:39" s="3" customFormat="1" x14ac:dyDescent="0.35">
      <c r="A215" s="4"/>
      <c r="B215" s="4">
        <v>41417</v>
      </c>
      <c r="D215" s="31">
        <v>220901</v>
      </c>
      <c r="E215" s="5" t="s">
        <v>37</v>
      </c>
      <c r="F215" s="27" t="s">
        <v>839</v>
      </c>
      <c r="G215" s="5" t="s">
        <v>726</v>
      </c>
      <c r="H215" s="3" t="s">
        <v>37</v>
      </c>
      <c r="S215" s="5">
        <v>1365788</v>
      </c>
      <c r="T215" s="5">
        <v>1363213</v>
      </c>
      <c r="X215" s="40">
        <v>14200000</v>
      </c>
      <c r="Y215" s="41">
        <v>4800000</v>
      </c>
      <c r="Z215" s="34">
        <f t="shared" si="8"/>
        <v>-1.9583333333333335</v>
      </c>
      <c r="AA215" s="42">
        <f>4800000/19000000</f>
        <v>0.25263157894736843</v>
      </c>
      <c r="AB215" s="8">
        <v>42572</v>
      </c>
    </row>
    <row r="216" spans="1:39" s="61" customFormat="1" x14ac:dyDescent="0.35">
      <c r="A216" s="83"/>
      <c r="B216" s="83">
        <v>42593</v>
      </c>
      <c r="C216" s="63"/>
      <c r="D216" s="65">
        <v>220902</v>
      </c>
      <c r="E216" s="63" t="s">
        <v>72</v>
      </c>
      <c r="F216" s="62" t="s">
        <v>1234</v>
      </c>
      <c r="G216" s="63" t="s">
        <v>754</v>
      </c>
      <c r="H216" s="63" t="s">
        <v>74</v>
      </c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>
        <v>0</v>
      </c>
      <c r="T216" s="63">
        <v>1861074.41</v>
      </c>
      <c r="U216" s="63"/>
      <c r="V216" s="63"/>
      <c r="W216" s="63"/>
      <c r="X216" s="66">
        <v>2390417</v>
      </c>
      <c r="Y216" s="67">
        <v>49200000</v>
      </c>
      <c r="Z216" s="43">
        <f t="shared" si="8"/>
        <v>0.95141428861788613</v>
      </c>
      <c r="AA216" s="68">
        <f>46809583/49200000</f>
        <v>0.95141428861788613</v>
      </c>
      <c r="AB216" s="71">
        <v>42571</v>
      </c>
    </row>
    <row r="217" spans="1:39" s="3" customFormat="1" x14ac:dyDescent="0.35">
      <c r="A217" s="4"/>
      <c r="B217" s="4">
        <v>41470</v>
      </c>
      <c r="D217" s="31">
        <v>220904</v>
      </c>
      <c r="E217" s="5" t="s">
        <v>35</v>
      </c>
      <c r="F217" s="27" t="s">
        <v>841</v>
      </c>
      <c r="G217" s="5" t="s">
        <v>733</v>
      </c>
      <c r="H217" s="3" t="s">
        <v>37</v>
      </c>
      <c r="S217" s="3">
        <v>2500000</v>
      </c>
      <c r="T217" s="3">
        <v>2500000</v>
      </c>
      <c r="X217" s="34">
        <v>0</v>
      </c>
      <c r="Y217" s="35">
        <v>30500000</v>
      </c>
      <c r="Z217" s="34">
        <f t="shared" si="8"/>
        <v>1</v>
      </c>
      <c r="AA217" s="36">
        <f>30500000/30500000</f>
        <v>1</v>
      </c>
      <c r="AB217" s="7">
        <v>42572</v>
      </c>
      <c r="AC217" s="5"/>
      <c r="AD217" s="5"/>
      <c r="AE217" s="5"/>
      <c r="AF217" s="5"/>
      <c r="AG217" s="5"/>
      <c r="AH217" s="5"/>
      <c r="AI217" s="5"/>
      <c r="AJ217" s="5"/>
      <c r="AK217" s="5"/>
      <c r="AL217" s="8">
        <v>42570</v>
      </c>
      <c r="AM217" s="5"/>
    </row>
    <row r="218" spans="1:39" s="3" customFormat="1" x14ac:dyDescent="0.35">
      <c r="A218" s="4"/>
      <c r="B218" s="4">
        <v>42186</v>
      </c>
      <c r="D218" s="31">
        <v>220904</v>
      </c>
      <c r="E218" s="5" t="s">
        <v>743</v>
      </c>
      <c r="F218" s="27" t="s">
        <v>842</v>
      </c>
      <c r="G218" s="5" t="s">
        <v>733</v>
      </c>
      <c r="H218" s="3" t="s">
        <v>98</v>
      </c>
      <c r="S218" s="5">
        <v>1500000</v>
      </c>
      <c r="T218" s="5">
        <v>1500000</v>
      </c>
      <c r="X218" s="40">
        <v>0</v>
      </c>
      <c r="Y218" s="41">
        <v>5000000</v>
      </c>
      <c r="Z218" s="34">
        <f t="shared" si="8"/>
        <v>1</v>
      </c>
      <c r="AA218" s="42">
        <f>5000000/5000000</f>
        <v>1</v>
      </c>
      <c r="AB218" s="7">
        <v>42570</v>
      </c>
    </row>
    <row r="219" spans="1:39" s="5" customFormat="1" x14ac:dyDescent="0.35">
      <c r="A219" s="4"/>
      <c r="B219" s="4">
        <v>42353</v>
      </c>
      <c r="C219" s="3"/>
      <c r="D219" s="31">
        <v>220904</v>
      </c>
      <c r="E219" s="5" t="s">
        <v>102</v>
      </c>
      <c r="F219" s="27" t="s">
        <v>843</v>
      </c>
      <c r="G219" s="5" t="s">
        <v>733</v>
      </c>
      <c r="H219" s="3" t="s">
        <v>86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9">
        <v>1000000</v>
      </c>
      <c r="T219" s="52">
        <v>1500000</v>
      </c>
      <c r="U219" s="3"/>
      <c r="V219" s="3"/>
      <c r="W219" s="3"/>
      <c r="X219" s="40">
        <v>0</v>
      </c>
      <c r="Y219" s="41">
        <v>4500000</v>
      </c>
      <c r="Z219" s="34">
        <f t="shared" si="8"/>
        <v>1</v>
      </c>
      <c r="AA219" s="42">
        <f>4500000/4500000</f>
        <v>1</v>
      </c>
      <c r="AB219" s="8">
        <v>42571</v>
      </c>
    </row>
    <row r="220" spans="1:39" s="3" customFormat="1" x14ac:dyDescent="0.35">
      <c r="A220" s="4"/>
      <c r="B220" s="4">
        <v>42011</v>
      </c>
      <c r="D220" s="30" t="s">
        <v>800</v>
      </c>
      <c r="E220" s="5" t="s">
        <v>225</v>
      </c>
      <c r="F220" s="27" t="s">
        <v>844</v>
      </c>
      <c r="G220" s="5" t="s">
        <v>725</v>
      </c>
      <c r="H220" s="3" t="s">
        <v>126</v>
      </c>
      <c r="S220" s="3">
        <v>9712114</v>
      </c>
      <c r="T220" s="3">
        <v>9692394</v>
      </c>
      <c r="X220" s="34">
        <v>0</v>
      </c>
      <c r="Y220" s="35">
        <v>169500000</v>
      </c>
      <c r="Z220" s="34">
        <f t="shared" si="8"/>
        <v>1</v>
      </c>
      <c r="AA220" s="36">
        <f>169500000/169500000</f>
        <v>1</v>
      </c>
      <c r="AB220" s="7">
        <v>42570</v>
      </c>
    </row>
    <row r="221" spans="1:39" s="63" customFormat="1" x14ac:dyDescent="0.35">
      <c r="A221" s="64"/>
      <c r="B221" s="64">
        <v>42214</v>
      </c>
      <c r="C221" s="61"/>
      <c r="D221" s="65">
        <v>220908</v>
      </c>
      <c r="E221" s="63" t="s">
        <v>194</v>
      </c>
      <c r="F221" s="62">
        <v>85691</v>
      </c>
      <c r="G221" s="63" t="s">
        <v>736</v>
      </c>
      <c r="H221" s="61" t="s">
        <v>126</v>
      </c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3">
        <v>2755000</v>
      </c>
      <c r="T221" s="63">
        <v>2755000</v>
      </c>
      <c r="U221" s="61"/>
      <c r="V221" s="61"/>
      <c r="W221" s="61"/>
      <c r="X221" s="66">
        <v>6022959</v>
      </c>
      <c r="Y221" s="67">
        <v>48530000</v>
      </c>
      <c r="Z221" s="43">
        <f t="shared" si="8"/>
        <v>0.87589204615701632</v>
      </c>
      <c r="AA221" s="68">
        <f>42507041/48530000</f>
        <v>0.87589204615701632</v>
      </c>
      <c r="AB221" s="69">
        <v>42570</v>
      </c>
    </row>
    <row r="222" spans="1:39" s="3" customFormat="1" x14ac:dyDescent="0.35">
      <c r="A222" s="4"/>
      <c r="B222" s="4">
        <v>41975</v>
      </c>
      <c r="D222" s="31">
        <v>220908</v>
      </c>
      <c r="E222" s="5" t="s">
        <v>29</v>
      </c>
      <c r="F222" s="27" t="s">
        <v>847</v>
      </c>
      <c r="G222" s="5" t="s">
        <v>736</v>
      </c>
      <c r="H222" s="3" t="s">
        <v>31</v>
      </c>
      <c r="S222" s="5">
        <v>2500000</v>
      </c>
      <c r="T222" s="5">
        <v>2500000</v>
      </c>
      <c r="X222" s="40">
        <v>0</v>
      </c>
      <c r="Y222" s="41">
        <v>50000000</v>
      </c>
      <c r="Z222" s="34">
        <f t="shared" si="8"/>
        <v>1</v>
      </c>
      <c r="AA222" s="42">
        <f>50000000/50000000</f>
        <v>1</v>
      </c>
      <c r="AB222" s="8">
        <v>42572</v>
      </c>
    </row>
    <row r="223" spans="1:39" s="61" customFormat="1" x14ac:dyDescent="0.35">
      <c r="A223" s="64"/>
      <c r="B223" s="64">
        <v>40967</v>
      </c>
      <c r="D223" s="65">
        <v>220908</v>
      </c>
      <c r="E223" s="63" t="s">
        <v>773</v>
      </c>
      <c r="F223" s="70" t="s">
        <v>845</v>
      </c>
      <c r="G223" s="63" t="s">
        <v>736</v>
      </c>
      <c r="H223" s="61" t="s">
        <v>846</v>
      </c>
      <c r="S223" s="63">
        <v>3000000</v>
      </c>
      <c r="T223" s="63">
        <v>3000000</v>
      </c>
      <c r="X223" s="66">
        <v>12375626</v>
      </c>
      <c r="Y223" s="67">
        <v>50000000</v>
      </c>
      <c r="Z223" s="43">
        <f t="shared" si="8"/>
        <v>0.75248747999999999</v>
      </c>
      <c r="AA223" s="68">
        <f>37624374/50000000</f>
        <v>0.75248747999999999</v>
      </c>
      <c r="AB223" s="71">
        <v>42572</v>
      </c>
    </row>
    <row r="224" spans="1:39" s="3" customFormat="1" x14ac:dyDescent="0.35">
      <c r="A224" s="4"/>
      <c r="B224" s="4">
        <v>42223</v>
      </c>
      <c r="D224" s="31">
        <v>220912</v>
      </c>
      <c r="E224" s="5" t="s">
        <v>194</v>
      </c>
      <c r="F224" s="27" t="s">
        <v>849</v>
      </c>
      <c r="G224" s="5" t="s">
        <v>737</v>
      </c>
      <c r="H224" s="3" t="s">
        <v>126</v>
      </c>
      <c r="S224" s="5">
        <v>1613591</v>
      </c>
      <c r="T224" s="5">
        <v>1739200</v>
      </c>
      <c r="X224" s="53">
        <v>0</v>
      </c>
      <c r="Y224" s="41">
        <v>35000000</v>
      </c>
      <c r="Z224" s="34">
        <f t="shared" si="8"/>
        <v>1</v>
      </c>
      <c r="AA224" s="42">
        <f>35000000/35000000</f>
        <v>1</v>
      </c>
      <c r="AB224" s="7">
        <v>42570</v>
      </c>
    </row>
    <row r="225" spans="1:29" s="3" customFormat="1" x14ac:dyDescent="0.35">
      <c r="A225" s="6"/>
      <c r="B225" s="6">
        <v>40484</v>
      </c>
      <c r="C225" s="5"/>
      <c r="D225" s="31">
        <v>220912</v>
      </c>
      <c r="E225" s="5" t="s">
        <v>67</v>
      </c>
      <c r="F225" s="28" t="s">
        <v>848</v>
      </c>
      <c r="G225" s="5" t="s">
        <v>737</v>
      </c>
      <c r="H225" s="5" t="s">
        <v>239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>
        <v>449820</v>
      </c>
      <c r="T225" s="5">
        <v>449818</v>
      </c>
      <c r="U225" s="5"/>
      <c r="V225" s="5"/>
      <c r="W225" s="5"/>
      <c r="X225" s="40">
        <v>0</v>
      </c>
      <c r="Y225" s="41">
        <v>5000000</v>
      </c>
      <c r="Z225" s="34">
        <f t="shared" si="8"/>
        <v>1</v>
      </c>
      <c r="AA225" s="42">
        <f>5000000/5000000</f>
        <v>1</v>
      </c>
      <c r="AB225" s="8">
        <v>42573</v>
      </c>
    </row>
    <row r="226" spans="1:29" s="3" customFormat="1" x14ac:dyDescent="0.35">
      <c r="A226" s="4"/>
      <c r="B226" s="4">
        <v>40710</v>
      </c>
      <c r="D226" s="30">
        <v>220918</v>
      </c>
      <c r="E226" s="3" t="s">
        <v>50</v>
      </c>
      <c r="F226" s="27" t="s">
        <v>850</v>
      </c>
      <c r="G226" s="3" t="s">
        <v>779</v>
      </c>
      <c r="H226" s="3" t="s">
        <v>851</v>
      </c>
      <c r="S226" s="3">
        <v>0</v>
      </c>
      <c r="T226" s="3">
        <v>0</v>
      </c>
      <c r="X226" s="34">
        <v>0</v>
      </c>
      <c r="Y226" s="35">
        <v>55000000</v>
      </c>
      <c r="Z226" s="34">
        <f t="shared" si="8"/>
        <v>1</v>
      </c>
      <c r="AA226" s="36">
        <f>55000000/55000000</f>
        <v>1</v>
      </c>
      <c r="AB226" s="7">
        <v>42563</v>
      </c>
    </row>
    <row r="227" spans="1:29" s="3" customFormat="1" x14ac:dyDescent="0.35">
      <c r="A227" s="6"/>
      <c r="B227" s="6">
        <v>41680</v>
      </c>
      <c r="C227" s="5"/>
      <c r="D227" s="31">
        <v>221901</v>
      </c>
      <c r="E227" s="5" t="s">
        <v>29</v>
      </c>
      <c r="F227" s="28" t="s">
        <v>852</v>
      </c>
      <c r="G227" s="5" t="s">
        <v>761</v>
      </c>
      <c r="H227" s="1" t="s">
        <v>31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>
        <v>3541054</v>
      </c>
      <c r="T227" s="5">
        <v>3543098</v>
      </c>
      <c r="U227" s="5"/>
      <c r="V227" s="5"/>
      <c r="W227" s="5"/>
      <c r="X227" s="40">
        <v>16648000</v>
      </c>
      <c r="Y227" s="41">
        <v>71032000</v>
      </c>
      <c r="Z227" s="34">
        <f t="shared" si="8"/>
        <v>0.76562675977024441</v>
      </c>
      <c r="AA227" s="42">
        <f>71032000/87680000</f>
        <v>0.8101277372262774</v>
      </c>
      <c r="AB227" s="8">
        <v>42572</v>
      </c>
    </row>
    <row r="228" spans="1:29" s="3" customFormat="1" x14ac:dyDescent="0.35">
      <c r="A228" s="4"/>
      <c r="B228" s="4">
        <v>42198</v>
      </c>
      <c r="D228" s="31">
        <v>221912</v>
      </c>
      <c r="E228" s="5" t="s">
        <v>96</v>
      </c>
      <c r="F228" s="27" t="s">
        <v>853</v>
      </c>
      <c r="G228" s="5" t="s">
        <v>211</v>
      </c>
      <c r="H228" s="3" t="s">
        <v>126</v>
      </c>
      <c r="S228" s="5">
        <v>1736450</v>
      </c>
      <c r="T228" s="5">
        <v>1735225</v>
      </c>
      <c r="X228" s="40">
        <v>10000000</v>
      </c>
      <c r="Y228" s="41">
        <v>5000000</v>
      </c>
      <c r="Z228" s="34">
        <f t="shared" si="8"/>
        <v>-1</v>
      </c>
      <c r="AA228" s="42">
        <f>5000000/15000000</f>
        <v>0.33333333333333331</v>
      </c>
      <c r="AB228" s="7">
        <v>42570</v>
      </c>
    </row>
    <row r="229" spans="1:29" s="76" customFormat="1" x14ac:dyDescent="0.35">
      <c r="A229" s="86"/>
      <c r="B229" s="86">
        <v>42597</v>
      </c>
      <c r="C229" s="82"/>
      <c r="D229" s="87">
        <v>234909</v>
      </c>
      <c r="E229" s="82" t="s">
        <v>745</v>
      </c>
      <c r="F229" s="88" t="s">
        <v>1240</v>
      </c>
      <c r="G229" s="82" t="s">
        <v>744</v>
      </c>
      <c r="H229" s="82" t="s">
        <v>74</v>
      </c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>
        <v>0</v>
      </c>
      <c r="T229" s="82">
        <v>99250</v>
      </c>
      <c r="U229" s="82"/>
      <c r="V229" s="82"/>
      <c r="W229" s="82"/>
      <c r="X229" s="89">
        <v>0</v>
      </c>
      <c r="Y229" s="90">
        <v>1500000</v>
      </c>
      <c r="Z229" s="78">
        <f t="shared" ref="Z229:Z239" si="9">1-(X229/Y229)</f>
        <v>1</v>
      </c>
      <c r="AA229" s="91">
        <f>1500000/1500000</f>
        <v>1</v>
      </c>
      <c r="AB229" s="92">
        <v>42571</v>
      </c>
    </row>
    <row r="230" spans="1:29" s="3" customFormat="1" x14ac:dyDescent="0.35">
      <c r="A230" s="6"/>
      <c r="B230" s="6">
        <v>42418</v>
      </c>
      <c r="C230" s="5"/>
      <c r="D230" s="31">
        <v>243901</v>
      </c>
      <c r="E230" s="5" t="s">
        <v>72</v>
      </c>
      <c r="F230" s="28" t="s">
        <v>855</v>
      </c>
      <c r="G230" s="5" t="s">
        <v>746</v>
      </c>
      <c r="H230" s="5" t="s">
        <v>74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>
        <v>877698.26</v>
      </c>
      <c r="T230" s="5">
        <v>2038525</v>
      </c>
      <c r="U230" s="5"/>
      <c r="V230" s="5"/>
      <c r="W230" s="5"/>
      <c r="X230" s="54">
        <v>5084720</v>
      </c>
      <c r="Y230" s="50">
        <v>42105280</v>
      </c>
      <c r="Z230" s="34">
        <f t="shared" si="9"/>
        <v>0.87923794830482072</v>
      </c>
      <c r="AA230" s="42">
        <f>42105280/47100000</f>
        <v>0.89395498938428875</v>
      </c>
      <c r="AB230" s="7">
        <v>42571</v>
      </c>
    </row>
    <row r="231" spans="1:29" s="3" customFormat="1" x14ac:dyDescent="0.35">
      <c r="A231" s="6"/>
      <c r="B231" s="6">
        <v>41122</v>
      </c>
      <c r="C231" s="5"/>
      <c r="D231" s="31">
        <v>243903</v>
      </c>
      <c r="E231" s="5" t="s">
        <v>45</v>
      </c>
      <c r="F231" s="28" t="s">
        <v>856</v>
      </c>
      <c r="G231" s="5" t="s">
        <v>772</v>
      </c>
      <c r="H231" s="5" t="s">
        <v>25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>
        <v>873175</v>
      </c>
      <c r="T231" s="5">
        <v>871775</v>
      </c>
      <c r="U231" s="5"/>
      <c r="V231" s="5"/>
      <c r="W231" s="5"/>
      <c r="X231" s="40">
        <v>11147000</v>
      </c>
      <c r="Y231" s="41">
        <v>3553000</v>
      </c>
      <c r="Z231" s="34">
        <f t="shared" si="9"/>
        <v>-2.1373487193920631</v>
      </c>
      <c r="AA231" s="42">
        <f>3553000/14700000</f>
        <v>0.24170068027210884</v>
      </c>
      <c r="AB231" s="8">
        <v>42572</v>
      </c>
    </row>
    <row r="232" spans="1:29" s="5" customFormat="1" x14ac:dyDescent="0.35">
      <c r="A232" s="6"/>
      <c r="B232" s="6">
        <v>42556</v>
      </c>
      <c r="D232" s="31">
        <v>245904</v>
      </c>
      <c r="E232" s="5" t="s">
        <v>72</v>
      </c>
      <c r="F232" s="88" t="s">
        <v>1235</v>
      </c>
      <c r="G232" s="5" t="s">
        <v>752</v>
      </c>
      <c r="H232" s="5" t="s">
        <v>74</v>
      </c>
      <c r="S232" s="5">
        <v>0</v>
      </c>
      <c r="T232" s="5">
        <v>199700</v>
      </c>
      <c r="X232" s="40">
        <v>0</v>
      </c>
      <c r="Y232" s="41">
        <v>3000000</v>
      </c>
      <c r="Z232" s="34">
        <f t="shared" si="9"/>
        <v>1</v>
      </c>
      <c r="AA232" s="42">
        <f>3000000/3000000</f>
        <v>1</v>
      </c>
      <c r="AB232" s="8">
        <v>42571</v>
      </c>
    </row>
    <row r="233" spans="1:29" s="3" customFormat="1" x14ac:dyDescent="0.35">
      <c r="A233" s="6"/>
      <c r="B233" s="6">
        <v>40563</v>
      </c>
      <c r="C233" s="5"/>
      <c r="D233" s="31">
        <v>246908</v>
      </c>
      <c r="E233" s="5" t="s">
        <v>332</v>
      </c>
      <c r="F233" s="28" t="s">
        <v>858</v>
      </c>
      <c r="G233" s="5" t="s">
        <v>778</v>
      </c>
      <c r="H233" s="5" t="s">
        <v>334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>
        <v>6288000</v>
      </c>
      <c r="T233" s="5">
        <v>6368000</v>
      </c>
      <c r="U233" s="5"/>
      <c r="V233" s="5"/>
      <c r="W233" s="5"/>
      <c r="X233" s="9">
        <v>11236000</v>
      </c>
      <c r="Y233" s="41">
        <v>74344000</v>
      </c>
      <c r="Z233" s="34">
        <f t="shared" si="9"/>
        <v>0.84886473689874098</v>
      </c>
      <c r="AA233" s="42">
        <f>74344000/85580000</f>
        <v>0.86870764197242345</v>
      </c>
      <c r="AB233" s="14">
        <v>42572</v>
      </c>
    </row>
    <row r="234" spans="1:29" s="3" customFormat="1" x14ac:dyDescent="0.35">
      <c r="A234" s="6"/>
      <c r="B234" s="6"/>
      <c r="C234" s="5"/>
      <c r="D234" s="31">
        <v>246912</v>
      </c>
      <c r="E234" s="5" t="s">
        <v>757</v>
      </c>
      <c r="F234" s="28"/>
      <c r="G234" s="5" t="s">
        <v>756</v>
      </c>
      <c r="H234" s="5" t="s">
        <v>865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>
        <v>0</v>
      </c>
      <c r="T234" s="5">
        <v>268000</v>
      </c>
      <c r="U234" s="5"/>
      <c r="V234" s="5"/>
      <c r="W234" s="5"/>
      <c r="X234" s="40">
        <v>2750000</v>
      </c>
      <c r="Y234" s="41">
        <v>14022000</v>
      </c>
      <c r="Z234" s="34">
        <f t="shared" si="9"/>
        <v>0.80387961774354588</v>
      </c>
      <c r="AA234" s="42">
        <f>14022000/16772000</f>
        <v>0.83603625089434774</v>
      </c>
      <c r="AB234" s="8">
        <v>42571</v>
      </c>
    </row>
    <row r="235" spans="1:29" s="5" customFormat="1" x14ac:dyDescent="0.35">
      <c r="A235" s="6"/>
      <c r="B235" s="6">
        <v>40567</v>
      </c>
      <c r="D235" s="31">
        <v>247906</v>
      </c>
      <c r="E235" s="5" t="s">
        <v>784</v>
      </c>
      <c r="F235" s="28" t="s">
        <v>859</v>
      </c>
      <c r="G235" s="5" t="s">
        <v>783</v>
      </c>
      <c r="H235" s="5" t="s">
        <v>860</v>
      </c>
      <c r="S235" s="5">
        <v>350000</v>
      </c>
      <c r="T235" s="5">
        <v>348750</v>
      </c>
      <c r="X235" s="40">
        <v>0</v>
      </c>
      <c r="Y235" s="41">
        <v>50400000</v>
      </c>
      <c r="Z235" s="34">
        <f t="shared" si="9"/>
        <v>1</v>
      </c>
      <c r="AA235" s="42">
        <f>50400000/50400000</f>
        <v>1</v>
      </c>
      <c r="AB235" s="8">
        <v>42573</v>
      </c>
    </row>
    <row r="236" spans="1:29" s="3" customFormat="1" x14ac:dyDescent="0.35">
      <c r="A236" s="6"/>
      <c r="B236" s="6">
        <v>41491</v>
      </c>
      <c r="C236" s="5"/>
      <c r="D236" s="31">
        <v>250902</v>
      </c>
      <c r="E236" s="5" t="s">
        <v>35</v>
      </c>
      <c r="F236" s="28" t="s">
        <v>861</v>
      </c>
      <c r="G236" s="5" t="s">
        <v>765</v>
      </c>
      <c r="H236" s="5" t="s">
        <v>37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>
        <v>1500000</v>
      </c>
      <c r="T236" s="5">
        <v>1000000</v>
      </c>
      <c r="U236" s="5"/>
      <c r="V236" s="5"/>
      <c r="W236" s="5"/>
      <c r="X236" s="40">
        <v>0</v>
      </c>
      <c r="Y236" s="41">
        <v>9500000</v>
      </c>
      <c r="Z236" s="34">
        <f t="shared" si="9"/>
        <v>1</v>
      </c>
      <c r="AA236" s="42">
        <f>9500000/9500000</f>
        <v>1</v>
      </c>
      <c r="AB236" s="8">
        <v>42572</v>
      </c>
    </row>
    <row r="237" spans="1:29" s="3" customFormat="1" x14ac:dyDescent="0.35">
      <c r="A237" s="4"/>
      <c r="B237" s="4">
        <v>42345</v>
      </c>
      <c r="D237" s="31">
        <v>250904</v>
      </c>
      <c r="E237" s="5" t="s">
        <v>194</v>
      </c>
      <c r="F237" s="27" t="s">
        <v>862</v>
      </c>
      <c r="G237" s="5" t="s">
        <v>740</v>
      </c>
      <c r="H237" s="3" t="s">
        <v>126</v>
      </c>
      <c r="S237" s="5">
        <v>0</v>
      </c>
      <c r="T237" s="5">
        <v>300000</v>
      </c>
      <c r="X237" s="40">
        <v>0</v>
      </c>
      <c r="Y237" s="41">
        <v>10000000</v>
      </c>
      <c r="Z237" s="34">
        <f t="shared" si="9"/>
        <v>1</v>
      </c>
      <c r="AA237" s="42">
        <f>10000000/10000000</f>
        <v>1</v>
      </c>
      <c r="AB237" s="8">
        <v>42570</v>
      </c>
      <c r="AC237" s="5"/>
    </row>
    <row r="238" spans="1:29" s="3" customFormat="1" x14ac:dyDescent="0.35">
      <c r="A238" s="4"/>
      <c r="B238" s="4">
        <v>42380</v>
      </c>
      <c r="D238" s="31">
        <v>250904</v>
      </c>
      <c r="E238" s="5" t="s">
        <v>72</v>
      </c>
      <c r="F238" s="27" t="s">
        <v>863</v>
      </c>
      <c r="G238" s="5" t="s">
        <v>740</v>
      </c>
      <c r="H238" s="3" t="s">
        <v>74</v>
      </c>
      <c r="S238" s="5">
        <v>0</v>
      </c>
      <c r="T238" s="5">
        <v>800000</v>
      </c>
      <c r="X238" s="54">
        <v>0</v>
      </c>
      <c r="Y238" s="50">
        <v>9500000</v>
      </c>
      <c r="Z238" s="34">
        <f t="shared" si="9"/>
        <v>1</v>
      </c>
      <c r="AA238" s="42">
        <f>9500000/9500000</f>
        <v>1</v>
      </c>
      <c r="AB238" s="8">
        <v>42571</v>
      </c>
    </row>
    <row r="239" spans="1:29" s="3" customFormat="1" x14ac:dyDescent="0.35">
      <c r="A239" s="6"/>
      <c r="B239" s="6">
        <v>40527</v>
      </c>
      <c r="C239" s="5"/>
      <c r="D239" s="31">
        <v>251902</v>
      </c>
      <c r="E239" s="5" t="s">
        <v>67</v>
      </c>
      <c r="F239" s="28" t="s">
        <v>864</v>
      </c>
      <c r="G239" s="5" t="s">
        <v>787</v>
      </c>
      <c r="H239" s="5" t="s">
        <v>239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>
        <v>2056037.5</v>
      </c>
      <c r="T239" s="5">
        <v>2058837.5</v>
      </c>
      <c r="U239" s="5"/>
      <c r="V239" s="5"/>
      <c r="W239" s="5"/>
      <c r="X239" s="34">
        <v>0</v>
      </c>
      <c r="Y239" s="35">
        <v>28000000</v>
      </c>
      <c r="Z239" s="34">
        <f t="shared" si="9"/>
        <v>1</v>
      </c>
      <c r="AA239" s="36">
        <f>28000000/28000000</f>
        <v>1</v>
      </c>
      <c r="AB239" s="8">
        <v>42573</v>
      </c>
    </row>
  </sheetData>
  <sortState ref="A2:AC238">
    <sortCondition ref="F2:F2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workbookViewId="0">
      <selection activeCell="L29" sqref="L29"/>
    </sheetView>
  </sheetViews>
  <sheetFormatPr defaultRowHeight="15" x14ac:dyDescent="0.25"/>
  <cols>
    <col min="4" max="4" width="17.42578125" customWidth="1"/>
    <col min="5" max="5" width="17.140625" customWidth="1"/>
    <col min="6" max="6" width="15" customWidth="1"/>
    <col min="8" max="8" width="10.85546875" customWidth="1"/>
    <col min="9" max="9" width="21.7109375" customWidth="1"/>
  </cols>
  <sheetData>
    <row r="1" spans="1:9" ht="45" x14ac:dyDescent="0.25">
      <c r="A1" s="19" t="s">
        <v>791</v>
      </c>
      <c r="B1" s="19"/>
      <c r="D1" s="20" t="s">
        <v>792</v>
      </c>
      <c r="E1" s="20" t="s">
        <v>793</v>
      </c>
      <c r="F1" s="21" t="s">
        <v>794</v>
      </c>
      <c r="H1" s="19" t="s">
        <v>797</v>
      </c>
      <c r="I1" s="20" t="s">
        <v>792</v>
      </c>
    </row>
    <row r="2" spans="1:9" x14ac:dyDescent="0.25">
      <c r="D2">
        <f>41907875/43029497</f>
        <v>0.9739336483528962</v>
      </c>
      <c r="E2">
        <v>1121622</v>
      </c>
      <c r="F2">
        <v>41907875</v>
      </c>
      <c r="H2">
        <v>43029497</v>
      </c>
      <c r="I2">
        <f>F2/H2</f>
        <v>0.9739336483528962</v>
      </c>
    </row>
    <row r="3" spans="1:9" x14ac:dyDescent="0.25">
      <c r="D3">
        <f>8417263/14434255</f>
        <v>0.58314495621699902</v>
      </c>
      <c r="E3">
        <v>6016992</v>
      </c>
      <c r="F3">
        <v>8417263</v>
      </c>
      <c r="H3">
        <v>14434255</v>
      </c>
      <c r="I3">
        <f>F3/H3</f>
        <v>0.58314495621699902</v>
      </c>
    </row>
    <row r="4" spans="1:9" x14ac:dyDescent="0.25">
      <c r="D4">
        <f>2357114/2963555</f>
        <v>0.79536705072117775</v>
      </c>
      <c r="E4">
        <v>606441</v>
      </c>
      <c r="F4">
        <v>2357114</v>
      </c>
      <c r="H4">
        <v>2357114</v>
      </c>
      <c r="I4">
        <f t="shared" ref="I4:I11" si="0">F4/H4</f>
        <v>1</v>
      </c>
    </row>
    <row r="5" spans="1:9" x14ac:dyDescent="0.25">
      <c r="D5">
        <f>3096696/4751598</f>
        <v>0.65171674876536267</v>
      </c>
      <c r="E5">
        <v>1654902</v>
      </c>
      <c r="F5">
        <v>3096696</v>
      </c>
      <c r="H5">
        <v>3096696</v>
      </c>
      <c r="I5">
        <f t="shared" si="0"/>
        <v>1</v>
      </c>
    </row>
    <row r="6" spans="1:9" x14ac:dyDescent="0.25">
      <c r="D6">
        <f>979584/1377556</f>
        <v>0.71110285171709897</v>
      </c>
      <c r="E6">
        <v>397972</v>
      </c>
      <c r="F6">
        <v>979584</v>
      </c>
      <c r="H6">
        <v>979584</v>
      </c>
      <c r="I6">
        <f t="shared" si="0"/>
        <v>1</v>
      </c>
    </row>
    <row r="7" spans="1:9" x14ac:dyDescent="0.25">
      <c r="D7">
        <f>0/738560</f>
        <v>0</v>
      </c>
      <c r="E7">
        <v>738560</v>
      </c>
      <c r="F7">
        <v>0</v>
      </c>
      <c r="H7">
        <v>0</v>
      </c>
      <c r="I7">
        <v>0</v>
      </c>
    </row>
    <row r="8" spans="1:9" x14ac:dyDescent="0.25">
      <c r="D8">
        <f>0/1340000</f>
        <v>0</v>
      </c>
      <c r="E8">
        <v>1340000</v>
      </c>
      <c r="F8">
        <v>0</v>
      </c>
      <c r="H8">
        <v>0</v>
      </c>
      <c r="I8">
        <v>0</v>
      </c>
    </row>
    <row r="9" spans="1:9" x14ac:dyDescent="0.25">
      <c r="D9">
        <f>36000/391250</f>
        <v>9.2012779552715654E-2</v>
      </c>
      <c r="E9">
        <v>355250</v>
      </c>
      <c r="F9">
        <v>36000</v>
      </c>
      <c r="H9">
        <v>36000</v>
      </c>
      <c r="I9">
        <f t="shared" si="0"/>
        <v>1</v>
      </c>
    </row>
    <row r="10" spans="1:9" x14ac:dyDescent="0.25">
      <c r="D10">
        <f>5549521/14453729</f>
        <v>0.38395081297013389</v>
      </c>
      <c r="E10">
        <v>8904208</v>
      </c>
      <c r="F10">
        <v>5549521</v>
      </c>
      <c r="H10">
        <v>5549521</v>
      </c>
      <c r="I10">
        <f t="shared" si="0"/>
        <v>1</v>
      </c>
    </row>
    <row r="11" spans="1:9" x14ac:dyDescent="0.25">
      <c r="D11">
        <f>313662/420000</f>
        <v>0.74681428571428576</v>
      </c>
      <c r="E11">
        <v>106338</v>
      </c>
      <c r="F11">
        <v>313662</v>
      </c>
      <c r="H11">
        <v>313662</v>
      </c>
      <c r="I11">
        <f t="shared" si="0"/>
        <v>1</v>
      </c>
    </row>
    <row r="13" spans="1:9" x14ac:dyDescent="0.25">
      <c r="B13" s="19" t="s">
        <v>795</v>
      </c>
      <c r="D13" s="19">
        <f>SUM(D2:D12)</f>
        <v>4.9380431340106696</v>
      </c>
      <c r="E13" s="19">
        <f>SUM(E2:E12)</f>
        <v>21242285</v>
      </c>
      <c r="F13" s="19">
        <f>SUM(F2:F12)</f>
        <v>62657715</v>
      </c>
      <c r="H13" s="22">
        <f>SUM(H2:H12)</f>
        <v>69796329</v>
      </c>
      <c r="I13" s="25">
        <f>SUM(I2:I12)</f>
        <v>7.5570786045698952</v>
      </c>
    </row>
    <row r="18" spans="1:9" ht="45" x14ac:dyDescent="0.25">
      <c r="A18" s="19" t="s">
        <v>796</v>
      </c>
      <c r="B18" s="19"/>
      <c r="D18" s="20" t="s">
        <v>792</v>
      </c>
      <c r="E18" s="20" t="s">
        <v>793</v>
      </c>
      <c r="F18" s="21" t="s">
        <v>794</v>
      </c>
      <c r="H18" s="19" t="s">
        <v>797</v>
      </c>
      <c r="I18" s="20" t="s">
        <v>792</v>
      </c>
    </row>
    <row r="19" spans="1:9" x14ac:dyDescent="0.25">
      <c r="D19">
        <f>28077541/40716263</f>
        <v>0.68959032414148613</v>
      </c>
      <c r="E19">
        <v>12638722</v>
      </c>
      <c r="F19">
        <v>28077541</v>
      </c>
      <c r="H19">
        <v>40716263</v>
      </c>
      <c r="I19">
        <f>F19/H19</f>
        <v>0.68959032414148613</v>
      </c>
    </row>
    <row r="20" spans="1:9" x14ac:dyDescent="0.25">
      <c r="D20">
        <f>2322591/2632591</f>
        <v>0.88224528610786868</v>
      </c>
      <c r="E20">
        <v>310000</v>
      </c>
      <c r="F20">
        <v>2322591</v>
      </c>
      <c r="H20">
        <v>2632591</v>
      </c>
      <c r="I20">
        <f>F20/H20</f>
        <v>0.88224528610786868</v>
      </c>
    </row>
    <row r="21" spans="1:9" x14ac:dyDescent="0.25">
      <c r="D21">
        <f>0/1280000</f>
        <v>0</v>
      </c>
      <c r="E21">
        <v>1280000</v>
      </c>
      <c r="F21">
        <v>0</v>
      </c>
      <c r="H21">
        <v>0</v>
      </c>
      <c r="I21">
        <v>0</v>
      </c>
    </row>
    <row r="22" spans="1:9" x14ac:dyDescent="0.25">
      <c r="D22">
        <f>0/95000</f>
        <v>0</v>
      </c>
      <c r="E22">
        <v>95000</v>
      </c>
      <c r="F22">
        <v>0</v>
      </c>
      <c r="H22">
        <v>0</v>
      </c>
      <c r="I22">
        <v>0</v>
      </c>
    </row>
    <row r="23" spans="1:9" x14ac:dyDescent="0.25">
      <c r="D23">
        <f>108711/452869</f>
        <v>0.24004955075308754</v>
      </c>
      <c r="E23">
        <v>344158</v>
      </c>
      <c r="F23">
        <v>108711</v>
      </c>
      <c r="H23">
        <v>452869</v>
      </c>
      <c r="I23">
        <f>F23/H23</f>
        <v>0.24004955075308754</v>
      </c>
    </row>
    <row r="24" spans="1:9" x14ac:dyDescent="0.25">
      <c r="D24">
        <f>9434571/9956336</f>
        <v>0.94759467739939673</v>
      </c>
      <c r="E24">
        <v>521765</v>
      </c>
      <c r="F24">
        <v>9434571</v>
      </c>
      <c r="H24">
        <v>9956336</v>
      </c>
      <c r="I24">
        <f>F24/H24</f>
        <v>0.94759467739939673</v>
      </c>
    </row>
    <row r="25" spans="1:9" x14ac:dyDescent="0.25">
      <c r="D25">
        <f>1181941/1181941</f>
        <v>1</v>
      </c>
      <c r="E25">
        <v>0</v>
      </c>
      <c r="F25">
        <v>1181941</v>
      </c>
      <c r="H25">
        <v>1181941</v>
      </c>
      <c r="I25">
        <f>F25/H25</f>
        <v>1</v>
      </c>
    </row>
    <row r="26" spans="1:9" x14ac:dyDescent="0.25">
      <c r="D26">
        <f>206660/685000</f>
        <v>0.30169343065693432</v>
      </c>
      <c r="E26">
        <v>478340</v>
      </c>
      <c r="F26">
        <v>206660</v>
      </c>
      <c r="H26">
        <v>685000</v>
      </c>
      <c r="I26">
        <f>F26/H26</f>
        <v>0.30169343065693432</v>
      </c>
    </row>
    <row r="28" spans="1:9" x14ac:dyDescent="0.25">
      <c r="B28" s="19" t="s">
        <v>795</v>
      </c>
      <c r="D28" s="19">
        <f>SUM(D19:D27)</f>
        <v>4.0611732690587736</v>
      </c>
      <c r="E28" s="19">
        <f>SUM(E19:E27)</f>
        <v>15667985</v>
      </c>
      <c r="F28" s="19">
        <f>SUM(F19:F27)</f>
        <v>41332015</v>
      </c>
      <c r="H28" s="22">
        <f>SUM(H19:H27)</f>
        <v>55625000</v>
      </c>
      <c r="I28" s="24">
        <f>SUM(I19:I27)</f>
        <v>4.0611732690587736</v>
      </c>
    </row>
    <row r="31" spans="1:9" x14ac:dyDescent="0.25">
      <c r="A31" s="23"/>
      <c r="B31" s="23"/>
      <c r="C31" s="23"/>
      <c r="D31" s="23"/>
      <c r="E31" s="23"/>
      <c r="F31" s="23"/>
      <c r="G31" s="23"/>
      <c r="H31" s="23"/>
      <c r="I31" s="23"/>
    </row>
    <row r="33" spans="1:9" ht="45" x14ac:dyDescent="0.25">
      <c r="A33" s="19" t="s">
        <v>798</v>
      </c>
      <c r="B33" s="19"/>
      <c r="D33" s="20" t="s">
        <v>792</v>
      </c>
      <c r="E33" s="20" t="s">
        <v>793</v>
      </c>
      <c r="F33" s="21" t="s">
        <v>794</v>
      </c>
      <c r="H33" s="19" t="s">
        <v>797</v>
      </c>
      <c r="I33" s="20" t="s">
        <v>792</v>
      </c>
    </row>
    <row r="34" spans="1:9" x14ac:dyDescent="0.25">
      <c r="D34">
        <f>112188893/121188893</f>
        <v>0.92573576854109885</v>
      </c>
      <c r="E34">
        <v>121188893</v>
      </c>
      <c r="F34" s="19">
        <v>121188893</v>
      </c>
      <c r="H34">
        <v>121188893</v>
      </c>
      <c r="I34">
        <f t="shared" ref="I34:I45" si="1">F34/H34</f>
        <v>1</v>
      </c>
    </row>
    <row r="35" spans="1:9" x14ac:dyDescent="0.25">
      <c r="D35">
        <f>3484726/3484726</f>
        <v>1</v>
      </c>
      <c r="E35">
        <v>3484726</v>
      </c>
      <c r="F35" s="19">
        <v>3484726</v>
      </c>
      <c r="H35">
        <v>3484726</v>
      </c>
      <c r="I35">
        <f t="shared" si="1"/>
        <v>1</v>
      </c>
    </row>
    <row r="36" spans="1:9" x14ac:dyDescent="0.25">
      <c r="D36">
        <f>3951413/4101413</f>
        <v>0.9634272383688256</v>
      </c>
      <c r="E36">
        <v>4101413</v>
      </c>
      <c r="F36" s="19">
        <v>3951413</v>
      </c>
      <c r="H36">
        <v>4101413</v>
      </c>
      <c r="I36">
        <f t="shared" si="1"/>
        <v>0.9634272383688256</v>
      </c>
    </row>
    <row r="37" spans="1:9" x14ac:dyDescent="0.25">
      <c r="D37">
        <f>50000/2294020</f>
        <v>2.1795799513517754E-2</v>
      </c>
      <c r="E37" s="18">
        <v>2294020</v>
      </c>
      <c r="F37" s="19">
        <v>50000</v>
      </c>
      <c r="H37" s="18">
        <v>2294020</v>
      </c>
      <c r="I37">
        <f t="shared" si="1"/>
        <v>2.1795799513517754E-2</v>
      </c>
    </row>
    <row r="38" spans="1:9" x14ac:dyDescent="0.25">
      <c r="D38">
        <f>0/5600000</f>
        <v>0</v>
      </c>
      <c r="E38">
        <v>5600000</v>
      </c>
      <c r="F38" s="19">
        <v>0</v>
      </c>
      <c r="H38">
        <v>5600000</v>
      </c>
      <c r="I38">
        <f t="shared" si="1"/>
        <v>0</v>
      </c>
    </row>
    <row r="39" spans="1:9" x14ac:dyDescent="0.25">
      <c r="D39">
        <f>3228494/8251900</f>
        <v>0.39124250172687502</v>
      </c>
      <c r="E39">
        <v>8251900</v>
      </c>
      <c r="F39" s="19">
        <v>3228494</v>
      </c>
      <c r="H39">
        <v>8251900</v>
      </c>
      <c r="I39">
        <f t="shared" si="1"/>
        <v>0.39124250172687502</v>
      </c>
    </row>
    <row r="40" spans="1:9" x14ac:dyDescent="0.25">
      <c r="D40">
        <f>0/613300</f>
        <v>0</v>
      </c>
      <c r="E40">
        <v>613300</v>
      </c>
      <c r="F40" s="19">
        <v>0</v>
      </c>
      <c r="H40">
        <v>613300</v>
      </c>
      <c r="I40">
        <f t="shared" si="1"/>
        <v>0</v>
      </c>
    </row>
    <row r="41" spans="1:9" x14ac:dyDescent="0.25">
      <c r="D41">
        <f>0/934800</f>
        <v>0</v>
      </c>
      <c r="E41">
        <v>934800</v>
      </c>
      <c r="F41" s="19">
        <v>0</v>
      </c>
      <c r="H41">
        <v>934800</v>
      </c>
      <c r="I41">
        <f t="shared" si="1"/>
        <v>0</v>
      </c>
    </row>
    <row r="42" spans="1:9" x14ac:dyDescent="0.25">
      <c r="D42">
        <f>18177530/21066048</f>
        <v>0.86288277706383276</v>
      </c>
      <c r="E42">
        <v>21066048</v>
      </c>
      <c r="F42" s="19">
        <v>18177530</v>
      </c>
      <c r="H42">
        <v>21066048</v>
      </c>
      <c r="I42">
        <f t="shared" si="1"/>
        <v>0.86288277706383276</v>
      </c>
    </row>
    <row r="43" spans="1:9" x14ac:dyDescent="0.25">
      <c r="D43">
        <f>79018/647500</f>
        <v>0.12203552123552124</v>
      </c>
      <c r="E43">
        <v>647500</v>
      </c>
      <c r="F43" s="19">
        <v>79018</v>
      </c>
      <c r="H43">
        <v>647500</v>
      </c>
      <c r="I43">
        <f t="shared" si="1"/>
        <v>0.12203552123552124</v>
      </c>
    </row>
    <row r="44" spans="1:9" x14ac:dyDescent="0.25">
      <c r="D44">
        <f>297400/1817400</f>
        <v>0.16364036535710355</v>
      </c>
      <c r="E44">
        <v>1817400</v>
      </c>
      <c r="F44" s="19">
        <v>297400</v>
      </c>
      <c r="H44">
        <v>1817400</v>
      </c>
      <c r="I44">
        <f t="shared" si="1"/>
        <v>0.16364036535710355</v>
      </c>
    </row>
    <row r="45" spans="1:9" x14ac:dyDescent="0.25">
      <c r="D45">
        <f>832103/1000000</f>
        <v>0.83210300000000004</v>
      </c>
      <c r="E45">
        <v>1000000</v>
      </c>
      <c r="F45" s="19">
        <v>832103</v>
      </c>
      <c r="H45">
        <v>1000000</v>
      </c>
      <c r="I45">
        <f t="shared" si="1"/>
        <v>0.83210300000000004</v>
      </c>
    </row>
    <row r="46" spans="1:9" x14ac:dyDescent="0.25">
      <c r="F46" s="19"/>
    </row>
    <row r="47" spans="1:9" x14ac:dyDescent="0.25">
      <c r="B47" s="19" t="s">
        <v>795</v>
      </c>
      <c r="E47" s="19">
        <f>SUM(E34:E46)</f>
        <v>171000000</v>
      </c>
      <c r="F47" s="19">
        <f>SUM(F34:F46)</f>
        <v>151289577</v>
      </c>
      <c r="H47" s="22">
        <f>SUM(H34:H46)</f>
        <v>171000000</v>
      </c>
      <c r="I47" s="24">
        <f>SUM(I34:I46)</f>
        <v>5.3571272032656756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0"/>
  <sheetViews>
    <sheetView workbookViewId="0">
      <pane xSplit="2" ySplit="1" topLeftCell="C215" activePane="bottomRight" state="frozen"/>
      <selection pane="topRight"/>
      <selection pane="bottomLeft"/>
      <selection pane="bottomRight" activeCell="B235" sqref="B235"/>
    </sheetView>
  </sheetViews>
  <sheetFormatPr defaultColWidth="9.140625" defaultRowHeight="21" x14ac:dyDescent="0.35"/>
  <cols>
    <col min="1" max="1" width="10.7109375" style="1" bestFit="1" customWidth="1"/>
    <col min="2" max="2" width="40.42578125" style="1" bestFit="1" customWidth="1"/>
    <col min="3" max="5" width="16.28515625" style="55" bestFit="1" customWidth="1"/>
    <col min="6" max="6" width="15.7109375" style="1" bestFit="1" customWidth="1"/>
    <col min="7" max="7" width="89.7109375" style="1" customWidth="1"/>
    <col min="8" max="8" width="20.5703125" style="1" bestFit="1" customWidth="1"/>
    <col min="9" max="9" width="113" style="1" bestFit="1" customWidth="1"/>
    <col min="10" max="10" width="29.5703125" style="1" bestFit="1" customWidth="1"/>
    <col min="11" max="11" width="34.28515625" style="1" bestFit="1" customWidth="1"/>
    <col min="12" max="12" width="30" style="1" bestFit="1" customWidth="1"/>
    <col min="13" max="13" width="21.42578125" style="1" bestFit="1" customWidth="1"/>
    <col min="14" max="14" width="27.42578125" style="1" bestFit="1" customWidth="1"/>
    <col min="15" max="15" width="25.140625" style="1" bestFit="1" customWidth="1"/>
    <col min="16" max="16" width="31.85546875" style="1" bestFit="1" customWidth="1"/>
    <col min="17" max="18" width="33.5703125" style="1" bestFit="1" customWidth="1"/>
    <col min="19" max="19" width="37.140625" style="1" bestFit="1" customWidth="1"/>
    <col min="20" max="21" width="17.140625" style="1" bestFit="1" customWidth="1"/>
    <col min="22" max="22" width="12.28515625" style="1" bestFit="1" customWidth="1"/>
    <col min="23" max="23" width="10.7109375" style="1" bestFit="1" customWidth="1"/>
    <col min="24" max="24" width="13" style="1" bestFit="1" customWidth="1"/>
    <col min="25" max="25" width="18.7109375" style="1" bestFit="1" customWidth="1"/>
    <col min="26" max="26" width="19.5703125" style="1" bestFit="1" customWidth="1"/>
    <col min="27" max="27" width="19.7109375" style="1" bestFit="1" customWidth="1"/>
    <col min="28" max="28" width="35" style="1" bestFit="1" customWidth="1"/>
    <col min="29" max="29" width="14.7109375" style="1" bestFit="1" customWidth="1"/>
    <col min="30" max="30" width="5.85546875" style="1" bestFit="1" customWidth="1"/>
    <col min="31" max="31" width="14.7109375" style="1" bestFit="1" customWidth="1"/>
    <col min="32" max="38" width="5.85546875" style="1" bestFit="1" customWidth="1"/>
    <col min="39" max="39" width="14.7109375" style="1" bestFit="1" customWidth="1"/>
    <col min="40" max="40" width="5.85546875" style="1" bestFit="1" customWidth="1"/>
    <col min="41" max="16384" width="9.140625" style="1"/>
  </cols>
  <sheetData>
    <row r="1" spans="1:40" x14ac:dyDescent="0.35">
      <c r="A1" s="1" t="s">
        <v>11</v>
      </c>
      <c r="B1" s="1" t="s">
        <v>0</v>
      </c>
      <c r="C1" s="55" t="s">
        <v>12</v>
      </c>
      <c r="D1" s="55" t="s">
        <v>871</v>
      </c>
      <c r="E1" s="55" t="s">
        <v>13</v>
      </c>
      <c r="F1" s="1" t="s">
        <v>1</v>
      </c>
      <c r="G1" s="1" t="s">
        <v>870</v>
      </c>
      <c r="H1" s="1" t="s">
        <v>3</v>
      </c>
      <c r="I1" s="1" t="s">
        <v>4</v>
      </c>
      <c r="J1" s="1" t="s">
        <v>14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15</v>
      </c>
      <c r="R1" s="1" t="s">
        <v>16</v>
      </c>
      <c r="S1" s="1" t="s">
        <v>20</v>
      </c>
      <c r="T1" s="1" t="s">
        <v>866</v>
      </c>
      <c r="U1" s="1" t="s">
        <v>867</v>
      </c>
      <c r="V1" s="1" t="s">
        <v>17</v>
      </c>
      <c r="W1" s="1" t="s">
        <v>18</v>
      </c>
      <c r="X1" s="1" t="s">
        <v>19</v>
      </c>
      <c r="Y1" s="1" t="s">
        <v>872</v>
      </c>
      <c r="Z1" s="1" t="s">
        <v>868</v>
      </c>
      <c r="AA1" s="1" t="s">
        <v>790</v>
      </c>
      <c r="AB1" s="1" t="s">
        <v>873</v>
      </c>
      <c r="AC1" s="1" t="s">
        <v>731</v>
      </c>
      <c r="AD1" s="1" t="s">
        <v>874</v>
      </c>
      <c r="AE1" s="1" t="s">
        <v>875</v>
      </c>
      <c r="AF1" s="1" t="s">
        <v>876</v>
      </c>
      <c r="AG1" s="1" t="s">
        <v>877</v>
      </c>
      <c r="AH1" s="1" t="s">
        <v>878</v>
      </c>
      <c r="AI1" s="1" t="s">
        <v>879</v>
      </c>
      <c r="AJ1" s="1" t="s">
        <v>880</v>
      </c>
      <c r="AK1" s="1" t="s">
        <v>881</v>
      </c>
      <c r="AL1" s="1" t="s">
        <v>882</v>
      </c>
      <c r="AM1" s="1" t="s">
        <v>883</v>
      </c>
      <c r="AN1" s="1" t="s">
        <v>884</v>
      </c>
    </row>
    <row r="2" spans="1:40" x14ac:dyDescent="0.35">
      <c r="A2" s="1" t="s">
        <v>26</v>
      </c>
      <c r="B2" s="1" t="s">
        <v>21</v>
      </c>
      <c r="C2" s="56">
        <v>41400.408969907403</v>
      </c>
      <c r="D2" s="56">
        <v>40933</v>
      </c>
      <c r="E2" s="56">
        <v>40931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27</v>
      </c>
      <c r="K2" s="1">
        <v>389952</v>
      </c>
      <c r="L2" s="1">
        <v>0.3322</v>
      </c>
      <c r="M2" s="1">
        <v>0.28999999999999998</v>
      </c>
      <c r="N2" s="1">
        <v>0.34399999999999997</v>
      </c>
      <c r="O2" s="1">
        <v>739.79899999999998</v>
      </c>
      <c r="P2" s="1">
        <v>248392651</v>
      </c>
      <c r="Q2" s="1">
        <v>390744</v>
      </c>
      <c r="R2" s="1">
        <v>389952</v>
      </c>
      <c r="S2" s="1">
        <v>390744</v>
      </c>
      <c r="T2" s="1">
        <v>700000</v>
      </c>
      <c r="U2" s="1">
        <v>700000</v>
      </c>
      <c r="V2" s="1">
        <v>792</v>
      </c>
      <c r="W2" s="1">
        <v>841</v>
      </c>
      <c r="X2" s="1">
        <v>6.19</v>
      </c>
      <c r="Y2" s="1">
        <v>0</v>
      </c>
      <c r="Z2" s="1">
        <v>900000</v>
      </c>
      <c r="AA2" s="1">
        <v>1</v>
      </c>
      <c r="AB2" s="1">
        <v>1</v>
      </c>
      <c r="AC2" s="33">
        <v>42572</v>
      </c>
    </row>
    <row r="3" spans="1:40" x14ac:dyDescent="0.35">
      <c r="A3" s="1" t="s">
        <v>32</v>
      </c>
      <c r="B3" s="1" t="s">
        <v>28</v>
      </c>
      <c r="C3" s="56">
        <v>41927.558125000003</v>
      </c>
      <c r="D3" s="56">
        <v>41829</v>
      </c>
      <c r="E3" s="56">
        <v>41837.416666666701</v>
      </c>
      <c r="F3" s="1" t="s">
        <v>22</v>
      </c>
      <c r="G3" s="1" t="s">
        <v>29</v>
      </c>
      <c r="H3" s="1" t="s">
        <v>30</v>
      </c>
      <c r="I3" s="1" t="s">
        <v>31</v>
      </c>
      <c r="J3" s="1" t="s">
        <v>33</v>
      </c>
      <c r="K3" s="1">
        <v>203075</v>
      </c>
      <c r="L3" s="1">
        <v>0.15229999999999999</v>
      </c>
      <c r="M3" s="1">
        <v>0.14499999999999999</v>
      </c>
      <c r="N3" s="1">
        <v>0.14499999999999999</v>
      </c>
      <c r="O3" s="1">
        <v>360.77</v>
      </c>
      <c r="P3" s="1">
        <v>103747742</v>
      </c>
      <c r="Q3" s="1">
        <v>200850</v>
      </c>
      <c r="R3" s="1">
        <v>203075</v>
      </c>
      <c r="S3" s="1">
        <v>203075</v>
      </c>
      <c r="T3" s="1">
        <v>900000</v>
      </c>
      <c r="U3" s="1">
        <v>900000</v>
      </c>
      <c r="V3" s="1">
        <v>404</v>
      </c>
      <c r="W3" s="1">
        <v>399</v>
      </c>
      <c r="X3" s="1">
        <v>-1.24</v>
      </c>
      <c r="Y3" s="1">
        <v>0</v>
      </c>
      <c r="Z3" s="1">
        <v>3300000</v>
      </c>
      <c r="AA3" s="1">
        <v>1</v>
      </c>
      <c r="AB3" s="1">
        <v>1</v>
      </c>
      <c r="AC3" s="33">
        <v>42572</v>
      </c>
    </row>
    <row r="4" spans="1:40" x14ac:dyDescent="0.35">
      <c r="A4" s="1" t="s">
        <v>38</v>
      </c>
      <c r="B4" s="1" t="s">
        <v>34</v>
      </c>
      <c r="C4" s="56">
        <v>41828.576689814799</v>
      </c>
      <c r="D4" s="56">
        <v>41697</v>
      </c>
      <c r="E4" s="56">
        <v>41701</v>
      </c>
      <c r="F4" s="1" t="s">
        <v>22</v>
      </c>
      <c r="G4" s="1" t="s">
        <v>40</v>
      </c>
      <c r="H4" s="1" t="s">
        <v>41</v>
      </c>
      <c r="I4" s="1" t="s">
        <v>42</v>
      </c>
      <c r="J4" s="1" t="s">
        <v>43</v>
      </c>
      <c r="K4" s="1">
        <v>500610</v>
      </c>
      <c r="L4" s="1">
        <v>0.46949999999999997</v>
      </c>
      <c r="M4" s="1">
        <v>0.28999999999999998</v>
      </c>
      <c r="N4" s="1">
        <v>0.38890000000000002</v>
      </c>
      <c r="O4" s="1">
        <v>875</v>
      </c>
      <c r="P4" s="1">
        <v>310262087</v>
      </c>
      <c r="Q4" s="1">
        <v>499260</v>
      </c>
      <c r="R4" s="1">
        <v>500610</v>
      </c>
      <c r="S4" s="1">
        <v>500610</v>
      </c>
      <c r="T4" s="1">
        <v>2000000</v>
      </c>
      <c r="U4" s="1">
        <v>2000000</v>
      </c>
      <c r="V4" s="1">
        <v>896</v>
      </c>
      <c r="W4" s="1">
        <v>945</v>
      </c>
      <c r="X4" s="1">
        <v>5.47</v>
      </c>
      <c r="Y4" s="1">
        <v>0</v>
      </c>
      <c r="Z4" s="1">
        <v>5500000</v>
      </c>
      <c r="AA4" s="1">
        <v>1</v>
      </c>
      <c r="AB4" s="1">
        <v>1</v>
      </c>
      <c r="AC4" s="33">
        <v>42572</v>
      </c>
    </row>
    <row r="5" spans="1:40" x14ac:dyDescent="0.35">
      <c r="A5" s="1" t="s">
        <v>38</v>
      </c>
      <c r="B5" s="1" t="s">
        <v>34</v>
      </c>
      <c r="C5" s="56">
        <v>41522.484340277799</v>
      </c>
      <c r="D5" s="56">
        <v>41458</v>
      </c>
      <c r="E5" s="56">
        <v>41466</v>
      </c>
      <c r="F5" s="1" t="s">
        <v>22</v>
      </c>
      <c r="G5" s="1" t="s">
        <v>35</v>
      </c>
      <c r="H5" s="1" t="s">
        <v>36</v>
      </c>
      <c r="I5" s="1" t="s">
        <v>37</v>
      </c>
      <c r="J5" s="1" t="s">
        <v>39</v>
      </c>
      <c r="K5" s="1">
        <v>527825</v>
      </c>
      <c r="L5" s="1">
        <v>0.46949999999999997</v>
      </c>
      <c r="M5" s="1">
        <v>0.28999999999999998</v>
      </c>
      <c r="N5" s="1">
        <v>0.38890000000000002</v>
      </c>
      <c r="O5" s="1">
        <v>875</v>
      </c>
      <c r="P5" s="1">
        <v>310262087</v>
      </c>
      <c r="Q5" s="1">
        <v>531525</v>
      </c>
      <c r="R5" s="1">
        <v>527825</v>
      </c>
      <c r="S5" s="1">
        <v>531525</v>
      </c>
      <c r="T5" s="1">
        <v>1000000</v>
      </c>
      <c r="U5" s="1">
        <v>1000000</v>
      </c>
      <c r="V5" s="1">
        <v>896</v>
      </c>
      <c r="W5" s="1">
        <v>945</v>
      </c>
      <c r="X5" s="1">
        <v>5.47</v>
      </c>
      <c r="Y5" s="1">
        <v>0</v>
      </c>
      <c r="Z5" s="1">
        <v>9500000</v>
      </c>
      <c r="AA5" s="1">
        <v>1</v>
      </c>
      <c r="AB5" s="1">
        <v>1</v>
      </c>
      <c r="AC5" s="33">
        <v>42572</v>
      </c>
    </row>
    <row r="6" spans="1:40" x14ac:dyDescent="0.35">
      <c r="A6" s="1" t="s">
        <v>47</v>
      </c>
      <c r="B6" s="1" t="s">
        <v>44</v>
      </c>
      <c r="C6" s="56">
        <v>41222.398356481499</v>
      </c>
      <c r="D6" s="56">
        <v>41122</v>
      </c>
      <c r="E6" s="56">
        <v>41123</v>
      </c>
      <c r="F6" s="1" t="s">
        <v>22</v>
      </c>
      <c r="G6" s="1" t="s">
        <v>45</v>
      </c>
      <c r="H6" s="1" t="s">
        <v>46</v>
      </c>
      <c r="I6" s="1" t="s">
        <v>25</v>
      </c>
      <c r="J6" s="1" t="s">
        <v>48</v>
      </c>
      <c r="K6" s="1">
        <v>1344775</v>
      </c>
      <c r="L6" s="1">
        <v>0.2427</v>
      </c>
      <c r="M6" s="1">
        <v>0.18149999999999999</v>
      </c>
      <c r="N6" s="1">
        <v>0.18149999999999999</v>
      </c>
      <c r="O6" s="1">
        <v>1603.9369999999999</v>
      </c>
      <c r="P6" s="1">
        <v>234601853</v>
      </c>
      <c r="Q6" s="1">
        <v>1347375</v>
      </c>
      <c r="R6" s="1">
        <v>1344775</v>
      </c>
      <c r="S6" s="1">
        <v>1347375</v>
      </c>
      <c r="T6" s="1">
        <v>1373413</v>
      </c>
      <c r="U6" s="1">
        <v>1377313</v>
      </c>
      <c r="V6" s="1">
        <v>1763</v>
      </c>
      <c r="W6" s="1">
        <v>1779</v>
      </c>
      <c r="X6" s="1">
        <v>0.91</v>
      </c>
      <c r="Y6" s="1">
        <v>0</v>
      </c>
      <c r="Z6" s="1">
        <v>23450000</v>
      </c>
      <c r="AA6" s="1">
        <v>1</v>
      </c>
      <c r="AB6" s="1">
        <v>1</v>
      </c>
      <c r="AC6" s="33">
        <v>42572</v>
      </c>
    </row>
    <row r="7" spans="1:40" x14ac:dyDescent="0.35">
      <c r="A7" s="1" t="s">
        <v>53</v>
      </c>
      <c r="B7" s="1" t="s">
        <v>49</v>
      </c>
      <c r="C7" s="56">
        <v>40909</v>
      </c>
      <c r="D7" s="56">
        <v>40550</v>
      </c>
      <c r="E7" s="56">
        <v>40553</v>
      </c>
      <c r="F7" s="1" t="s">
        <v>22</v>
      </c>
      <c r="G7" s="1" t="s">
        <v>50</v>
      </c>
      <c r="H7" s="1" t="s">
        <v>51</v>
      </c>
      <c r="I7" s="1" t="s">
        <v>52</v>
      </c>
      <c r="J7" s="1" t="s">
        <v>54</v>
      </c>
      <c r="K7" s="1">
        <v>376788</v>
      </c>
      <c r="L7" s="1">
        <v>0.1905</v>
      </c>
      <c r="M7" s="1">
        <v>0.1497</v>
      </c>
      <c r="N7" s="1">
        <v>0.1497</v>
      </c>
      <c r="O7" s="1">
        <v>744.24</v>
      </c>
      <c r="P7" s="1">
        <v>157726811</v>
      </c>
      <c r="Q7" s="1">
        <v>376788</v>
      </c>
      <c r="R7" s="1">
        <v>376788</v>
      </c>
      <c r="S7" s="1">
        <v>376788</v>
      </c>
      <c r="T7" s="1">
        <v>395275</v>
      </c>
      <c r="U7" s="1">
        <v>395275</v>
      </c>
      <c r="V7" s="1">
        <v>814</v>
      </c>
      <c r="W7" s="1">
        <v>839</v>
      </c>
      <c r="X7" s="1">
        <v>3.07</v>
      </c>
      <c r="Y7" s="1">
        <v>0</v>
      </c>
      <c r="Z7" s="1">
        <v>6800000</v>
      </c>
      <c r="AA7" s="1">
        <v>1</v>
      </c>
      <c r="AB7" s="1">
        <v>1</v>
      </c>
      <c r="AC7" s="33">
        <v>42573</v>
      </c>
    </row>
    <row r="8" spans="1:40" x14ac:dyDescent="0.35">
      <c r="A8" s="1" t="s">
        <v>57</v>
      </c>
      <c r="B8" s="1" t="s">
        <v>55</v>
      </c>
      <c r="C8" s="56">
        <v>42017.432453703703</v>
      </c>
      <c r="D8" s="56">
        <v>41932</v>
      </c>
      <c r="E8" s="56">
        <v>41934</v>
      </c>
      <c r="F8" s="1" t="s">
        <v>22</v>
      </c>
      <c r="G8" s="1" t="s">
        <v>40</v>
      </c>
      <c r="H8" s="1" t="s">
        <v>56</v>
      </c>
      <c r="I8" s="1" t="s">
        <v>42</v>
      </c>
      <c r="J8" s="1" t="s">
        <v>58</v>
      </c>
      <c r="K8" s="1">
        <v>450400</v>
      </c>
      <c r="L8" s="1">
        <v>0.1779</v>
      </c>
      <c r="M8" s="1">
        <v>8.4000000000000005E-2</v>
      </c>
      <c r="N8" s="1">
        <v>8.4000000000000005E-2</v>
      </c>
      <c r="O8" s="1">
        <v>826.1</v>
      </c>
      <c r="P8" s="1">
        <v>161620667</v>
      </c>
      <c r="Q8" s="1">
        <v>439550</v>
      </c>
      <c r="R8" s="1">
        <v>450400</v>
      </c>
      <c r="S8" s="1">
        <v>450400</v>
      </c>
      <c r="T8" s="1">
        <v>462200</v>
      </c>
      <c r="U8" s="1">
        <v>470200</v>
      </c>
      <c r="V8" s="1">
        <v>887</v>
      </c>
      <c r="W8" s="1">
        <v>876</v>
      </c>
      <c r="X8" s="1">
        <v>-1.24</v>
      </c>
      <c r="Y8" s="1">
        <v>0</v>
      </c>
      <c r="Z8" s="1">
        <v>494000000</v>
      </c>
      <c r="AA8" s="1">
        <v>1</v>
      </c>
      <c r="AB8" s="1">
        <v>1</v>
      </c>
      <c r="AC8" s="33">
        <v>42572</v>
      </c>
    </row>
    <row r="9" spans="1:40" x14ac:dyDescent="0.35">
      <c r="A9" s="1" t="s">
        <v>61</v>
      </c>
      <c r="B9" s="1" t="s">
        <v>59</v>
      </c>
      <c r="C9" s="56">
        <v>42111.427094907398</v>
      </c>
      <c r="D9" s="56">
        <v>42227</v>
      </c>
      <c r="E9" s="56">
        <v>42040</v>
      </c>
      <c r="F9" s="1" t="s">
        <v>22</v>
      </c>
      <c r="G9" s="1" t="s">
        <v>60</v>
      </c>
      <c r="H9" s="1" t="s">
        <v>885</v>
      </c>
      <c r="I9" s="1" t="s">
        <v>60</v>
      </c>
      <c r="J9" s="1" t="s">
        <v>62</v>
      </c>
      <c r="M9" s="1">
        <v>0.23649999999999999</v>
      </c>
      <c r="N9" s="1">
        <v>0.2465</v>
      </c>
      <c r="O9" s="1">
        <v>14507.592000000001</v>
      </c>
      <c r="P9" s="1">
        <v>1305590316</v>
      </c>
      <c r="Q9" s="1">
        <v>777900</v>
      </c>
      <c r="R9" s="1">
        <v>777900</v>
      </c>
      <c r="S9" s="1">
        <v>777900</v>
      </c>
      <c r="T9" s="1">
        <v>1185930</v>
      </c>
      <c r="U9" s="1">
        <v>1186000</v>
      </c>
      <c r="V9" s="1">
        <v>14844</v>
      </c>
      <c r="W9" s="1">
        <v>15080</v>
      </c>
      <c r="X9" s="1">
        <v>1.59</v>
      </c>
      <c r="Y9" s="1">
        <v>0</v>
      </c>
      <c r="Z9" s="1">
        <v>34200000</v>
      </c>
      <c r="AA9" s="1">
        <v>1</v>
      </c>
      <c r="AB9" s="1">
        <v>1</v>
      </c>
      <c r="AC9" s="33">
        <v>42570</v>
      </c>
    </row>
    <row r="10" spans="1:40" x14ac:dyDescent="0.35">
      <c r="A10" s="1" t="s">
        <v>61</v>
      </c>
      <c r="B10" s="1" t="s">
        <v>59</v>
      </c>
      <c r="C10" s="56">
        <v>42263.389016203699</v>
      </c>
      <c r="D10" s="56">
        <v>42227</v>
      </c>
      <c r="E10" s="56">
        <v>42228</v>
      </c>
      <c r="F10" s="1" t="s">
        <v>22</v>
      </c>
      <c r="G10" s="1" t="s">
        <v>63</v>
      </c>
      <c r="H10" s="1" t="s">
        <v>64</v>
      </c>
      <c r="I10" s="1" t="s">
        <v>63</v>
      </c>
      <c r="J10" s="1" t="s">
        <v>65</v>
      </c>
      <c r="M10" s="1">
        <v>0.23649999999999999</v>
      </c>
      <c r="N10" s="1">
        <v>0.2465</v>
      </c>
      <c r="O10" s="1">
        <v>14507.592000000001</v>
      </c>
      <c r="P10" s="1">
        <v>1305590316</v>
      </c>
      <c r="Q10" s="1">
        <v>1172474</v>
      </c>
      <c r="R10" s="1">
        <v>1216400</v>
      </c>
      <c r="S10" s="1">
        <v>1216400</v>
      </c>
      <c r="T10" s="1">
        <v>1182691.67</v>
      </c>
      <c r="U10" s="1">
        <v>1227000</v>
      </c>
      <c r="V10" s="1">
        <v>14844</v>
      </c>
      <c r="W10" s="1">
        <v>15080</v>
      </c>
      <c r="X10" s="1">
        <v>1.59</v>
      </c>
      <c r="Y10" s="1">
        <v>0</v>
      </c>
      <c r="Z10" s="1">
        <v>61350000</v>
      </c>
      <c r="AA10" s="1">
        <v>1</v>
      </c>
      <c r="AB10" s="1">
        <v>1</v>
      </c>
      <c r="AC10" s="33">
        <v>42570</v>
      </c>
    </row>
    <row r="11" spans="1:40" x14ac:dyDescent="0.35">
      <c r="A11" s="1" t="s">
        <v>70</v>
      </c>
      <c r="B11" s="1" t="s">
        <v>66</v>
      </c>
      <c r="C11" s="56">
        <v>41612.446331018502</v>
      </c>
      <c r="D11" s="56">
        <v>40519</v>
      </c>
      <c r="E11" s="56">
        <v>40527</v>
      </c>
      <c r="F11" s="1" t="s">
        <v>22</v>
      </c>
      <c r="G11" s="1" t="s">
        <v>67</v>
      </c>
      <c r="H11" s="1" t="s">
        <v>68</v>
      </c>
      <c r="I11" s="1" t="s">
        <v>69</v>
      </c>
      <c r="J11" s="1" t="s">
        <v>71</v>
      </c>
      <c r="K11" s="1">
        <v>9351251</v>
      </c>
      <c r="L11" s="1">
        <v>0.13780000000000001</v>
      </c>
      <c r="M11" s="1">
        <v>0.1515</v>
      </c>
      <c r="N11" s="1">
        <v>0.1522</v>
      </c>
      <c r="O11" s="1">
        <v>47632.103999999999</v>
      </c>
      <c r="P11" s="1">
        <v>14358452226</v>
      </c>
      <c r="Q11" s="1">
        <v>9341713</v>
      </c>
      <c r="R11" s="1">
        <v>9337116</v>
      </c>
      <c r="S11" s="1">
        <v>9341713</v>
      </c>
      <c r="T11" s="1">
        <v>8805811</v>
      </c>
      <c r="U11" s="1">
        <v>8806545</v>
      </c>
      <c r="V11" s="1">
        <v>54880</v>
      </c>
      <c r="W11" s="1">
        <v>53016</v>
      </c>
      <c r="X11" s="1">
        <v>-3.4</v>
      </c>
      <c r="Y11" s="1">
        <v>0</v>
      </c>
      <c r="Z11" s="1">
        <v>0</v>
      </c>
      <c r="AA11" s="1">
        <v>0</v>
      </c>
      <c r="AB11" s="1">
        <v>0</v>
      </c>
      <c r="AC11" s="33">
        <v>42573</v>
      </c>
    </row>
    <row r="12" spans="1:40" x14ac:dyDescent="0.35">
      <c r="A12" s="1" t="s">
        <v>70</v>
      </c>
      <c r="B12" s="1" t="s">
        <v>66</v>
      </c>
      <c r="C12" s="56">
        <v>42453.6401736111</v>
      </c>
      <c r="D12" s="56">
        <v>42507</v>
      </c>
      <c r="E12" s="56">
        <v>42501</v>
      </c>
      <c r="G12" s="1" t="s">
        <v>72</v>
      </c>
      <c r="H12" s="1" t="s">
        <v>73</v>
      </c>
      <c r="I12" s="1" t="s">
        <v>74</v>
      </c>
      <c r="J12" s="1" t="s">
        <v>75</v>
      </c>
      <c r="M12" s="1">
        <v>0.1515</v>
      </c>
      <c r="N12" s="1">
        <v>0.1522</v>
      </c>
      <c r="O12" s="1">
        <v>47632.103999999999</v>
      </c>
      <c r="P12" s="1">
        <v>14358452226</v>
      </c>
      <c r="T12" s="1">
        <v>0</v>
      </c>
      <c r="U12" s="1">
        <v>8257500</v>
      </c>
      <c r="V12" s="1">
        <v>54880</v>
      </c>
      <c r="W12" s="1">
        <v>53016</v>
      </c>
      <c r="X12" s="1">
        <v>-3.4</v>
      </c>
      <c r="Y12" s="1">
        <v>1849690</v>
      </c>
      <c r="Z12" s="1">
        <v>100000000</v>
      </c>
      <c r="AA12" s="1">
        <v>0.98150309999999996</v>
      </c>
      <c r="AB12" s="1">
        <v>0.98183902179770999</v>
      </c>
      <c r="AC12" s="33">
        <v>42571</v>
      </c>
    </row>
    <row r="13" spans="1:40" x14ac:dyDescent="0.35">
      <c r="A13" s="1" t="s">
        <v>79</v>
      </c>
      <c r="B13" s="1" t="s">
        <v>76</v>
      </c>
      <c r="C13" s="56">
        <v>42536.352407407401</v>
      </c>
      <c r="D13" s="56">
        <v>42536</v>
      </c>
      <c r="E13" s="56">
        <v>42425</v>
      </c>
      <c r="G13" s="1" t="s">
        <v>72</v>
      </c>
      <c r="H13" s="1" t="s">
        <v>77</v>
      </c>
      <c r="I13" s="1" t="s">
        <v>78</v>
      </c>
      <c r="J13" s="1" t="s">
        <v>80</v>
      </c>
      <c r="M13" s="1">
        <v>7.6799999999999993E-2</v>
      </c>
      <c r="N13" s="1">
        <v>7.7499999999999999E-2</v>
      </c>
      <c r="O13" s="1">
        <v>9252.7999999999993</v>
      </c>
      <c r="P13" s="1">
        <v>3003860341</v>
      </c>
      <c r="Q13" s="1">
        <v>387521</v>
      </c>
      <c r="R13" s="1">
        <v>796950</v>
      </c>
      <c r="S13" s="1">
        <v>796950</v>
      </c>
      <c r="T13" s="1">
        <v>0</v>
      </c>
      <c r="U13" s="1">
        <v>3019792</v>
      </c>
      <c r="V13" s="1">
        <v>9569</v>
      </c>
      <c r="W13" s="1">
        <v>10055</v>
      </c>
      <c r="X13" s="1">
        <v>5.08</v>
      </c>
      <c r="Y13" s="1">
        <v>0</v>
      </c>
      <c r="Z13" s="1">
        <v>43050000</v>
      </c>
      <c r="AA13" s="1">
        <v>1</v>
      </c>
      <c r="AB13" s="1">
        <v>1</v>
      </c>
      <c r="AC13" s="33">
        <v>42571</v>
      </c>
    </row>
    <row r="14" spans="1:40" x14ac:dyDescent="0.35">
      <c r="A14" s="1" t="s">
        <v>84</v>
      </c>
      <c r="B14" s="1" t="s">
        <v>81</v>
      </c>
      <c r="C14" s="56">
        <v>42419.304305555597</v>
      </c>
      <c r="D14" s="56">
        <v>42531</v>
      </c>
      <c r="E14" s="56">
        <v>42340</v>
      </c>
      <c r="G14" s="1" t="s">
        <v>82</v>
      </c>
      <c r="H14" s="1" t="s">
        <v>83</v>
      </c>
      <c r="I14" s="1" t="s">
        <v>78</v>
      </c>
      <c r="J14" s="1" t="s">
        <v>85</v>
      </c>
      <c r="M14" s="1">
        <v>0.25829999999999997</v>
      </c>
      <c r="N14" s="1">
        <v>0.25829999999999997</v>
      </c>
      <c r="O14" s="1">
        <v>13690.516</v>
      </c>
      <c r="P14" s="1">
        <v>2943852732</v>
      </c>
      <c r="Q14" s="1">
        <v>617350</v>
      </c>
      <c r="R14" s="1">
        <v>3743125</v>
      </c>
      <c r="S14" s="1">
        <v>3743125</v>
      </c>
      <c r="T14" s="1">
        <v>0</v>
      </c>
      <c r="U14" s="1">
        <v>1682463</v>
      </c>
      <c r="V14" s="1">
        <v>11778</v>
      </c>
      <c r="W14" s="1">
        <v>13657</v>
      </c>
      <c r="X14" s="1">
        <v>15.95</v>
      </c>
      <c r="Y14" s="1">
        <v>1200000</v>
      </c>
      <c r="Z14" s="1">
        <v>18800000</v>
      </c>
      <c r="AA14" s="1">
        <v>0.93617021276595702</v>
      </c>
      <c r="AB14" s="1">
        <v>0.94</v>
      </c>
      <c r="AC14" s="33">
        <v>42571</v>
      </c>
    </row>
    <row r="15" spans="1:40" x14ac:dyDescent="0.35">
      <c r="A15" s="1" t="s">
        <v>89</v>
      </c>
      <c r="B15" s="1" t="s">
        <v>87</v>
      </c>
      <c r="C15" s="56">
        <v>42536.352407407401</v>
      </c>
      <c r="D15" s="56">
        <v>42536</v>
      </c>
      <c r="E15" s="56">
        <v>42565</v>
      </c>
      <c r="G15" s="1" t="s">
        <v>72</v>
      </c>
      <c r="H15" s="1" t="s">
        <v>88</v>
      </c>
      <c r="I15" s="1" t="s">
        <v>74</v>
      </c>
      <c r="J15" s="1" t="s">
        <v>90</v>
      </c>
      <c r="M15" s="1">
        <v>0.28910000000000002</v>
      </c>
      <c r="N15" s="1">
        <v>0.28910000000000002</v>
      </c>
      <c r="O15" s="1">
        <v>22285.954000000002</v>
      </c>
      <c r="P15" s="1">
        <v>7487013431</v>
      </c>
      <c r="T15" s="1">
        <v>0</v>
      </c>
      <c r="U15" s="1">
        <v>7836750</v>
      </c>
      <c r="V15" s="1">
        <v>22005</v>
      </c>
      <c r="W15" s="1">
        <v>23248</v>
      </c>
      <c r="X15" s="1">
        <v>5.65</v>
      </c>
      <c r="Y15" s="1">
        <v>22390000</v>
      </c>
      <c r="Z15" s="1">
        <v>186590000</v>
      </c>
      <c r="AA15" s="1">
        <v>0.88000428747521298</v>
      </c>
      <c r="AB15" s="1">
        <v>0.89286056081921705</v>
      </c>
      <c r="AC15" s="33">
        <v>42571</v>
      </c>
    </row>
    <row r="16" spans="1:40" x14ac:dyDescent="0.35">
      <c r="A16" s="1" t="s">
        <v>93</v>
      </c>
      <c r="B16" s="1" t="s">
        <v>91</v>
      </c>
      <c r="C16" s="56">
        <v>40909</v>
      </c>
      <c r="D16" s="56">
        <v>40731</v>
      </c>
      <c r="E16" s="56">
        <v>40772</v>
      </c>
      <c r="F16" s="1" t="s">
        <v>22</v>
      </c>
      <c r="G16" s="1" t="s">
        <v>50</v>
      </c>
      <c r="H16" s="1" t="s">
        <v>92</v>
      </c>
      <c r="I16" s="1" t="s">
        <v>52</v>
      </c>
      <c r="J16" s="1" t="s">
        <v>94</v>
      </c>
      <c r="K16" s="1">
        <v>414265</v>
      </c>
      <c r="L16" s="1">
        <v>0.12770000000000001</v>
      </c>
      <c r="M16" s="1">
        <v>0.12709999999999999</v>
      </c>
      <c r="N16" s="1">
        <v>0.23400000000000001</v>
      </c>
      <c r="O16" s="1">
        <v>943.78599999999994</v>
      </c>
      <c r="P16" s="1">
        <v>764015673</v>
      </c>
      <c r="Q16" s="1">
        <v>387665</v>
      </c>
      <c r="R16" s="1">
        <v>414265</v>
      </c>
      <c r="S16" s="1">
        <v>414265</v>
      </c>
      <c r="T16" s="1">
        <v>451900</v>
      </c>
      <c r="U16" s="1">
        <v>477400</v>
      </c>
      <c r="V16" s="1">
        <v>962</v>
      </c>
      <c r="W16" s="1">
        <v>990</v>
      </c>
      <c r="X16" s="1">
        <v>2.91</v>
      </c>
      <c r="Y16" s="1">
        <v>875000</v>
      </c>
      <c r="Z16" s="1">
        <v>7120000</v>
      </c>
      <c r="AA16" s="1">
        <v>0.87710674157303403</v>
      </c>
      <c r="AB16" s="1">
        <v>0.89055659787367103</v>
      </c>
      <c r="AC16" s="33">
        <v>42573</v>
      </c>
    </row>
    <row r="17" spans="1:29" x14ac:dyDescent="0.35">
      <c r="A17" s="1" t="s">
        <v>99</v>
      </c>
      <c r="B17" s="1" t="s">
        <v>95</v>
      </c>
      <c r="C17" s="56">
        <v>42111.427094907398</v>
      </c>
      <c r="D17" s="56">
        <v>42031</v>
      </c>
      <c r="E17" s="56">
        <v>42052</v>
      </c>
      <c r="F17" s="1" t="s">
        <v>22</v>
      </c>
      <c r="G17" s="1" t="s">
        <v>96</v>
      </c>
      <c r="H17" s="1" t="s">
        <v>97</v>
      </c>
      <c r="I17" s="1" t="s">
        <v>98</v>
      </c>
      <c r="J17" s="1" t="s">
        <v>100</v>
      </c>
      <c r="K17" s="1">
        <v>1429038</v>
      </c>
      <c r="L17" s="1">
        <v>0.16950000000000001</v>
      </c>
      <c r="M17" s="1">
        <v>0.17050000000000001</v>
      </c>
      <c r="N17" s="1">
        <v>0.2422</v>
      </c>
      <c r="O17" s="1">
        <v>6825.3069999999998</v>
      </c>
      <c r="P17" s="1">
        <v>1845468946</v>
      </c>
      <c r="Q17" s="1">
        <v>1436162</v>
      </c>
      <c r="R17" s="1">
        <v>1429038</v>
      </c>
      <c r="S17" s="1">
        <v>1436162</v>
      </c>
      <c r="T17" s="1">
        <v>4000000</v>
      </c>
      <c r="U17" s="1">
        <v>4000000</v>
      </c>
      <c r="V17" s="1">
        <v>6817</v>
      </c>
      <c r="W17" s="1">
        <v>6959</v>
      </c>
      <c r="X17" s="1">
        <v>2.08</v>
      </c>
      <c r="Y17" s="1">
        <v>0</v>
      </c>
      <c r="Z17" s="1">
        <v>29900000</v>
      </c>
      <c r="AA17" s="1">
        <v>1</v>
      </c>
      <c r="AB17" s="1">
        <v>1</v>
      </c>
      <c r="AC17" s="33">
        <v>42570</v>
      </c>
    </row>
    <row r="18" spans="1:29" x14ac:dyDescent="0.35">
      <c r="A18" s="1" t="s">
        <v>104</v>
      </c>
      <c r="B18" s="1" t="s">
        <v>101</v>
      </c>
      <c r="C18" s="56">
        <v>42536.352407407401</v>
      </c>
      <c r="D18" s="56">
        <v>42516</v>
      </c>
      <c r="E18" s="56">
        <v>42572</v>
      </c>
      <c r="G18" s="1" t="s">
        <v>72</v>
      </c>
      <c r="H18" s="1" t="s">
        <v>103</v>
      </c>
      <c r="I18" s="1" t="s">
        <v>74</v>
      </c>
      <c r="J18" s="1" t="s">
        <v>105</v>
      </c>
      <c r="M18" s="1">
        <v>5.0900000000000001E-2</v>
      </c>
      <c r="N18" s="1">
        <v>5.0900000000000001E-2</v>
      </c>
      <c r="O18" s="1">
        <v>2325.3420000000001</v>
      </c>
      <c r="P18" s="1">
        <v>522643962</v>
      </c>
      <c r="T18" s="1">
        <v>0</v>
      </c>
      <c r="U18" s="1">
        <v>1050575</v>
      </c>
      <c r="V18" s="1">
        <v>2805</v>
      </c>
      <c r="W18" s="1">
        <v>2597</v>
      </c>
      <c r="X18" s="1">
        <v>-7.42</v>
      </c>
      <c r="Y18" s="1">
        <v>1385000</v>
      </c>
      <c r="Z18" s="1">
        <v>19500000</v>
      </c>
      <c r="AA18" s="1">
        <v>0.92897435897435898</v>
      </c>
      <c r="AB18" s="1">
        <v>0.93368446253291804</v>
      </c>
      <c r="AC18" s="33">
        <v>42571</v>
      </c>
    </row>
    <row r="19" spans="1:29" x14ac:dyDescent="0.35">
      <c r="A19" s="1" t="s">
        <v>109</v>
      </c>
      <c r="B19" s="1" t="s">
        <v>106</v>
      </c>
      <c r="C19" s="56">
        <v>42536.352407407401</v>
      </c>
      <c r="D19" s="56">
        <v>42423</v>
      </c>
      <c r="E19" s="56">
        <v>42417</v>
      </c>
      <c r="G19" s="1" t="s">
        <v>86</v>
      </c>
      <c r="H19" s="1" t="s">
        <v>107</v>
      </c>
      <c r="I19" s="1" t="s">
        <v>108</v>
      </c>
      <c r="J19" s="1" t="s">
        <v>110</v>
      </c>
      <c r="M19" s="1">
        <v>0.28999999999999998</v>
      </c>
      <c r="N19" s="1">
        <v>0.39679999999999999</v>
      </c>
      <c r="O19" s="1">
        <v>21755.238000000001</v>
      </c>
      <c r="P19" s="1">
        <v>5100366861</v>
      </c>
      <c r="Q19" s="1">
        <v>2556965</v>
      </c>
      <c r="R19" s="1">
        <v>5987150</v>
      </c>
      <c r="S19" s="1">
        <v>5987150</v>
      </c>
      <c r="T19" s="1">
        <v>2350813</v>
      </c>
      <c r="U19" s="1">
        <v>6267050</v>
      </c>
      <c r="V19" s="1">
        <v>17170</v>
      </c>
      <c r="W19" s="1">
        <v>22064</v>
      </c>
      <c r="X19" s="1">
        <v>28.5</v>
      </c>
      <c r="Y19" s="1">
        <v>41905755</v>
      </c>
      <c r="Z19" s="1">
        <v>89689245</v>
      </c>
      <c r="AA19" s="1">
        <v>0.53276722309347102</v>
      </c>
      <c r="AB19" s="1">
        <v>0.68155511227630206</v>
      </c>
      <c r="AC19" s="33">
        <v>42571</v>
      </c>
    </row>
    <row r="20" spans="1:29" x14ac:dyDescent="0.35">
      <c r="A20" s="1" t="s">
        <v>114</v>
      </c>
      <c r="B20" s="1" t="s">
        <v>111</v>
      </c>
      <c r="C20" s="56">
        <v>42536.352407407401</v>
      </c>
      <c r="D20" s="56">
        <v>42527</v>
      </c>
      <c r="E20" s="56">
        <v>42562</v>
      </c>
      <c r="F20" s="1" t="s">
        <v>112</v>
      </c>
      <c r="G20" s="1" t="s">
        <v>72</v>
      </c>
      <c r="H20" s="1" t="s">
        <v>113</v>
      </c>
      <c r="I20" s="1" t="s">
        <v>74</v>
      </c>
      <c r="J20" s="1" t="s">
        <v>115</v>
      </c>
      <c r="M20" s="1">
        <v>7.9399999999999998E-2</v>
      </c>
      <c r="N20" s="1">
        <v>8.6300000000000002E-2</v>
      </c>
      <c r="O20" s="1">
        <v>1920.33</v>
      </c>
      <c r="P20" s="1">
        <v>250114447</v>
      </c>
      <c r="T20" s="1">
        <v>6635</v>
      </c>
      <c r="U20" s="1">
        <v>597128</v>
      </c>
      <c r="V20" s="1">
        <v>2282</v>
      </c>
      <c r="W20" s="1">
        <v>2101</v>
      </c>
      <c r="X20" s="1">
        <v>-7.93</v>
      </c>
      <c r="Y20" s="1">
        <v>0</v>
      </c>
      <c r="Z20" s="1">
        <v>20000000</v>
      </c>
      <c r="AA20" s="1">
        <v>1</v>
      </c>
      <c r="AB20" s="1">
        <v>1</v>
      </c>
      <c r="AC20" s="33">
        <v>42571</v>
      </c>
    </row>
    <row r="21" spans="1:29" x14ac:dyDescent="0.35">
      <c r="A21" s="1" t="s">
        <v>119</v>
      </c>
      <c r="B21" s="1" t="s">
        <v>116</v>
      </c>
      <c r="C21" s="56">
        <v>42536.352407407401</v>
      </c>
      <c r="D21" s="56">
        <v>42535</v>
      </c>
      <c r="E21" s="56">
        <v>42569</v>
      </c>
      <c r="G21" s="1" t="s">
        <v>72</v>
      </c>
      <c r="H21" s="1" t="s">
        <v>117</v>
      </c>
      <c r="I21" s="1" t="s">
        <v>118</v>
      </c>
      <c r="J21" s="1" t="s">
        <v>120</v>
      </c>
      <c r="M21" s="1">
        <v>8.4000000000000005E-2</v>
      </c>
      <c r="N21" s="1">
        <v>8.8099999999999998E-2</v>
      </c>
      <c r="O21" s="1">
        <v>706.56200000000001</v>
      </c>
      <c r="P21" s="1">
        <v>40983432</v>
      </c>
      <c r="T21" s="1">
        <v>4760</v>
      </c>
      <c r="U21" s="1">
        <v>596494</v>
      </c>
      <c r="V21" s="1">
        <v>712</v>
      </c>
      <c r="W21" s="1">
        <v>692</v>
      </c>
      <c r="X21" s="1">
        <v>-2.81</v>
      </c>
      <c r="Y21" s="1">
        <v>0</v>
      </c>
      <c r="Z21" s="1">
        <v>9410000</v>
      </c>
      <c r="AA21" s="1">
        <v>1</v>
      </c>
      <c r="AB21" s="1">
        <v>1</v>
      </c>
      <c r="AC21" s="33">
        <v>42571</v>
      </c>
    </row>
    <row r="22" spans="1:29" x14ac:dyDescent="0.35">
      <c r="A22" s="1" t="s">
        <v>123</v>
      </c>
      <c r="B22" s="1" t="s">
        <v>121</v>
      </c>
      <c r="C22" s="56">
        <v>41522.484340277799</v>
      </c>
      <c r="D22" s="56">
        <v>41458</v>
      </c>
      <c r="E22" s="56">
        <v>41466.416666666701</v>
      </c>
      <c r="F22" s="1" t="s">
        <v>22</v>
      </c>
      <c r="G22" s="1" t="s">
        <v>35</v>
      </c>
      <c r="H22" s="1" t="s">
        <v>122</v>
      </c>
      <c r="I22" s="1" t="s">
        <v>37</v>
      </c>
      <c r="J22" s="1" t="s">
        <v>124</v>
      </c>
      <c r="K22" s="1">
        <v>294575</v>
      </c>
      <c r="L22" s="1">
        <v>0.11840000000000001</v>
      </c>
      <c r="M22" s="1">
        <v>0.1125</v>
      </c>
      <c r="N22" s="1">
        <v>0.1125</v>
      </c>
      <c r="O22" s="1">
        <v>2305.6030000000001</v>
      </c>
      <c r="P22" s="1">
        <v>700252935</v>
      </c>
      <c r="Q22" s="1">
        <v>294575</v>
      </c>
      <c r="R22" s="1">
        <v>294575</v>
      </c>
      <c r="S22" s="1">
        <v>294575</v>
      </c>
      <c r="T22" s="1">
        <v>1000000</v>
      </c>
      <c r="U22" s="1">
        <v>1000000</v>
      </c>
      <c r="V22" s="1">
        <v>2490</v>
      </c>
      <c r="W22" s="1">
        <v>2468</v>
      </c>
      <c r="X22" s="1">
        <v>-0.88</v>
      </c>
      <c r="Y22" s="1">
        <v>0</v>
      </c>
      <c r="Z22" s="1">
        <v>9500000</v>
      </c>
      <c r="AA22" s="1">
        <v>1</v>
      </c>
      <c r="AB22" s="1">
        <v>1</v>
      </c>
      <c r="AC22" s="33">
        <v>42572</v>
      </c>
    </row>
    <row r="23" spans="1:29" x14ac:dyDescent="0.35">
      <c r="A23" s="1" t="s">
        <v>128</v>
      </c>
      <c r="B23" s="1" t="s">
        <v>125</v>
      </c>
      <c r="C23" s="56">
        <v>42263.389016203699</v>
      </c>
      <c r="D23" s="56">
        <v>42195</v>
      </c>
      <c r="E23" s="56">
        <v>42198</v>
      </c>
      <c r="G23" s="1" t="s">
        <v>126</v>
      </c>
      <c r="H23" s="1" t="s">
        <v>127</v>
      </c>
      <c r="I23" s="1" t="s">
        <v>126</v>
      </c>
      <c r="J23" s="1" t="s">
        <v>129</v>
      </c>
      <c r="M23" s="1">
        <v>0</v>
      </c>
      <c r="N23" s="1">
        <v>0.1022</v>
      </c>
      <c r="O23" s="1">
        <v>240</v>
      </c>
      <c r="P23" s="1">
        <v>38461127</v>
      </c>
      <c r="Q23" s="1">
        <v>89176</v>
      </c>
      <c r="R23" s="1">
        <v>90496</v>
      </c>
      <c r="S23" s="1">
        <v>90496</v>
      </c>
      <c r="T23" s="1">
        <v>89176</v>
      </c>
      <c r="U23" s="1">
        <v>90496</v>
      </c>
      <c r="V23" s="1">
        <v>266</v>
      </c>
      <c r="W23" s="1">
        <v>274</v>
      </c>
      <c r="X23" s="1">
        <v>3.01</v>
      </c>
      <c r="Y23" s="1">
        <v>595000</v>
      </c>
      <c r="Z23" s="1">
        <v>205000</v>
      </c>
      <c r="AA23" s="1">
        <v>-1.90243902439024</v>
      </c>
      <c r="AB23" s="1">
        <v>0.25624999999999998</v>
      </c>
      <c r="AC23" s="33">
        <v>42570</v>
      </c>
    </row>
    <row r="24" spans="1:29" x14ac:dyDescent="0.35">
      <c r="A24" s="1" t="s">
        <v>133</v>
      </c>
      <c r="B24" s="1" t="s">
        <v>130</v>
      </c>
      <c r="C24" s="56">
        <v>42017.432453703703</v>
      </c>
      <c r="D24" s="56">
        <v>40933</v>
      </c>
      <c r="E24" s="56">
        <v>40931.416666666701</v>
      </c>
      <c r="F24" s="1" t="s">
        <v>22</v>
      </c>
      <c r="G24" s="1" t="s">
        <v>23</v>
      </c>
      <c r="H24" s="1" t="s">
        <v>131</v>
      </c>
      <c r="I24" s="1" t="s">
        <v>132</v>
      </c>
      <c r="J24" s="1" t="s">
        <v>134</v>
      </c>
      <c r="K24" s="1">
        <v>490068</v>
      </c>
      <c r="L24" s="1">
        <v>0.34560000000000002</v>
      </c>
      <c r="M24" s="1">
        <v>0.28999999999999998</v>
      </c>
      <c r="N24" s="1">
        <v>0.98</v>
      </c>
      <c r="O24" s="1">
        <v>5001</v>
      </c>
      <c r="P24" s="1">
        <v>5420661401</v>
      </c>
      <c r="Q24" s="1">
        <v>488693</v>
      </c>
      <c r="R24" s="1">
        <v>488693</v>
      </c>
      <c r="S24" s="1">
        <v>488693</v>
      </c>
      <c r="T24" s="1">
        <v>5500000</v>
      </c>
      <c r="U24" s="1">
        <v>5500000</v>
      </c>
      <c r="V24" s="1">
        <v>4201</v>
      </c>
      <c r="W24" s="1">
        <v>5035</v>
      </c>
      <c r="X24" s="1">
        <v>19.850000000000001</v>
      </c>
      <c r="Y24" s="1">
        <v>0</v>
      </c>
      <c r="Z24" s="1">
        <v>68415000</v>
      </c>
      <c r="AA24" s="1">
        <v>1</v>
      </c>
      <c r="AB24" s="1">
        <v>1</v>
      </c>
      <c r="AC24" s="33">
        <v>42572</v>
      </c>
    </row>
    <row r="25" spans="1:29" x14ac:dyDescent="0.35">
      <c r="A25" s="1" t="s">
        <v>137</v>
      </c>
      <c r="B25" s="1" t="s">
        <v>135</v>
      </c>
      <c r="C25" s="56">
        <v>42453.6401736111</v>
      </c>
      <c r="D25" s="56">
        <v>42346</v>
      </c>
      <c r="E25" s="56">
        <v>42380.416666666701</v>
      </c>
      <c r="G25" s="1" t="s">
        <v>74</v>
      </c>
      <c r="H25" s="1" t="s">
        <v>136</v>
      </c>
      <c r="I25" s="1" t="s">
        <v>74</v>
      </c>
      <c r="J25" s="1" t="s">
        <v>138</v>
      </c>
      <c r="M25" s="1">
        <v>9.0800000000000006E-2</v>
      </c>
      <c r="N25" s="1">
        <v>9.0800000000000006E-2</v>
      </c>
      <c r="O25" s="1">
        <v>1397.711</v>
      </c>
      <c r="P25" s="1">
        <v>278250076</v>
      </c>
      <c r="Q25" s="1">
        <v>178318</v>
      </c>
      <c r="R25" s="1">
        <v>364488</v>
      </c>
      <c r="S25" s="1">
        <v>364488</v>
      </c>
      <c r="T25" s="1">
        <v>1200000</v>
      </c>
      <c r="U25" s="1">
        <v>1200000</v>
      </c>
      <c r="V25" s="1">
        <v>1328</v>
      </c>
      <c r="W25" s="1">
        <v>1438</v>
      </c>
      <c r="X25" s="1">
        <v>8.2799999999999994</v>
      </c>
      <c r="Y25" s="1">
        <v>0</v>
      </c>
      <c r="Z25" s="1">
        <v>9500000</v>
      </c>
      <c r="AA25" s="1">
        <v>1</v>
      </c>
      <c r="AB25" s="1">
        <v>1</v>
      </c>
      <c r="AC25" s="33">
        <v>42571</v>
      </c>
    </row>
    <row r="26" spans="1:29" x14ac:dyDescent="0.35">
      <c r="A26" s="1" t="s">
        <v>142</v>
      </c>
      <c r="B26" s="1" t="s">
        <v>139</v>
      </c>
      <c r="C26" s="56">
        <v>40909</v>
      </c>
      <c r="D26" s="56">
        <v>40547</v>
      </c>
      <c r="E26" s="56">
        <v>40567</v>
      </c>
      <c r="F26" s="1" t="s">
        <v>22</v>
      </c>
      <c r="G26" s="1" t="s">
        <v>140</v>
      </c>
      <c r="H26" s="1" t="s">
        <v>141</v>
      </c>
      <c r="I26" s="1" t="s">
        <v>52</v>
      </c>
      <c r="J26" s="1" t="s">
        <v>143</v>
      </c>
      <c r="K26" s="1">
        <v>2637906</v>
      </c>
      <c r="L26" s="1">
        <v>0.29670000000000002</v>
      </c>
      <c r="M26" s="1">
        <v>0.28999999999999998</v>
      </c>
      <c r="N26" s="1">
        <v>0.2918</v>
      </c>
      <c r="O26" s="1">
        <v>4609.96</v>
      </c>
      <c r="P26" s="1">
        <v>990785817</v>
      </c>
      <c r="Q26" s="1">
        <v>2637906</v>
      </c>
      <c r="R26" s="1">
        <v>2637906</v>
      </c>
      <c r="S26" s="1">
        <v>2637906</v>
      </c>
      <c r="T26" s="1">
        <v>3000000</v>
      </c>
      <c r="U26" s="1">
        <v>3000000</v>
      </c>
      <c r="V26" s="1">
        <v>4951</v>
      </c>
      <c r="W26" s="1">
        <v>4963</v>
      </c>
      <c r="X26" s="1">
        <v>0.24</v>
      </c>
      <c r="Y26" s="1">
        <v>0</v>
      </c>
      <c r="Z26" s="1">
        <v>42665000</v>
      </c>
      <c r="AA26" s="1">
        <v>1</v>
      </c>
      <c r="AB26" s="1">
        <v>1</v>
      </c>
      <c r="AC26" s="33">
        <v>42573</v>
      </c>
    </row>
    <row r="27" spans="1:29" x14ac:dyDescent="0.35">
      <c r="A27" s="1" t="s">
        <v>142</v>
      </c>
      <c r="B27" s="1" t="s">
        <v>139</v>
      </c>
      <c r="C27" s="56">
        <v>41733.4191782407</v>
      </c>
      <c r="D27" s="56">
        <v>41648</v>
      </c>
      <c r="E27" s="56">
        <v>41666</v>
      </c>
      <c r="F27" s="1" t="s">
        <v>22</v>
      </c>
      <c r="G27" s="1" t="s">
        <v>148</v>
      </c>
      <c r="H27" s="1" t="s">
        <v>149</v>
      </c>
      <c r="I27" s="1" t="s">
        <v>31</v>
      </c>
      <c r="J27" s="1" t="s">
        <v>150</v>
      </c>
      <c r="K27" s="1">
        <v>1495775</v>
      </c>
      <c r="L27" s="1">
        <v>0.29670000000000002</v>
      </c>
      <c r="M27" s="1">
        <v>0.28999999999999998</v>
      </c>
      <c r="N27" s="1">
        <v>0.2918</v>
      </c>
      <c r="O27" s="1">
        <v>4609.96</v>
      </c>
      <c r="P27" s="1">
        <v>990785817</v>
      </c>
      <c r="Q27" s="1">
        <v>1490775</v>
      </c>
      <c r="R27" s="1">
        <v>1495775</v>
      </c>
      <c r="S27" s="1">
        <v>1495775</v>
      </c>
      <c r="T27" s="1">
        <v>2000000</v>
      </c>
      <c r="U27" s="1">
        <v>4000000</v>
      </c>
      <c r="V27" s="1">
        <v>4951</v>
      </c>
      <c r="W27" s="1">
        <v>4963</v>
      </c>
      <c r="X27" s="1">
        <v>0.24</v>
      </c>
      <c r="Y27" s="1">
        <v>0</v>
      </c>
      <c r="Z27" s="1">
        <v>22785000</v>
      </c>
      <c r="AA27" s="1">
        <v>1</v>
      </c>
      <c r="AB27" s="1">
        <v>1</v>
      </c>
      <c r="AC27" s="33">
        <v>42572</v>
      </c>
    </row>
    <row r="28" spans="1:29" x14ac:dyDescent="0.35">
      <c r="A28" s="1" t="s">
        <v>142</v>
      </c>
      <c r="B28" s="1" t="s">
        <v>139</v>
      </c>
      <c r="C28" s="56">
        <v>40909</v>
      </c>
      <c r="D28" s="56">
        <v>40710</v>
      </c>
      <c r="E28" s="56">
        <v>40714</v>
      </c>
      <c r="F28" s="1" t="s">
        <v>22</v>
      </c>
      <c r="G28" s="1" t="s">
        <v>144</v>
      </c>
      <c r="H28" s="1" t="s">
        <v>145</v>
      </c>
      <c r="I28" s="1" t="s">
        <v>146</v>
      </c>
      <c r="J28" s="1" t="s">
        <v>147</v>
      </c>
      <c r="K28" s="1">
        <v>543126</v>
      </c>
      <c r="L28" s="1">
        <v>0.29670000000000002</v>
      </c>
      <c r="M28" s="1">
        <v>0.28999999999999998</v>
      </c>
      <c r="N28" s="1">
        <v>0.2918</v>
      </c>
      <c r="O28" s="1">
        <v>4609.96</v>
      </c>
      <c r="P28" s="1">
        <v>990785817</v>
      </c>
      <c r="Q28" s="1">
        <v>541542</v>
      </c>
      <c r="R28" s="1">
        <v>541542</v>
      </c>
      <c r="S28" s="1">
        <v>541542</v>
      </c>
      <c r="T28" s="1">
        <v>1000000</v>
      </c>
      <c r="U28" s="1">
        <v>1000000</v>
      </c>
      <c r="V28" s="1">
        <v>4951</v>
      </c>
      <c r="W28" s="1">
        <v>4963</v>
      </c>
      <c r="X28" s="1">
        <v>0.24</v>
      </c>
      <c r="Y28" s="1">
        <v>0</v>
      </c>
      <c r="Z28" s="1">
        <v>7200000</v>
      </c>
      <c r="AA28" s="1">
        <v>1</v>
      </c>
      <c r="AB28" s="1">
        <v>1</v>
      </c>
      <c r="AC28" s="33">
        <v>42573</v>
      </c>
    </row>
    <row r="29" spans="1:29" x14ac:dyDescent="0.35">
      <c r="A29" s="1" t="s">
        <v>799</v>
      </c>
      <c r="B29" s="1" t="s">
        <v>735</v>
      </c>
      <c r="D29" s="56">
        <v>42198</v>
      </c>
      <c r="E29" s="56">
        <v>40485</v>
      </c>
      <c r="G29" s="1" t="s">
        <v>194</v>
      </c>
      <c r="H29" s="1" t="s">
        <v>801</v>
      </c>
      <c r="I29" s="1" t="s">
        <v>126</v>
      </c>
      <c r="J29" s="1" t="s">
        <v>886</v>
      </c>
      <c r="T29" s="1">
        <v>264500</v>
      </c>
      <c r="U29" s="1">
        <v>264500</v>
      </c>
      <c r="Y29" s="1">
        <v>1054800</v>
      </c>
      <c r="Z29" s="1">
        <v>6945200</v>
      </c>
      <c r="AA29" s="1">
        <v>0.84812532396475304</v>
      </c>
      <c r="AB29" s="1">
        <v>0.86814999999999998</v>
      </c>
      <c r="AC29" s="33">
        <v>42570</v>
      </c>
    </row>
    <row r="30" spans="1:29" x14ac:dyDescent="0.35">
      <c r="A30" s="1" t="s">
        <v>154</v>
      </c>
      <c r="B30" s="1" t="s">
        <v>151</v>
      </c>
      <c r="C30" s="56">
        <v>40909</v>
      </c>
      <c r="D30" s="56">
        <v>40645</v>
      </c>
      <c r="E30" s="56">
        <v>40651</v>
      </c>
      <c r="F30" s="1" t="s">
        <v>152</v>
      </c>
      <c r="G30" s="1" t="s">
        <v>50</v>
      </c>
      <c r="H30" s="1" t="s">
        <v>153</v>
      </c>
      <c r="I30" s="1" t="s">
        <v>52</v>
      </c>
      <c r="J30" s="1" t="s">
        <v>155</v>
      </c>
      <c r="K30" s="1">
        <v>75350</v>
      </c>
      <c r="L30" s="1">
        <v>5.4100000000000002E-2</v>
      </c>
      <c r="M30" s="1">
        <v>7.0099999999999996E-2</v>
      </c>
      <c r="N30" s="1">
        <v>0.1545</v>
      </c>
      <c r="O30" s="1">
        <v>140</v>
      </c>
      <c r="P30" s="1">
        <v>120042058</v>
      </c>
      <c r="Q30" s="1">
        <v>76419</v>
      </c>
      <c r="R30" s="1">
        <v>75350</v>
      </c>
      <c r="S30" s="1">
        <v>76419</v>
      </c>
      <c r="T30" s="1">
        <v>82250</v>
      </c>
      <c r="U30" s="1">
        <v>80250</v>
      </c>
      <c r="V30" s="1">
        <v>167</v>
      </c>
      <c r="W30" s="1">
        <v>149</v>
      </c>
      <c r="X30" s="1">
        <v>-10.78</v>
      </c>
      <c r="Y30" s="1">
        <v>0</v>
      </c>
      <c r="Z30" s="1">
        <v>0</v>
      </c>
      <c r="AA30" s="1">
        <v>0</v>
      </c>
      <c r="AB30" s="1">
        <v>0</v>
      </c>
      <c r="AC30" s="33">
        <v>42572</v>
      </c>
    </row>
    <row r="31" spans="1:29" x14ac:dyDescent="0.35">
      <c r="A31" s="1" t="s">
        <v>158</v>
      </c>
      <c r="B31" s="1" t="s">
        <v>156</v>
      </c>
      <c r="C31" s="56">
        <v>42111.427094907398</v>
      </c>
      <c r="D31" s="55">
        <v>42352</v>
      </c>
      <c r="E31" s="56">
        <v>42053</v>
      </c>
      <c r="G31" s="1" t="s">
        <v>60</v>
      </c>
      <c r="H31" s="1" t="s">
        <v>162</v>
      </c>
      <c r="I31" s="1" t="s">
        <v>60</v>
      </c>
      <c r="J31" s="1" t="s">
        <v>163</v>
      </c>
      <c r="M31" s="1">
        <v>0.28999999999999998</v>
      </c>
      <c r="N31" s="1">
        <v>0.3584</v>
      </c>
      <c r="O31" s="1">
        <v>3189</v>
      </c>
      <c r="P31" s="1">
        <v>719873078</v>
      </c>
      <c r="Q31" s="1">
        <v>412000</v>
      </c>
      <c r="R31" s="1">
        <v>615000</v>
      </c>
      <c r="S31" s="1">
        <v>615000</v>
      </c>
      <c r="V31" s="1">
        <v>2278</v>
      </c>
      <c r="W31" s="1">
        <v>3040</v>
      </c>
      <c r="X31" s="1">
        <v>33.450000000000003</v>
      </c>
    </row>
    <row r="32" spans="1:29" x14ac:dyDescent="0.35">
      <c r="A32" s="1" t="s">
        <v>158</v>
      </c>
      <c r="B32" s="1" t="s">
        <v>156</v>
      </c>
      <c r="C32" s="56">
        <v>42419.304305555597</v>
      </c>
      <c r="D32" s="56">
        <v>42352</v>
      </c>
      <c r="E32" s="56">
        <v>42354</v>
      </c>
      <c r="G32" s="1" t="s">
        <v>74</v>
      </c>
      <c r="H32" s="1" t="s">
        <v>164</v>
      </c>
      <c r="I32" s="1" t="s">
        <v>74</v>
      </c>
      <c r="J32" s="1" t="s">
        <v>165</v>
      </c>
      <c r="M32" s="1">
        <v>0.28999999999999998</v>
      </c>
      <c r="N32" s="1">
        <v>0.3584</v>
      </c>
      <c r="O32" s="1">
        <v>3189</v>
      </c>
      <c r="P32" s="1">
        <v>719873078</v>
      </c>
      <c r="Q32" s="1">
        <v>419300</v>
      </c>
      <c r="R32" s="1">
        <v>628950</v>
      </c>
      <c r="S32" s="1">
        <v>628950</v>
      </c>
      <c r="T32" s="1">
        <v>14000000</v>
      </c>
      <c r="U32" s="1">
        <v>1400000</v>
      </c>
      <c r="V32" s="1">
        <v>2278</v>
      </c>
      <c r="W32" s="1">
        <v>3040</v>
      </c>
      <c r="X32" s="1">
        <v>33.450000000000003</v>
      </c>
      <c r="Y32" s="1">
        <v>0</v>
      </c>
      <c r="Z32" s="1">
        <v>16055000</v>
      </c>
      <c r="AA32" s="1">
        <v>1</v>
      </c>
      <c r="AB32" s="1">
        <v>1</v>
      </c>
      <c r="AC32" s="33">
        <v>42571</v>
      </c>
    </row>
    <row r="33" spans="1:29" x14ac:dyDescent="0.35">
      <c r="A33" s="1" t="s">
        <v>158</v>
      </c>
      <c r="B33" s="1" t="s">
        <v>156</v>
      </c>
      <c r="C33" s="56">
        <v>40909</v>
      </c>
      <c r="D33" s="56">
        <v>40686</v>
      </c>
      <c r="E33" s="56">
        <v>40686</v>
      </c>
      <c r="G33" s="1" t="s">
        <v>50</v>
      </c>
      <c r="H33" s="1" t="s">
        <v>157</v>
      </c>
      <c r="I33" s="1" t="s">
        <v>52</v>
      </c>
      <c r="J33" s="1" t="s">
        <v>159</v>
      </c>
      <c r="M33" s="1">
        <v>0.28999999999999998</v>
      </c>
      <c r="N33" s="1">
        <v>0.3584</v>
      </c>
      <c r="O33" s="1">
        <v>3189</v>
      </c>
      <c r="P33" s="1">
        <v>719873078</v>
      </c>
      <c r="Q33" s="1">
        <v>156800</v>
      </c>
      <c r="R33" s="1">
        <v>156800</v>
      </c>
      <c r="S33" s="1">
        <v>156800</v>
      </c>
      <c r="T33" s="1">
        <v>2000000</v>
      </c>
      <c r="U33" s="1">
        <v>2000000</v>
      </c>
      <c r="V33" s="1">
        <v>2278</v>
      </c>
      <c r="W33" s="1">
        <v>3040</v>
      </c>
      <c r="X33" s="1">
        <v>33.450000000000003</v>
      </c>
      <c r="Y33" s="1">
        <v>0</v>
      </c>
      <c r="Z33" s="1">
        <v>75000000</v>
      </c>
      <c r="AA33" s="1">
        <v>1</v>
      </c>
      <c r="AB33" s="1">
        <v>1</v>
      </c>
      <c r="AC33" s="33">
        <v>42572</v>
      </c>
    </row>
    <row r="34" spans="1:29" x14ac:dyDescent="0.35">
      <c r="A34" s="1" t="s">
        <v>158</v>
      </c>
      <c r="B34" s="1" t="s">
        <v>156</v>
      </c>
      <c r="C34" s="56">
        <v>41222.398356481499</v>
      </c>
      <c r="D34" s="56">
        <v>41113</v>
      </c>
      <c r="E34" s="56">
        <v>41116</v>
      </c>
      <c r="F34" s="1" t="s">
        <v>22</v>
      </c>
      <c r="G34" s="1" t="s">
        <v>23</v>
      </c>
      <c r="H34" s="1" t="s">
        <v>160</v>
      </c>
      <c r="I34" s="1" t="s">
        <v>25</v>
      </c>
      <c r="J34" s="1" t="s">
        <v>161</v>
      </c>
      <c r="K34" s="1">
        <v>107088</v>
      </c>
      <c r="L34" s="1">
        <v>0.41720000000000002</v>
      </c>
      <c r="M34" s="1">
        <v>0.28999999999999998</v>
      </c>
      <c r="N34" s="1">
        <v>0.3584</v>
      </c>
      <c r="O34" s="1">
        <v>3189</v>
      </c>
      <c r="P34" s="1">
        <v>719873078</v>
      </c>
      <c r="Q34" s="1">
        <v>107088</v>
      </c>
      <c r="R34" s="1">
        <v>107088</v>
      </c>
      <c r="S34" s="1">
        <v>107088</v>
      </c>
      <c r="T34" s="1">
        <v>200000</v>
      </c>
      <c r="U34" s="1">
        <v>200000</v>
      </c>
      <c r="V34" s="1">
        <v>2278</v>
      </c>
      <c r="W34" s="1">
        <v>3040</v>
      </c>
      <c r="X34" s="1">
        <v>33.450000000000003</v>
      </c>
      <c r="Y34" s="1">
        <v>0</v>
      </c>
      <c r="Z34" s="1">
        <v>3500000</v>
      </c>
      <c r="AA34" s="1">
        <v>1</v>
      </c>
      <c r="AB34" s="1">
        <v>1</v>
      </c>
    </row>
    <row r="35" spans="1:29" x14ac:dyDescent="0.35">
      <c r="A35" s="1" t="s">
        <v>168</v>
      </c>
      <c r="B35" s="1" t="s">
        <v>166</v>
      </c>
      <c r="C35" s="56">
        <v>42453.6401736111</v>
      </c>
      <c r="D35" s="56">
        <v>42388</v>
      </c>
      <c r="E35" s="56">
        <v>42389.416666666701</v>
      </c>
      <c r="G35" s="1" t="s">
        <v>86</v>
      </c>
      <c r="H35" s="1" t="s">
        <v>167</v>
      </c>
      <c r="I35" s="1" t="s">
        <v>86</v>
      </c>
      <c r="J35" s="1" t="s">
        <v>169</v>
      </c>
      <c r="M35" s="1">
        <v>0.28999999999999998</v>
      </c>
      <c r="N35" s="1">
        <v>0.44280000000000003</v>
      </c>
      <c r="O35" s="1">
        <v>2332.8000000000002</v>
      </c>
      <c r="P35" s="1">
        <v>843188022</v>
      </c>
      <c r="Q35" s="1">
        <v>767102</v>
      </c>
      <c r="R35" s="1">
        <v>1315031</v>
      </c>
      <c r="S35" s="1">
        <v>1315031</v>
      </c>
      <c r="T35" s="1">
        <v>7500000</v>
      </c>
      <c r="U35" s="1">
        <v>7500000</v>
      </c>
      <c r="V35" s="1">
        <v>1952</v>
      </c>
      <c r="W35" s="1">
        <v>2348</v>
      </c>
      <c r="X35" s="1">
        <v>20.29</v>
      </c>
      <c r="Y35" s="1">
        <v>0</v>
      </c>
      <c r="Z35" s="1">
        <v>20000000</v>
      </c>
      <c r="AA35" s="1">
        <v>1</v>
      </c>
      <c r="AB35" s="1">
        <v>1</v>
      </c>
      <c r="AC35" s="33">
        <v>42571</v>
      </c>
    </row>
    <row r="36" spans="1:29" x14ac:dyDescent="0.35">
      <c r="A36" s="1" t="s">
        <v>172</v>
      </c>
      <c r="B36" s="1" t="s">
        <v>170</v>
      </c>
      <c r="C36" s="56">
        <v>42536.352407407401</v>
      </c>
      <c r="D36" s="56">
        <v>42510</v>
      </c>
      <c r="E36" s="56">
        <v>42514</v>
      </c>
      <c r="G36" s="1" t="s">
        <v>182</v>
      </c>
      <c r="H36" s="1" t="s">
        <v>183</v>
      </c>
      <c r="I36" s="1" t="s">
        <v>182</v>
      </c>
      <c r="J36" s="1" t="s">
        <v>184</v>
      </c>
      <c r="M36" s="1">
        <v>0.28999999999999998</v>
      </c>
      <c r="N36" s="1">
        <v>0.61980000000000002</v>
      </c>
      <c r="O36" s="1">
        <v>54802</v>
      </c>
      <c r="P36" s="1">
        <v>24705531490</v>
      </c>
      <c r="R36" s="1">
        <v>11277100</v>
      </c>
      <c r="S36" s="1">
        <v>11277100</v>
      </c>
      <c r="T36" s="1">
        <v>0</v>
      </c>
      <c r="U36" s="1">
        <v>30000000</v>
      </c>
      <c r="V36" s="1">
        <v>37043</v>
      </c>
      <c r="W36" s="1">
        <v>53130</v>
      </c>
      <c r="X36" s="1">
        <v>43.43</v>
      </c>
      <c r="Y36" s="1">
        <v>0</v>
      </c>
      <c r="Z36" s="1">
        <v>105000000</v>
      </c>
      <c r="AA36" s="1">
        <v>1</v>
      </c>
      <c r="AB36" s="1">
        <v>1</v>
      </c>
      <c r="AC36" s="33">
        <v>42570</v>
      </c>
    </row>
    <row r="37" spans="1:29" x14ac:dyDescent="0.35">
      <c r="A37" s="1" t="s">
        <v>172</v>
      </c>
      <c r="B37" s="1" t="s">
        <v>170</v>
      </c>
      <c r="C37" s="56">
        <v>42419.304305555597</v>
      </c>
      <c r="D37" s="56">
        <v>42313</v>
      </c>
      <c r="E37" s="56">
        <v>42318.416666666701</v>
      </c>
      <c r="G37" s="1" t="s">
        <v>179</v>
      </c>
      <c r="H37" s="1" t="s">
        <v>180</v>
      </c>
      <c r="I37" s="1" t="s">
        <v>179</v>
      </c>
      <c r="J37" s="1" t="s">
        <v>181</v>
      </c>
      <c r="M37" s="1">
        <v>0.28999999999999998</v>
      </c>
      <c r="N37" s="1">
        <v>0.61980000000000002</v>
      </c>
      <c r="O37" s="1">
        <v>54802</v>
      </c>
      <c r="P37" s="1">
        <v>24705531490</v>
      </c>
      <c r="Q37" s="1">
        <v>1980206</v>
      </c>
      <c r="R37" s="1">
        <v>3905275</v>
      </c>
      <c r="S37" s="1">
        <v>3905275</v>
      </c>
      <c r="T37" s="1">
        <v>3700000</v>
      </c>
      <c r="U37" s="1">
        <v>8000000</v>
      </c>
      <c r="V37" s="1">
        <v>37043</v>
      </c>
      <c r="W37" s="1">
        <v>53130</v>
      </c>
      <c r="X37" s="1">
        <v>43.43</v>
      </c>
      <c r="Y37" s="1">
        <v>0</v>
      </c>
      <c r="Z37" s="1">
        <v>70000000</v>
      </c>
      <c r="AA37" s="1">
        <v>1</v>
      </c>
      <c r="AB37" s="1">
        <v>1</v>
      </c>
      <c r="AC37" s="33">
        <v>42570</v>
      </c>
    </row>
    <row r="38" spans="1:29" x14ac:dyDescent="0.35">
      <c r="A38" s="1" t="s">
        <v>172</v>
      </c>
      <c r="B38" s="1" t="s">
        <v>170</v>
      </c>
      <c r="C38" s="56">
        <v>41864.4977083333</v>
      </c>
      <c r="D38" s="56">
        <v>41779</v>
      </c>
      <c r="E38" s="56">
        <v>41780.458333333299</v>
      </c>
      <c r="F38" s="1" t="s">
        <v>22</v>
      </c>
      <c r="G38" s="1" t="s">
        <v>729</v>
      </c>
      <c r="H38" s="1" t="s">
        <v>171</v>
      </c>
      <c r="I38" s="1" t="s">
        <v>42</v>
      </c>
      <c r="J38" s="1" t="s">
        <v>173</v>
      </c>
      <c r="K38" s="1">
        <v>6576300</v>
      </c>
      <c r="L38" s="1">
        <v>0.49340000000000001</v>
      </c>
      <c r="M38" s="1">
        <v>0.28999999999999998</v>
      </c>
      <c r="N38" s="1">
        <v>0.61980000000000002</v>
      </c>
      <c r="O38" s="1">
        <v>54802</v>
      </c>
      <c r="P38" s="1">
        <v>24705531490</v>
      </c>
      <c r="Q38" s="1">
        <v>6572250</v>
      </c>
      <c r="R38" s="1">
        <v>6576300</v>
      </c>
      <c r="S38" s="1">
        <v>6576300</v>
      </c>
      <c r="T38" s="1">
        <v>13500000</v>
      </c>
      <c r="U38" s="1">
        <v>13500000</v>
      </c>
      <c r="V38" s="1">
        <v>37043</v>
      </c>
      <c r="W38" s="1">
        <v>53130</v>
      </c>
      <c r="X38" s="1">
        <v>43.43</v>
      </c>
      <c r="Y38" s="1">
        <v>0</v>
      </c>
      <c r="Z38" s="1">
        <v>111305000</v>
      </c>
      <c r="AA38" s="1">
        <v>1</v>
      </c>
      <c r="AB38" s="1">
        <v>1</v>
      </c>
      <c r="AC38" s="33">
        <v>42572</v>
      </c>
    </row>
    <row r="39" spans="1:29" x14ac:dyDescent="0.35">
      <c r="A39" s="1" t="s">
        <v>172</v>
      </c>
      <c r="B39" s="1" t="s">
        <v>170</v>
      </c>
      <c r="C39" s="56">
        <v>42237.624247685198</v>
      </c>
      <c r="D39" s="56">
        <v>42138</v>
      </c>
      <c r="E39" s="56">
        <v>42144</v>
      </c>
      <c r="F39" s="1" t="s">
        <v>22</v>
      </c>
      <c r="G39" s="1" t="s">
        <v>176</v>
      </c>
      <c r="H39" s="1" t="s">
        <v>177</v>
      </c>
      <c r="I39" s="1" t="s">
        <v>98</v>
      </c>
      <c r="J39" s="1" t="s">
        <v>178</v>
      </c>
      <c r="K39" s="1">
        <v>0</v>
      </c>
      <c r="L39" s="1">
        <v>0.49340000000000001</v>
      </c>
      <c r="M39" s="1">
        <v>0.28999999999999998</v>
      </c>
      <c r="N39" s="1">
        <v>0.61980000000000002</v>
      </c>
      <c r="O39" s="1">
        <v>54802</v>
      </c>
      <c r="P39" s="1">
        <v>24705531490</v>
      </c>
      <c r="Q39" s="1">
        <v>8650007</v>
      </c>
      <c r="R39" s="1">
        <v>10461538</v>
      </c>
      <c r="S39" s="1">
        <v>10461538</v>
      </c>
      <c r="T39" s="1">
        <v>11000000</v>
      </c>
      <c r="U39" s="1">
        <v>11000000</v>
      </c>
      <c r="V39" s="1">
        <v>37043</v>
      </c>
      <c r="W39" s="1">
        <v>53130</v>
      </c>
      <c r="X39" s="1">
        <v>43.43</v>
      </c>
      <c r="Y39" s="1">
        <v>0</v>
      </c>
      <c r="Z39" s="1">
        <v>95000000</v>
      </c>
      <c r="AA39" s="1">
        <v>1</v>
      </c>
      <c r="AB39" s="1">
        <v>1</v>
      </c>
      <c r="AC39" s="33">
        <v>42570</v>
      </c>
    </row>
    <row r="40" spans="1:29" x14ac:dyDescent="0.35">
      <c r="A40" s="1" t="s">
        <v>172</v>
      </c>
      <c r="B40" s="1" t="s">
        <v>170</v>
      </c>
      <c r="C40" s="56">
        <v>42017.432453703703</v>
      </c>
      <c r="D40" s="56">
        <v>41943</v>
      </c>
      <c r="E40" s="56">
        <v>41948.416666666701</v>
      </c>
      <c r="F40" s="1" t="s">
        <v>22</v>
      </c>
      <c r="G40" s="1" t="s">
        <v>29</v>
      </c>
      <c r="H40" s="1" t="s">
        <v>174</v>
      </c>
      <c r="I40" s="1" t="s">
        <v>31</v>
      </c>
      <c r="J40" s="1" t="s">
        <v>175</v>
      </c>
      <c r="K40" s="1">
        <v>0</v>
      </c>
      <c r="L40" s="1">
        <v>0.49340000000000001</v>
      </c>
      <c r="M40" s="1">
        <v>0.28999999999999998</v>
      </c>
      <c r="N40" s="1">
        <v>0.61980000000000002</v>
      </c>
      <c r="O40" s="1">
        <v>54802</v>
      </c>
      <c r="P40" s="1">
        <v>24705531490</v>
      </c>
      <c r="Q40" s="1">
        <v>9416400</v>
      </c>
      <c r="R40" s="1">
        <v>9409150</v>
      </c>
      <c r="S40" s="1">
        <v>9416400</v>
      </c>
      <c r="T40" s="1">
        <v>20000000</v>
      </c>
      <c r="U40" s="1">
        <v>20000000</v>
      </c>
      <c r="V40" s="1">
        <v>37043</v>
      </c>
      <c r="W40" s="1">
        <v>53130</v>
      </c>
      <c r="X40" s="1">
        <v>43.43</v>
      </c>
      <c r="Y40" s="1">
        <v>0</v>
      </c>
      <c r="Z40" s="1">
        <v>170000000</v>
      </c>
      <c r="AA40" s="1">
        <v>1</v>
      </c>
      <c r="AB40" s="1">
        <v>1</v>
      </c>
      <c r="AC40" s="33">
        <v>42572</v>
      </c>
    </row>
    <row r="41" spans="1:29" x14ac:dyDescent="0.35">
      <c r="A41" s="1" t="s">
        <v>188</v>
      </c>
      <c r="B41" s="1" t="s">
        <v>185</v>
      </c>
      <c r="C41" s="56">
        <v>42263.389016203699</v>
      </c>
      <c r="D41" s="56">
        <v>42209</v>
      </c>
      <c r="E41" s="56">
        <v>42215</v>
      </c>
      <c r="F41" s="1" t="s">
        <v>152</v>
      </c>
      <c r="G41" s="1" t="s">
        <v>186</v>
      </c>
      <c r="H41" s="1" t="s">
        <v>187</v>
      </c>
      <c r="I41" s="1" t="s">
        <v>186</v>
      </c>
      <c r="J41" s="1" t="s">
        <v>189</v>
      </c>
      <c r="M41" s="1">
        <v>0.28999999999999998</v>
      </c>
      <c r="N41" s="1">
        <v>0.67530000000000001</v>
      </c>
      <c r="O41" s="1">
        <v>23683.868999999999</v>
      </c>
      <c r="P41" s="1">
        <v>11216724574</v>
      </c>
      <c r="Q41" s="1">
        <v>10602220</v>
      </c>
      <c r="R41" s="1">
        <v>3667575</v>
      </c>
      <c r="S41" s="1">
        <v>10602220</v>
      </c>
      <c r="T41" s="1">
        <v>10321416</v>
      </c>
      <c r="U41" s="1">
        <v>3601600</v>
      </c>
      <c r="V41" s="1">
        <v>24261</v>
      </c>
      <c r="W41" s="1">
        <v>24622</v>
      </c>
      <c r="X41" s="1">
        <v>1.49</v>
      </c>
      <c r="Y41" s="1">
        <v>4923468</v>
      </c>
      <c r="Z41" s="1">
        <v>28721532</v>
      </c>
      <c r="AA41" s="1">
        <v>0.82857919974463801</v>
      </c>
      <c r="AB41" s="1">
        <v>0.85366419973250096</v>
      </c>
      <c r="AC41" s="33">
        <v>42570</v>
      </c>
    </row>
    <row r="42" spans="1:29" x14ac:dyDescent="0.35">
      <c r="A42" s="1" t="s">
        <v>192</v>
      </c>
      <c r="B42" s="1" t="s">
        <v>190</v>
      </c>
      <c r="C42" s="56">
        <v>41488.491990740702</v>
      </c>
      <c r="D42" s="56">
        <v>41424</v>
      </c>
      <c r="E42" s="56">
        <v>41431</v>
      </c>
      <c r="F42" s="1" t="s">
        <v>22</v>
      </c>
      <c r="G42" s="1" t="s">
        <v>35</v>
      </c>
      <c r="H42" s="1" t="s">
        <v>191</v>
      </c>
      <c r="I42" s="1" t="s">
        <v>37</v>
      </c>
      <c r="J42" s="1" t="s">
        <v>193</v>
      </c>
      <c r="M42" s="1">
        <v>0.28999999999999998</v>
      </c>
      <c r="N42" s="1">
        <v>0.3488</v>
      </c>
      <c r="O42" s="1">
        <v>2314.4929999999999</v>
      </c>
      <c r="P42" s="1">
        <v>661641200</v>
      </c>
      <c r="Q42" s="1">
        <v>792650</v>
      </c>
      <c r="R42" s="1">
        <v>832650</v>
      </c>
      <c r="S42" s="1">
        <v>832650</v>
      </c>
      <c r="T42" s="1">
        <v>2000000</v>
      </c>
      <c r="U42" s="1">
        <v>2000000</v>
      </c>
      <c r="V42" s="1">
        <v>1450</v>
      </c>
      <c r="W42" s="1">
        <v>2327</v>
      </c>
      <c r="X42" s="1">
        <v>60.48</v>
      </c>
      <c r="Y42" s="1">
        <v>0</v>
      </c>
      <c r="Z42" s="1">
        <v>18500000</v>
      </c>
      <c r="AA42" s="1">
        <v>1</v>
      </c>
      <c r="AB42" s="1">
        <v>1</v>
      </c>
      <c r="AC42" s="33">
        <v>42572</v>
      </c>
    </row>
    <row r="43" spans="1:29" x14ac:dyDescent="0.35">
      <c r="A43" s="1" t="s">
        <v>192</v>
      </c>
      <c r="B43" s="1" t="s">
        <v>190</v>
      </c>
      <c r="C43" s="56">
        <v>42152.5796527778</v>
      </c>
      <c r="D43" s="56">
        <v>42109</v>
      </c>
      <c r="E43" s="56">
        <v>42114</v>
      </c>
      <c r="F43" s="1" t="s">
        <v>22</v>
      </c>
      <c r="G43" s="1" t="s">
        <v>194</v>
      </c>
      <c r="H43" s="1" t="s">
        <v>195</v>
      </c>
      <c r="I43" s="1" t="s">
        <v>98</v>
      </c>
      <c r="J43" s="1" t="s">
        <v>196</v>
      </c>
      <c r="K43" s="1">
        <v>796500</v>
      </c>
      <c r="L43" s="1">
        <v>0.34599999999999997</v>
      </c>
      <c r="M43" s="1">
        <v>0.28999999999999998</v>
      </c>
      <c r="N43" s="1">
        <v>0.3488</v>
      </c>
      <c r="O43" s="1">
        <v>2314.4929999999999</v>
      </c>
      <c r="P43" s="1">
        <v>661641200</v>
      </c>
      <c r="Q43" s="1">
        <v>1050631</v>
      </c>
      <c r="R43" s="1">
        <v>796500</v>
      </c>
      <c r="S43" s="1">
        <v>1050631</v>
      </c>
      <c r="T43" s="1">
        <v>2000000</v>
      </c>
      <c r="U43" s="1">
        <v>2000000</v>
      </c>
      <c r="V43" s="1">
        <v>1450</v>
      </c>
      <c r="W43" s="1">
        <v>2327</v>
      </c>
      <c r="X43" s="1">
        <v>60.48</v>
      </c>
      <c r="Y43" s="1">
        <v>0</v>
      </c>
      <c r="Z43" s="1">
        <v>4400000</v>
      </c>
      <c r="AA43" s="1">
        <v>1</v>
      </c>
      <c r="AB43" s="1">
        <v>1</v>
      </c>
      <c r="AC43" s="33">
        <v>42570</v>
      </c>
    </row>
    <row r="44" spans="1:29" x14ac:dyDescent="0.35">
      <c r="A44" s="1" t="s">
        <v>199</v>
      </c>
      <c r="B44" s="1" t="s">
        <v>197</v>
      </c>
      <c r="C44" s="56">
        <v>41522.484340277799</v>
      </c>
      <c r="D44" s="56">
        <v>41481</v>
      </c>
      <c r="E44" s="56">
        <v>41480</v>
      </c>
      <c r="F44" s="1" t="s">
        <v>152</v>
      </c>
      <c r="G44" s="1" t="s">
        <v>35</v>
      </c>
      <c r="H44" s="1" t="s">
        <v>198</v>
      </c>
      <c r="I44" s="1" t="s">
        <v>37</v>
      </c>
      <c r="J44" s="1" t="s">
        <v>200</v>
      </c>
      <c r="K44" s="1">
        <v>474500</v>
      </c>
      <c r="L44" s="1">
        <v>0.34720000000000001</v>
      </c>
      <c r="M44" s="1">
        <v>0.28999999999999998</v>
      </c>
      <c r="N44" s="1">
        <v>0.46550000000000002</v>
      </c>
      <c r="O44" s="1">
        <v>3900</v>
      </c>
      <c r="P44" s="1">
        <v>638526720</v>
      </c>
      <c r="Q44" s="1">
        <v>474500</v>
      </c>
      <c r="R44" s="1">
        <v>474500</v>
      </c>
      <c r="S44" s="1">
        <v>474500</v>
      </c>
      <c r="T44" s="1">
        <v>490000</v>
      </c>
      <c r="U44" s="1">
        <v>490000</v>
      </c>
      <c r="V44" s="1">
        <v>3198</v>
      </c>
      <c r="W44" s="1">
        <v>3849</v>
      </c>
      <c r="X44" s="1">
        <v>20.36</v>
      </c>
      <c r="Y44" s="1">
        <v>0</v>
      </c>
      <c r="Z44" s="1">
        <v>9800000</v>
      </c>
      <c r="AA44" s="1">
        <v>1</v>
      </c>
      <c r="AB44" s="1">
        <v>1</v>
      </c>
      <c r="AC44" s="33">
        <v>42572</v>
      </c>
    </row>
    <row r="45" spans="1:29" x14ac:dyDescent="0.35">
      <c r="A45" s="1" t="s">
        <v>199</v>
      </c>
      <c r="B45" s="1" t="s">
        <v>197</v>
      </c>
      <c r="C45" s="56">
        <v>42151.581064814804</v>
      </c>
      <c r="D45" s="56">
        <v>42093</v>
      </c>
      <c r="E45" s="56">
        <v>42094</v>
      </c>
      <c r="F45" s="1" t="s">
        <v>152</v>
      </c>
      <c r="G45" s="1" t="s">
        <v>194</v>
      </c>
      <c r="H45" s="1" t="s">
        <v>201</v>
      </c>
      <c r="I45" s="1" t="s">
        <v>126</v>
      </c>
      <c r="J45" s="1" t="s">
        <v>202</v>
      </c>
      <c r="K45" s="1">
        <v>2139300</v>
      </c>
      <c r="L45" s="1">
        <v>0.34720000000000001</v>
      </c>
      <c r="M45" s="1">
        <v>0.28999999999999998</v>
      </c>
      <c r="N45" s="1">
        <v>0.46550000000000002</v>
      </c>
      <c r="O45" s="1">
        <v>3900</v>
      </c>
      <c r="P45" s="1">
        <v>638526720</v>
      </c>
      <c r="Q45" s="1">
        <v>1959580</v>
      </c>
      <c r="R45" s="1">
        <v>2139300</v>
      </c>
      <c r="S45" s="1">
        <v>2139300</v>
      </c>
      <c r="T45" s="1">
        <v>2022749</v>
      </c>
      <c r="U45" s="1">
        <v>2184000</v>
      </c>
      <c r="V45" s="1">
        <v>3198</v>
      </c>
      <c r="W45" s="1">
        <v>3849</v>
      </c>
      <c r="X45" s="1">
        <v>20.36</v>
      </c>
      <c r="Y45" s="1">
        <v>0</v>
      </c>
      <c r="Z45" s="1">
        <v>21000000</v>
      </c>
      <c r="AA45" s="1">
        <v>1</v>
      </c>
      <c r="AB45" s="1">
        <v>1</v>
      </c>
      <c r="AC45" s="33">
        <v>42570</v>
      </c>
    </row>
    <row r="46" spans="1:29" x14ac:dyDescent="0.35">
      <c r="A46" s="1" t="s">
        <v>199</v>
      </c>
      <c r="B46" s="1" t="s">
        <v>197</v>
      </c>
      <c r="C46" s="56">
        <v>42536.352407407401</v>
      </c>
      <c r="D46" s="56">
        <v>42536</v>
      </c>
      <c r="E46" s="56">
        <v>42452</v>
      </c>
      <c r="G46" s="1" t="s">
        <v>72</v>
      </c>
      <c r="H46" s="1" t="s">
        <v>203</v>
      </c>
      <c r="I46" s="1" t="s">
        <v>78</v>
      </c>
      <c r="J46" s="1" t="s">
        <v>204</v>
      </c>
      <c r="M46" s="1">
        <v>0.28999999999999998</v>
      </c>
      <c r="N46" s="1">
        <v>0.46550000000000002</v>
      </c>
      <c r="O46" s="1">
        <v>3900</v>
      </c>
      <c r="P46" s="1">
        <v>638526720</v>
      </c>
      <c r="Q46" s="1">
        <v>498400</v>
      </c>
      <c r="R46" s="1">
        <v>1116000</v>
      </c>
      <c r="S46" s="1">
        <v>1116000</v>
      </c>
      <c r="T46" s="1">
        <v>0</v>
      </c>
      <c r="U46" s="1">
        <v>987457</v>
      </c>
      <c r="V46" s="1">
        <v>3198</v>
      </c>
      <c r="W46" s="1">
        <v>3849</v>
      </c>
      <c r="X46" s="1">
        <v>20.36</v>
      </c>
      <c r="Y46" s="1">
        <v>0</v>
      </c>
      <c r="Z46" s="1">
        <v>28500000</v>
      </c>
      <c r="AA46" s="1">
        <v>1</v>
      </c>
      <c r="AB46" s="1">
        <v>1</v>
      </c>
      <c r="AC46" s="33">
        <v>42571</v>
      </c>
    </row>
    <row r="47" spans="1:29" x14ac:dyDescent="0.35">
      <c r="A47" s="1" t="s">
        <v>207</v>
      </c>
      <c r="B47" s="1" t="s">
        <v>205</v>
      </c>
      <c r="C47" s="56">
        <v>42536.352407407401</v>
      </c>
      <c r="D47" s="56">
        <v>42403</v>
      </c>
      <c r="E47" s="56">
        <v>42404</v>
      </c>
      <c r="G47" s="1" t="s">
        <v>74</v>
      </c>
      <c r="H47" s="1" t="s">
        <v>209</v>
      </c>
      <c r="I47" s="1" t="s">
        <v>74</v>
      </c>
      <c r="J47" s="1" t="s">
        <v>210</v>
      </c>
      <c r="M47" s="1">
        <v>0.28999999999999998</v>
      </c>
      <c r="N47" s="1">
        <v>0.63870000000000005</v>
      </c>
      <c r="O47" s="1">
        <v>9800</v>
      </c>
      <c r="P47" s="1">
        <v>3776112796</v>
      </c>
      <c r="Q47" s="1">
        <v>1568301</v>
      </c>
      <c r="R47" s="1">
        <v>2994400</v>
      </c>
      <c r="S47" s="1">
        <v>2994400</v>
      </c>
      <c r="T47" s="1">
        <v>4000000</v>
      </c>
      <c r="U47" s="1">
        <v>7000000</v>
      </c>
      <c r="V47" s="1">
        <v>4274</v>
      </c>
      <c r="W47" s="1">
        <v>8225</v>
      </c>
      <c r="X47" s="1">
        <v>92.44</v>
      </c>
      <c r="Y47" s="1">
        <v>0</v>
      </c>
      <c r="Z47" s="1">
        <v>75000000</v>
      </c>
      <c r="AA47" s="1">
        <v>1</v>
      </c>
      <c r="AB47" s="1">
        <v>1</v>
      </c>
      <c r="AC47" s="33">
        <v>42571</v>
      </c>
    </row>
    <row r="48" spans="1:29" x14ac:dyDescent="0.35">
      <c r="A48" s="1" t="s">
        <v>207</v>
      </c>
      <c r="B48" s="1" t="s">
        <v>205</v>
      </c>
      <c r="C48" s="56">
        <v>41800.370983796303</v>
      </c>
      <c r="D48" s="56">
        <v>41738</v>
      </c>
      <c r="E48" s="56">
        <v>41738</v>
      </c>
      <c r="F48" s="1" t="s">
        <v>22</v>
      </c>
      <c r="G48" s="1" t="s">
        <v>40</v>
      </c>
      <c r="H48" s="1" t="s">
        <v>206</v>
      </c>
      <c r="I48" s="1" t="s">
        <v>42</v>
      </c>
      <c r="J48" s="1" t="s">
        <v>208</v>
      </c>
      <c r="K48" s="1">
        <v>2025238</v>
      </c>
      <c r="L48" s="1">
        <v>0.6381</v>
      </c>
      <c r="M48" s="1">
        <v>0.28999999999999998</v>
      </c>
      <c r="N48" s="1">
        <v>0.63870000000000005</v>
      </c>
      <c r="O48" s="1">
        <v>9800</v>
      </c>
      <c r="P48" s="1">
        <v>3776112796</v>
      </c>
      <c r="Q48" s="1">
        <v>1638438</v>
      </c>
      <c r="R48" s="1">
        <v>2025238</v>
      </c>
      <c r="S48" s="1">
        <v>2025238</v>
      </c>
      <c r="T48" s="1">
        <v>5000000</v>
      </c>
      <c r="U48" s="1">
        <v>5000000</v>
      </c>
      <c r="V48" s="1">
        <v>4274</v>
      </c>
      <c r="W48" s="1">
        <v>8225</v>
      </c>
      <c r="X48" s="1">
        <v>92.44</v>
      </c>
      <c r="Y48" s="1">
        <v>0</v>
      </c>
      <c r="Z48" s="1">
        <v>22000000</v>
      </c>
      <c r="AA48" s="1">
        <v>1</v>
      </c>
      <c r="AB48" s="1">
        <v>1</v>
      </c>
      <c r="AC48" s="33">
        <v>42572</v>
      </c>
    </row>
    <row r="49" spans="1:29" x14ac:dyDescent="0.35">
      <c r="A49" s="1" t="s">
        <v>214</v>
      </c>
      <c r="B49" s="1" t="s">
        <v>211</v>
      </c>
      <c r="C49" s="56">
        <v>41222.403275463003</v>
      </c>
      <c r="D49" s="56">
        <v>41122</v>
      </c>
      <c r="E49" s="56">
        <v>41129</v>
      </c>
      <c r="F49" s="1" t="s">
        <v>22</v>
      </c>
      <c r="G49" s="1" t="s">
        <v>770</v>
      </c>
      <c r="H49" s="1" t="s">
        <v>212</v>
      </c>
      <c r="I49" s="1" t="s">
        <v>213</v>
      </c>
      <c r="J49" s="1" t="s">
        <v>215</v>
      </c>
      <c r="K49" s="1">
        <v>903544</v>
      </c>
      <c r="L49" s="1">
        <v>0.48630000000000001</v>
      </c>
      <c r="M49" s="1">
        <v>0.28999999999999998</v>
      </c>
      <c r="N49" s="1">
        <v>0.39560000000000001</v>
      </c>
      <c r="O49" s="1">
        <v>14379.465</v>
      </c>
      <c r="P49" s="1">
        <v>4217664317</v>
      </c>
      <c r="Q49" s="1">
        <v>903544</v>
      </c>
      <c r="R49" s="1">
        <v>903544</v>
      </c>
      <c r="S49" s="1">
        <v>903544</v>
      </c>
      <c r="T49" s="1">
        <v>1075050</v>
      </c>
      <c r="U49" s="1">
        <v>1075050</v>
      </c>
      <c r="V49" s="1">
        <v>12471</v>
      </c>
      <c r="W49" s="1">
        <v>14562</v>
      </c>
      <c r="X49" s="1">
        <v>16.77</v>
      </c>
      <c r="Y49" s="1">
        <v>7974406</v>
      </c>
      <c r="Z49" s="1">
        <v>11422389</v>
      </c>
      <c r="AA49" s="1">
        <v>0.30186180841853699</v>
      </c>
      <c r="AB49" s="1">
        <v>0.588880224800025</v>
      </c>
      <c r="AC49" s="33">
        <v>42572</v>
      </c>
    </row>
    <row r="50" spans="1:29" x14ac:dyDescent="0.35">
      <c r="A50" s="1" t="s">
        <v>214</v>
      </c>
      <c r="B50" s="1" t="s">
        <v>211</v>
      </c>
      <c r="C50" s="56">
        <v>42111.427094907398</v>
      </c>
      <c r="D50" s="56">
        <v>42037</v>
      </c>
      <c r="E50" s="56">
        <v>42039</v>
      </c>
      <c r="F50" s="1" t="s">
        <v>152</v>
      </c>
      <c r="G50" s="1" t="s">
        <v>788</v>
      </c>
      <c r="H50" s="1" t="s">
        <v>216</v>
      </c>
      <c r="I50" s="1" t="s">
        <v>179</v>
      </c>
      <c r="J50" s="1" t="s">
        <v>217</v>
      </c>
      <c r="K50" s="1">
        <v>0</v>
      </c>
      <c r="L50" s="1">
        <v>0.48630000000000001</v>
      </c>
      <c r="M50" s="1">
        <v>0.28999999999999998</v>
      </c>
      <c r="N50" s="1">
        <v>0.39560000000000001</v>
      </c>
      <c r="O50" s="1">
        <v>14379.465</v>
      </c>
      <c r="P50" s="1">
        <v>4217664317</v>
      </c>
      <c r="Q50" s="1">
        <v>69600</v>
      </c>
      <c r="R50" s="1">
        <v>46400</v>
      </c>
      <c r="S50" s="1">
        <v>69600</v>
      </c>
      <c r="T50" s="1">
        <v>753000</v>
      </c>
      <c r="U50" s="1">
        <v>773800</v>
      </c>
      <c r="V50" s="1">
        <v>12471</v>
      </c>
      <c r="W50" s="1">
        <v>14562</v>
      </c>
      <c r="X50" s="1">
        <v>16.77</v>
      </c>
      <c r="Y50" s="1">
        <v>23554506.5</v>
      </c>
      <c r="Z50" s="1">
        <v>70313622.099999994</v>
      </c>
      <c r="AA50" s="1">
        <v>0.66500792027893596</v>
      </c>
      <c r="AB50" s="1">
        <v>0.74906811447820898</v>
      </c>
      <c r="AC50" s="33">
        <v>42570</v>
      </c>
    </row>
    <row r="51" spans="1:29" x14ac:dyDescent="0.35">
      <c r="A51" s="1" t="s">
        <v>220</v>
      </c>
      <c r="B51" s="1" t="s">
        <v>218</v>
      </c>
      <c r="C51" s="56">
        <v>41927.558125000003</v>
      </c>
      <c r="D51" s="56">
        <v>41829</v>
      </c>
      <c r="E51" s="56">
        <v>41829</v>
      </c>
      <c r="F51" s="1" t="s">
        <v>22</v>
      </c>
      <c r="G51" s="1" t="s">
        <v>222</v>
      </c>
      <c r="H51" s="1" t="s">
        <v>223</v>
      </c>
      <c r="I51" s="1" t="s">
        <v>42</v>
      </c>
      <c r="J51" s="1" t="s">
        <v>224</v>
      </c>
      <c r="K51" s="1">
        <v>2226262</v>
      </c>
      <c r="L51" s="1">
        <v>0.55289999999999995</v>
      </c>
      <c r="M51" s="1">
        <v>0.28999999999999998</v>
      </c>
      <c r="N51" s="1">
        <v>0.76190000000000002</v>
      </c>
      <c r="O51" s="1">
        <v>4213.68</v>
      </c>
      <c r="P51" s="1">
        <v>1968932923</v>
      </c>
      <c r="Q51" s="1">
        <v>2206488</v>
      </c>
      <c r="R51" s="1">
        <v>2226262</v>
      </c>
      <c r="S51" s="1">
        <v>2226262</v>
      </c>
      <c r="T51" s="1">
        <v>5100000</v>
      </c>
      <c r="U51" s="1">
        <v>5100000</v>
      </c>
      <c r="V51" s="1">
        <v>3369</v>
      </c>
      <c r="W51" s="1">
        <v>3925</v>
      </c>
      <c r="X51" s="1">
        <v>16.5</v>
      </c>
      <c r="Y51" s="1">
        <v>0</v>
      </c>
      <c r="Z51" s="1">
        <v>15000000</v>
      </c>
      <c r="AA51" s="1">
        <v>1</v>
      </c>
      <c r="AB51" s="1">
        <v>1</v>
      </c>
      <c r="AC51" s="33">
        <v>42572</v>
      </c>
    </row>
    <row r="52" spans="1:29" x14ac:dyDescent="0.35">
      <c r="A52" s="1" t="s">
        <v>220</v>
      </c>
      <c r="B52" s="1" t="s">
        <v>218</v>
      </c>
      <c r="C52" s="56">
        <v>41222.381770833301</v>
      </c>
      <c r="D52" s="56">
        <v>40968</v>
      </c>
      <c r="E52" s="56">
        <v>40989</v>
      </c>
      <c r="F52" s="1" t="s">
        <v>22</v>
      </c>
      <c r="G52" s="1" t="s">
        <v>23</v>
      </c>
      <c r="H52" s="1" t="s">
        <v>219</v>
      </c>
      <c r="I52" s="1" t="s">
        <v>25</v>
      </c>
      <c r="J52" s="1" t="s">
        <v>221</v>
      </c>
      <c r="K52" s="1">
        <v>932500</v>
      </c>
      <c r="L52" s="1">
        <v>0.55289999999999995</v>
      </c>
      <c r="M52" s="1">
        <v>0.28999999999999998</v>
      </c>
      <c r="N52" s="1">
        <v>0.76190000000000002</v>
      </c>
      <c r="O52" s="1">
        <v>4213.68</v>
      </c>
      <c r="P52" s="1">
        <v>1968932923</v>
      </c>
      <c r="Q52" s="1">
        <v>823600</v>
      </c>
      <c r="R52" s="1">
        <v>932500</v>
      </c>
      <c r="S52" s="1">
        <v>932500</v>
      </c>
      <c r="T52" s="1">
        <v>3000000</v>
      </c>
      <c r="U52" s="1">
        <v>30000000</v>
      </c>
      <c r="V52" s="1">
        <v>3369</v>
      </c>
      <c r="W52" s="1">
        <v>3925</v>
      </c>
      <c r="X52" s="1">
        <v>16.5</v>
      </c>
      <c r="Y52" s="1">
        <v>0</v>
      </c>
      <c r="Z52" s="1">
        <v>26000000</v>
      </c>
      <c r="AA52" s="1">
        <v>1</v>
      </c>
      <c r="AB52" s="1">
        <v>1</v>
      </c>
      <c r="AC52" s="33">
        <v>42572</v>
      </c>
    </row>
    <row r="53" spans="1:29" x14ac:dyDescent="0.35">
      <c r="A53" s="1" t="s">
        <v>220</v>
      </c>
      <c r="B53" s="1" t="s">
        <v>218</v>
      </c>
      <c r="C53" s="56">
        <v>42263.389016203699</v>
      </c>
      <c r="D53" s="56">
        <v>42200</v>
      </c>
      <c r="E53" s="56">
        <v>42207</v>
      </c>
      <c r="F53" s="1" t="s">
        <v>22</v>
      </c>
      <c r="G53" s="1" t="s">
        <v>225</v>
      </c>
      <c r="H53" s="1" t="s">
        <v>226</v>
      </c>
      <c r="I53" s="1" t="s">
        <v>126</v>
      </c>
      <c r="J53" s="1" t="s">
        <v>227</v>
      </c>
      <c r="K53" s="1">
        <v>0</v>
      </c>
      <c r="L53" s="1">
        <v>0.55289999999999995</v>
      </c>
      <c r="M53" s="1">
        <v>0.28999999999999998</v>
      </c>
      <c r="N53" s="1">
        <v>0.76190000000000002</v>
      </c>
      <c r="O53" s="1">
        <v>4213.68</v>
      </c>
      <c r="P53" s="1">
        <v>1968932923</v>
      </c>
      <c r="Q53" s="1">
        <v>1213634</v>
      </c>
      <c r="R53" s="1">
        <v>1003219</v>
      </c>
      <c r="S53" s="1">
        <v>1213634</v>
      </c>
      <c r="T53" s="1">
        <v>6000000</v>
      </c>
      <c r="U53" s="1">
        <v>6000000</v>
      </c>
      <c r="V53" s="1">
        <v>3369</v>
      </c>
      <c r="W53" s="1">
        <v>3925</v>
      </c>
      <c r="X53" s="1">
        <v>16.5</v>
      </c>
      <c r="Y53" s="1">
        <v>0</v>
      </c>
      <c r="Z53" s="1">
        <v>18000000</v>
      </c>
      <c r="AA53" s="1">
        <v>1</v>
      </c>
      <c r="AB53" s="1">
        <v>1</v>
      </c>
      <c r="AC53" s="33">
        <v>42570</v>
      </c>
    </row>
    <row r="54" spans="1:29" x14ac:dyDescent="0.35">
      <c r="A54" s="1" t="s">
        <v>231</v>
      </c>
      <c r="B54" s="1" t="s">
        <v>228</v>
      </c>
      <c r="C54" s="56">
        <v>40909</v>
      </c>
      <c r="D54" s="56">
        <v>40724</v>
      </c>
      <c r="E54" s="56">
        <v>40779</v>
      </c>
      <c r="F54" s="1" t="s">
        <v>22</v>
      </c>
      <c r="G54" s="1" t="s">
        <v>229</v>
      </c>
      <c r="H54" s="1" t="s">
        <v>230</v>
      </c>
      <c r="I54" s="1" t="s">
        <v>52</v>
      </c>
      <c r="J54" s="1" t="s">
        <v>232</v>
      </c>
      <c r="K54" s="1">
        <v>210581</v>
      </c>
      <c r="L54" s="1">
        <v>0.249</v>
      </c>
      <c r="M54" s="1">
        <v>0.24959999999999999</v>
      </c>
      <c r="N54" s="1">
        <v>0.30980000000000002</v>
      </c>
      <c r="O54" s="1">
        <v>562</v>
      </c>
      <c r="P54" s="1">
        <v>363367461</v>
      </c>
      <c r="Q54" s="1">
        <v>211581</v>
      </c>
      <c r="R54" s="1">
        <v>210581</v>
      </c>
      <c r="S54" s="1">
        <v>211581</v>
      </c>
      <c r="T54" s="1">
        <v>221050</v>
      </c>
      <c r="U54" s="1">
        <v>220600</v>
      </c>
      <c r="V54" s="1">
        <v>545</v>
      </c>
      <c r="W54" s="1">
        <v>613</v>
      </c>
      <c r="X54" s="1">
        <v>12.48</v>
      </c>
      <c r="Y54" s="1">
        <v>660000</v>
      </c>
      <c r="Z54" s="1">
        <v>4125000</v>
      </c>
      <c r="AA54" s="1">
        <v>0.84</v>
      </c>
      <c r="AB54" s="1">
        <v>0.86206896551724099</v>
      </c>
      <c r="AC54" s="33">
        <v>42572</v>
      </c>
    </row>
    <row r="55" spans="1:29" x14ac:dyDescent="0.35">
      <c r="A55" s="1" t="s">
        <v>235</v>
      </c>
      <c r="B55" s="1" t="s">
        <v>233</v>
      </c>
      <c r="C55" s="56">
        <v>40909</v>
      </c>
      <c r="D55" s="56">
        <v>40564</v>
      </c>
      <c r="E55" s="56">
        <v>40564</v>
      </c>
      <c r="G55" s="1" t="s">
        <v>140</v>
      </c>
      <c r="H55" s="1" t="s">
        <v>234</v>
      </c>
      <c r="I55" s="1" t="s">
        <v>52</v>
      </c>
      <c r="J55" s="1" t="s">
        <v>236</v>
      </c>
      <c r="K55" s="1">
        <v>2488625</v>
      </c>
      <c r="L55" s="1">
        <v>0.33239999999999997</v>
      </c>
      <c r="M55" s="1">
        <v>0.28999999999999998</v>
      </c>
      <c r="N55" s="1">
        <v>0.42070000000000002</v>
      </c>
      <c r="O55" s="1">
        <v>8391.9539999999997</v>
      </c>
      <c r="P55" s="1">
        <v>3882112128</v>
      </c>
      <c r="Q55" s="1">
        <v>2523625</v>
      </c>
      <c r="R55" s="1">
        <v>2488625</v>
      </c>
      <c r="S55" s="1">
        <v>2523625</v>
      </c>
      <c r="T55" s="1">
        <v>2779325</v>
      </c>
      <c r="U55" s="1">
        <v>2759338</v>
      </c>
      <c r="V55" s="1">
        <v>7926</v>
      </c>
      <c r="W55" s="1">
        <v>8420</v>
      </c>
      <c r="X55" s="1">
        <v>6.23</v>
      </c>
      <c r="Y55" s="1">
        <v>0</v>
      </c>
      <c r="Z55" s="1">
        <v>37000000</v>
      </c>
      <c r="AA55" s="1">
        <v>1</v>
      </c>
      <c r="AB55" s="1">
        <v>1</v>
      </c>
      <c r="AC55" s="33">
        <v>42573</v>
      </c>
    </row>
    <row r="56" spans="1:29" x14ac:dyDescent="0.35">
      <c r="A56" s="1" t="s">
        <v>240</v>
      </c>
      <c r="B56" s="1" t="s">
        <v>237</v>
      </c>
      <c r="C56" s="56">
        <v>40909</v>
      </c>
      <c r="D56" s="56">
        <v>40504</v>
      </c>
      <c r="E56" s="56">
        <v>40506</v>
      </c>
      <c r="F56" s="1" t="s">
        <v>22</v>
      </c>
      <c r="G56" s="1" t="s">
        <v>67</v>
      </c>
      <c r="H56" s="1" t="s">
        <v>238</v>
      </c>
      <c r="I56" s="1" t="s">
        <v>239</v>
      </c>
      <c r="J56" s="1" t="s">
        <v>241</v>
      </c>
      <c r="K56" s="1">
        <v>36285</v>
      </c>
      <c r="L56" s="1">
        <v>0.1424</v>
      </c>
      <c r="M56" s="1">
        <v>0.1187</v>
      </c>
      <c r="N56" s="1">
        <v>0.1187</v>
      </c>
      <c r="O56" s="1">
        <v>612</v>
      </c>
      <c r="P56" s="1">
        <v>171882351</v>
      </c>
      <c r="Q56" s="1">
        <v>36285</v>
      </c>
      <c r="R56" s="1">
        <v>36285</v>
      </c>
      <c r="S56" s="1">
        <v>36285</v>
      </c>
      <c r="T56" s="1">
        <v>31400</v>
      </c>
      <c r="U56" s="1">
        <v>31400</v>
      </c>
      <c r="V56" s="1">
        <v>698</v>
      </c>
      <c r="W56" s="1">
        <v>672</v>
      </c>
      <c r="X56" s="1">
        <v>-3.72</v>
      </c>
      <c r="Y56" s="1">
        <v>0</v>
      </c>
      <c r="Z56" s="1">
        <v>885000</v>
      </c>
      <c r="AA56" s="1">
        <v>1</v>
      </c>
      <c r="AB56" s="1">
        <v>1</v>
      </c>
      <c r="AC56" s="33">
        <v>42573</v>
      </c>
    </row>
    <row r="57" spans="1:29" x14ac:dyDescent="0.35">
      <c r="A57" s="1" t="s">
        <v>245</v>
      </c>
      <c r="B57" s="1" t="s">
        <v>242</v>
      </c>
      <c r="C57" s="56">
        <v>41673.335451388899</v>
      </c>
      <c r="D57" s="56">
        <v>41599</v>
      </c>
      <c r="E57" s="56">
        <v>41611</v>
      </c>
      <c r="F57" s="1" t="s">
        <v>22</v>
      </c>
      <c r="G57" s="1" t="s">
        <v>35</v>
      </c>
      <c r="H57" s="1" t="s">
        <v>243</v>
      </c>
      <c r="I57" s="1" t="s">
        <v>244</v>
      </c>
      <c r="J57" s="1" t="s">
        <v>246</v>
      </c>
      <c r="M57" s="1">
        <v>0.13719999999999999</v>
      </c>
      <c r="N57" s="1">
        <v>0.13719999999999999</v>
      </c>
      <c r="O57" s="1">
        <v>2686.0219999999999</v>
      </c>
      <c r="P57" s="1">
        <v>660104969</v>
      </c>
      <c r="Q57" s="1">
        <v>809901</v>
      </c>
      <c r="R57" s="1">
        <v>810089</v>
      </c>
      <c r="S57" s="1">
        <v>810089</v>
      </c>
      <c r="T57" s="1">
        <v>2000000</v>
      </c>
      <c r="U57" s="1">
        <v>2000000</v>
      </c>
      <c r="V57" s="1">
        <v>2863</v>
      </c>
      <c r="W57" s="1">
        <v>2839</v>
      </c>
      <c r="X57" s="1">
        <v>-0.84</v>
      </c>
      <c r="Y57" s="1">
        <v>0</v>
      </c>
      <c r="Z57" s="1">
        <v>8950000</v>
      </c>
      <c r="AA57" s="1">
        <v>1</v>
      </c>
      <c r="AB57" s="1">
        <v>1</v>
      </c>
      <c r="AC57" s="33">
        <v>42572</v>
      </c>
    </row>
    <row r="58" spans="1:29" x14ac:dyDescent="0.35">
      <c r="A58" s="1" t="s">
        <v>245</v>
      </c>
      <c r="B58" s="1" t="s">
        <v>242</v>
      </c>
      <c r="C58" s="56">
        <v>41709.611458333296</v>
      </c>
      <c r="D58" s="56">
        <v>41599</v>
      </c>
      <c r="E58" s="56">
        <v>41653</v>
      </c>
      <c r="F58" s="1" t="s">
        <v>22</v>
      </c>
      <c r="G58" s="1" t="s">
        <v>29</v>
      </c>
      <c r="H58" s="1" t="s">
        <v>247</v>
      </c>
      <c r="I58" s="1" t="s">
        <v>31</v>
      </c>
      <c r="J58" s="1" t="s">
        <v>248</v>
      </c>
      <c r="M58" s="1">
        <v>0.13719999999999999</v>
      </c>
      <c r="N58" s="1">
        <v>0.13719999999999999</v>
      </c>
      <c r="O58" s="1">
        <v>2686.0219999999999</v>
      </c>
      <c r="P58" s="1">
        <v>660104969</v>
      </c>
      <c r="Q58" s="1">
        <v>480835</v>
      </c>
      <c r="R58" s="1">
        <v>480835</v>
      </c>
      <c r="S58" s="1">
        <v>480835</v>
      </c>
      <c r="T58" s="1">
        <v>2000000</v>
      </c>
      <c r="U58" s="1">
        <v>2000000</v>
      </c>
      <c r="V58" s="1">
        <v>2863</v>
      </c>
      <c r="W58" s="1">
        <v>2839</v>
      </c>
      <c r="X58" s="1">
        <v>-0.84</v>
      </c>
      <c r="Y58" s="1">
        <v>0</v>
      </c>
      <c r="Z58" s="1">
        <v>8950000</v>
      </c>
      <c r="AA58" s="1">
        <v>1</v>
      </c>
      <c r="AB58" s="1">
        <v>1</v>
      </c>
      <c r="AC58" s="33">
        <v>42572</v>
      </c>
    </row>
    <row r="59" spans="1:29" x14ac:dyDescent="0.35">
      <c r="A59" s="1" t="s">
        <v>253</v>
      </c>
      <c r="B59" s="1" t="s">
        <v>249</v>
      </c>
      <c r="C59" s="56">
        <v>42536.352407407401</v>
      </c>
      <c r="D59" s="56">
        <v>42503</v>
      </c>
      <c r="E59" s="56">
        <v>42508</v>
      </c>
      <c r="G59" s="1" t="s">
        <v>250</v>
      </c>
      <c r="H59" s="1" t="s">
        <v>251</v>
      </c>
      <c r="I59" s="1" t="s">
        <v>252</v>
      </c>
      <c r="J59" s="1" t="s">
        <v>254</v>
      </c>
      <c r="M59" s="1">
        <v>0.28999999999999998</v>
      </c>
      <c r="N59" s="1">
        <v>0.34739999999999999</v>
      </c>
      <c r="O59" s="1">
        <v>9400.2720000000008</v>
      </c>
      <c r="P59" s="1">
        <v>2230583033</v>
      </c>
      <c r="R59" s="1">
        <v>1658750</v>
      </c>
      <c r="S59" s="1">
        <v>1658750</v>
      </c>
      <c r="T59" s="1">
        <v>0</v>
      </c>
      <c r="U59" s="1">
        <v>0</v>
      </c>
      <c r="V59" s="1">
        <v>9165</v>
      </c>
      <c r="W59" s="1">
        <v>9711</v>
      </c>
      <c r="X59" s="1">
        <v>5.96</v>
      </c>
      <c r="Y59" s="1">
        <v>1500000</v>
      </c>
      <c r="Z59" s="1">
        <v>23500000</v>
      </c>
      <c r="AA59" s="1">
        <v>0.93617021276595702</v>
      </c>
      <c r="AB59" s="1">
        <v>0.94</v>
      </c>
      <c r="AC59" s="33">
        <v>42571</v>
      </c>
    </row>
    <row r="60" spans="1:29" x14ac:dyDescent="0.35">
      <c r="A60" s="1" t="s">
        <v>259</v>
      </c>
      <c r="B60" s="1" t="s">
        <v>255</v>
      </c>
      <c r="C60" s="56">
        <v>40909</v>
      </c>
      <c r="D60" s="56">
        <v>40701</v>
      </c>
      <c r="E60" s="56">
        <v>40864</v>
      </c>
      <c r="F60" s="1" t="s">
        <v>22</v>
      </c>
      <c r="G60" s="1" t="s">
        <v>256</v>
      </c>
      <c r="H60" s="1" t="s">
        <v>257</v>
      </c>
      <c r="I60" s="1" t="s">
        <v>258</v>
      </c>
      <c r="J60" s="1" t="s">
        <v>260</v>
      </c>
      <c r="K60" s="1">
        <v>8880750</v>
      </c>
      <c r="L60" s="1">
        <v>0.20330000000000001</v>
      </c>
      <c r="M60" s="1">
        <v>0.20799999999999999</v>
      </c>
      <c r="N60" s="1">
        <v>0.29599999999999999</v>
      </c>
      <c r="O60" s="1">
        <v>54329</v>
      </c>
      <c r="P60" s="1">
        <v>14135121697</v>
      </c>
      <c r="Q60" s="1">
        <v>7410750</v>
      </c>
      <c r="R60" s="1">
        <v>8880750</v>
      </c>
      <c r="S60" s="1">
        <v>8880750</v>
      </c>
      <c r="T60" s="1">
        <v>7070923</v>
      </c>
      <c r="U60" s="1">
        <v>6901078</v>
      </c>
      <c r="V60" s="1">
        <v>57588</v>
      </c>
      <c r="W60" s="1">
        <v>57340</v>
      </c>
      <c r="X60" s="1">
        <v>-0.43</v>
      </c>
      <c r="Y60" s="1">
        <v>0</v>
      </c>
      <c r="Z60" s="1">
        <v>67375000</v>
      </c>
      <c r="AA60" s="1">
        <v>1</v>
      </c>
      <c r="AB60" s="1">
        <v>1</v>
      </c>
      <c r="AC60" s="33">
        <v>42573</v>
      </c>
    </row>
    <row r="61" spans="1:29" x14ac:dyDescent="0.35">
      <c r="A61" s="1" t="s">
        <v>259</v>
      </c>
      <c r="B61" s="1" t="s">
        <v>781</v>
      </c>
      <c r="D61" s="56">
        <v>40701</v>
      </c>
      <c r="E61" s="56">
        <v>40864</v>
      </c>
      <c r="G61" s="1" t="s">
        <v>782</v>
      </c>
      <c r="H61" s="1" t="s">
        <v>802</v>
      </c>
      <c r="I61" s="1" t="s">
        <v>803</v>
      </c>
      <c r="T61" s="1">
        <v>62425</v>
      </c>
      <c r="U61" s="1">
        <v>62425</v>
      </c>
      <c r="Y61" s="1">
        <v>0</v>
      </c>
      <c r="Z61" s="1">
        <v>12485000</v>
      </c>
      <c r="AA61" s="1">
        <v>1</v>
      </c>
      <c r="AB61" s="1">
        <v>1</v>
      </c>
      <c r="AC61" s="33">
        <v>42573</v>
      </c>
    </row>
    <row r="62" spans="1:29" x14ac:dyDescent="0.35">
      <c r="A62" s="1" t="s">
        <v>259</v>
      </c>
      <c r="B62" s="1" t="s">
        <v>255</v>
      </c>
      <c r="C62" s="56">
        <v>42237.624247685198</v>
      </c>
      <c r="D62" s="56">
        <v>42138</v>
      </c>
      <c r="E62" s="56">
        <v>42143</v>
      </c>
      <c r="F62" s="1" t="s">
        <v>22</v>
      </c>
      <c r="G62" s="1" t="s">
        <v>261</v>
      </c>
      <c r="H62" s="1" t="s">
        <v>262</v>
      </c>
      <c r="I62" s="1" t="s">
        <v>186</v>
      </c>
      <c r="J62" s="1" t="s">
        <v>263</v>
      </c>
      <c r="K62" s="1">
        <v>0</v>
      </c>
      <c r="L62" s="1">
        <v>0.20330000000000001</v>
      </c>
      <c r="M62" s="1">
        <v>0.20799999999999999</v>
      </c>
      <c r="N62" s="1">
        <v>0.29599999999999999</v>
      </c>
      <c r="O62" s="1">
        <v>54329</v>
      </c>
      <c r="P62" s="1">
        <v>14135121697</v>
      </c>
      <c r="Q62" s="1">
        <v>12537462</v>
      </c>
      <c r="R62" s="1">
        <v>16109662</v>
      </c>
      <c r="S62" s="1">
        <v>16109662</v>
      </c>
      <c r="T62" s="1">
        <v>7405880</v>
      </c>
      <c r="U62" s="1">
        <v>7449980</v>
      </c>
      <c r="V62" s="1">
        <v>57588</v>
      </c>
      <c r="W62" s="1">
        <v>57340</v>
      </c>
      <c r="X62" s="1">
        <v>-0.43</v>
      </c>
      <c r="Y62" s="1">
        <v>0</v>
      </c>
      <c r="Z62" s="1">
        <v>175000000</v>
      </c>
      <c r="AA62" s="1">
        <v>1</v>
      </c>
      <c r="AB62" s="1">
        <v>1</v>
      </c>
      <c r="AC62" s="33">
        <v>42570</v>
      </c>
    </row>
    <row r="63" spans="1:29" x14ac:dyDescent="0.35">
      <c r="A63" s="1" t="s">
        <v>266</v>
      </c>
      <c r="B63" s="1" t="s">
        <v>264</v>
      </c>
      <c r="C63" s="56">
        <v>42453.6401736111</v>
      </c>
      <c r="D63" s="56">
        <v>42394</v>
      </c>
      <c r="E63" s="56">
        <v>42396</v>
      </c>
      <c r="G63" s="1" t="s">
        <v>74</v>
      </c>
      <c r="H63" s="1" t="s">
        <v>272</v>
      </c>
      <c r="I63" s="1" t="s">
        <v>74</v>
      </c>
      <c r="J63" s="1" t="s">
        <v>273</v>
      </c>
      <c r="M63" s="1">
        <v>0.28999999999999998</v>
      </c>
      <c r="N63" s="1">
        <v>0.30120000000000002</v>
      </c>
      <c r="O63" s="1">
        <v>27108.675999999999</v>
      </c>
      <c r="P63" s="1">
        <v>5041542555</v>
      </c>
      <c r="Q63" s="1">
        <v>1492547</v>
      </c>
      <c r="R63" s="1">
        <v>5384850</v>
      </c>
      <c r="S63" s="1">
        <v>5384850</v>
      </c>
      <c r="T63" s="1">
        <v>4000000</v>
      </c>
      <c r="U63" s="1">
        <v>16000000</v>
      </c>
      <c r="V63" s="1">
        <v>26415</v>
      </c>
      <c r="W63" s="1">
        <v>29214</v>
      </c>
      <c r="X63" s="1">
        <v>10.6</v>
      </c>
      <c r="Y63" s="1">
        <v>0</v>
      </c>
      <c r="Z63" s="1">
        <v>71000000</v>
      </c>
      <c r="AA63" s="1">
        <v>1</v>
      </c>
      <c r="AB63" s="1">
        <v>1</v>
      </c>
      <c r="AC63" s="33">
        <v>42571</v>
      </c>
    </row>
    <row r="64" spans="1:29" x14ac:dyDescent="0.35">
      <c r="A64" s="1" t="s">
        <v>266</v>
      </c>
      <c r="B64" s="1" t="s">
        <v>264</v>
      </c>
      <c r="C64" s="56">
        <v>40909</v>
      </c>
      <c r="D64" s="56">
        <v>40730</v>
      </c>
      <c r="E64" s="56">
        <v>40738</v>
      </c>
      <c r="F64" s="1" t="s">
        <v>22</v>
      </c>
      <c r="G64" s="1" t="s">
        <v>50</v>
      </c>
      <c r="H64" s="1" t="s">
        <v>265</v>
      </c>
      <c r="I64" s="1" t="s">
        <v>52</v>
      </c>
      <c r="J64" s="1" t="s">
        <v>267</v>
      </c>
      <c r="K64" s="1">
        <v>2990988</v>
      </c>
      <c r="L64" s="1">
        <v>0.39360000000000001</v>
      </c>
      <c r="M64" s="1">
        <v>0.28999999999999998</v>
      </c>
      <c r="N64" s="1">
        <v>0.30120000000000002</v>
      </c>
      <c r="O64" s="1">
        <v>27108.675999999999</v>
      </c>
      <c r="P64" s="1">
        <v>5041542555</v>
      </c>
      <c r="Q64" s="1">
        <v>5277788</v>
      </c>
      <c r="R64" s="1">
        <v>2990988</v>
      </c>
      <c r="S64" s="1">
        <v>5277788</v>
      </c>
      <c r="T64" s="1">
        <v>5000000</v>
      </c>
      <c r="U64" s="1">
        <v>5000000</v>
      </c>
      <c r="V64" s="1">
        <v>26415</v>
      </c>
      <c r="W64" s="1">
        <v>29214</v>
      </c>
      <c r="X64" s="1">
        <v>10.6</v>
      </c>
      <c r="Y64" s="1">
        <v>0</v>
      </c>
      <c r="Z64" s="1">
        <v>45000000</v>
      </c>
      <c r="AA64" s="1">
        <v>1</v>
      </c>
      <c r="AB64" s="1">
        <v>1</v>
      </c>
      <c r="AC64" s="33">
        <v>42572</v>
      </c>
    </row>
    <row r="65" spans="1:29" x14ac:dyDescent="0.35">
      <c r="A65" s="1" t="s">
        <v>266</v>
      </c>
      <c r="B65" s="1" t="s">
        <v>264</v>
      </c>
      <c r="C65" s="56">
        <v>41337.387268518498</v>
      </c>
      <c r="D65" s="56">
        <v>41228</v>
      </c>
      <c r="E65" s="56">
        <v>41248</v>
      </c>
      <c r="F65" s="1" t="s">
        <v>22</v>
      </c>
      <c r="G65" s="1" t="s">
        <v>35</v>
      </c>
      <c r="H65" s="1" t="s">
        <v>270</v>
      </c>
      <c r="I65" s="1" t="s">
        <v>37</v>
      </c>
      <c r="J65" s="1" t="s">
        <v>271</v>
      </c>
      <c r="K65" s="1">
        <v>895050</v>
      </c>
      <c r="L65" s="1">
        <v>0.39360000000000001</v>
      </c>
      <c r="M65" s="1">
        <v>0.28999999999999998</v>
      </c>
      <c r="N65" s="1">
        <v>0.30120000000000002</v>
      </c>
      <c r="O65" s="1">
        <v>27108.675999999999</v>
      </c>
      <c r="P65" s="1">
        <v>5041542555</v>
      </c>
      <c r="Q65" s="1">
        <v>1071200</v>
      </c>
      <c r="R65" s="1">
        <v>895050</v>
      </c>
      <c r="S65" s="1">
        <v>1071200</v>
      </c>
      <c r="T65" s="1">
        <v>3000000</v>
      </c>
      <c r="U65" s="1">
        <v>2000000</v>
      </c>
      <c r="V65" s="1">
        <v>26415</v>
      </c>
      <c r="W65" s="1">
        <v>29214</v>
      </c>
      <c r="X65" s="1">
        <v>10.6</v>
      </c>
      <c r="Y65" s="1">
        <v>0</v>
      </c>
      <c r="Z65" s="1">
        <v>15500000</v>
      </c>
      <c r="AA65" s="1">
        <v>1</v>
      </c>
      <c r="AB65" s="1">
        <v>1</v>
      </c>
      <c r="AC65" s="33">
        <v>42572</v>
      </c>
    </row>
    <row r="66" spans="1:29" x14ac:dyDescent="0.35">
      <c r="A66" s="1" t="s">
        <v>266</v>
      </c>
      <c r="B66" s="1" t="s">
        <v>264</v>
      </c>
      <c r="C66" s="56">
        <v>41285.501851851899</v>
      </c>
      <c r="D66" s="56">
        <v>41219</v>
      </c>
      <c r="E66" s="56">
        <v>41222</v>
      </c>
      <c r="F66" s="1" t="s">
        <v>22</v>
      </c>
      <c r="G66" s="1" t="s">
        <v>23</v>
      </c>
      <c r="H66" s="1" t="s">
        <v>268</v>
      </c>
      <c r="I66" s="1" t="s">
        <v>25</v>
      </c>
      <c r="J66" s="1" t="s">
        <v>269</v>
      </c>
      <c r="K66" s="1">
        <v>688925</v>
      </c>
      <c r="L66" s="1">
        <v>0.39360000000000001</v>
      </c>
      <c r="M66" s="1">
        <v>0.28999999999999998</v>
      </c>
      <c r="N66" s="1">
        <v>0.30120000000000002</v>
      </c>
      <c r="O66" s="1">
        <v>27108.675999999999</v>
      </c>
      <c r="P66" s="1">
        <v>5041542555</v>
      </c>
      <c r="Q66" s="1">
        <v>683475</v>
      </c>
      <c r="R66" s="1">
        <v>688925</v>
      </c>
      <c r="S66" s="1">
        <v>688925</v>
      </c>
      <c r="T66" s="1">
        <v>1500000</v>
      </c>
      <c r="U66" s="1">
        <v>1500000</v>
      </c>
      <c r="V66" s="1">
        <v>26415</v>
      </c>
      <c r="W66" s="1">
        <v>29214</v>
      </c>
      <c r="X66" s="1">
        <v>10.6</v>
      </c>
      <c r="Y66" s="1">
        <v>0</v>
      </c>
      <c r="Z66" s="1">
        <v>9100000</v>
      </c>
      <c r="AA66" s="1">
        <v>1</v>
      </c>
      <c r="AB66" s="1">
        <v>1</v>
      </c>
      <c r="AC66" s="33">
        <v>42572</v>
      </c>
    </row>
    <row r="67" spans="1:29" x14ac:dyDescent="0.35">
      <c r="A67" s="1" t="s">
        <v>277</v>
      </c>
      <c r="B67" s="1" t="s">
        <v>274</v>
      </c>
      <c r="C67" s="56">
        <v>42263.389016203699</v>
      </c>
      <c r="D67" s="56">
        <v>42235</v>
      </c>
      <c r="E67" s="56">
        <v>42236</v>
      </c>
      <c r="F67" s="1" t="s">
        <v>22</v>
      </c>
      <c r="G67" s="1" t="s">
        <v>275</v>
      </c>
      <c r="H67" s="1" t="s">
        <v>276</v>
      </c>
      <c r="I67" s="1" t="s">
        <v>275</v>
      </c>
      <c r="J67" s="1" t="s">
        <v>278</v>
      </c>
      <c r="M67" s="1">
        <v>0.28999999999999998</v>
      </c>
      <c r="N67" s="1">
        <v>0.4496</v>
      </c>
      <c r="O67" s="1">
        <v>6703.43</v>
      </c>
      <c r="P67" s="1">
        <v>1727036677</v>
      </c>
      <c r="Q67" s="1">
        <v>3167707</v>
      </c>
      <c r="R67" s="1">
        <v>2764188</v>
      </c>
      <c r="S67" s="1">
        <v>3167707</v>
      </c>
      <c r="T67" s="1">
        <v>3151533.33</v>
      </c>
      <c r="U67" s="1">
        <v>2739200</v>
      </c>
      <c r="V67" s="1">
        <v>6252</v>
      </c>
      <c r="W67" s="1">
        <v>7314</v>
      </c>
      <c r="X67" s="1">
        <v>16.989999999999998</v>
      </c>
      <c r="Y67" s="1">
        <v>0</v>
      </c>
      <c r="Z67" s="1">
        <v>51500000</v>
      </c>
      <c r="AA67" s="1">
        <v>1</v>
      </c>
      <c r="AB67" s="1">
        <v>1</v>
      </c>
      <c r="AC67" s="33">
        <v>42570</v>
      </c>
    </row>
    <row r="68" spans="1:29" x14ac:dyDescent="0.35">
      <c r="A68" s="1" t="s">
        <v>283</v>
      </c>
      <c r="B68" s="1" t="s">
        <v>279</v>
      </c>
      <c r="C68" s="56">
        <v>42419.304305555597</v>
      </c>
      <c r="D68" s="56">
        <v>42167</v>
      </c>
      <c r="E68" s="56">
        <v>42304</v>
      </c>
      <c r="F68" s="1" t="s">
        <v>22</v>
      </c>
      <c r="G68" s="1" t="s">
        <v>280</v>
      </c>
      <c r="H68" s="1" t="s">
        <v>281</v>
      </c>
      <c r="I68" s="1" t="s">
        <v>282</v>
      </c>
      <c r="J68" s="1" t="s">
        <v>284</v>
      </c>
      <c r="K68" s="1">
        <v>0</v>
      </c>
      <c r="L68" s="1">
        <v>0.2432</v>
      </c>
      <c r="M68" s="1">
        <v>0.21060000000000001</v>
      </c>
      <c r="N68" s="1">
        <v>0.21060000000000001</v>
      </c>
      <c r="O68" s="1">
        <v>38645</v>
      </c>
      <c r="P68" s="1">
        <v>6182166337</v>
      </c>
      <c r="Q68" s="1">
        <v>2491825</v>
      </c>
      <c r="R68" s="1">
        <v>3437000</v>
      </c>
      <c r="S68" s="1">
        <v>3437000</v>
      </c>
      <c r="T68" s="1">
        <v>8688850</v>
      </c>
      <c r="U68" s="1">
        <v>7636550</v>
      </c>
      <c r="V68" s="1">
        <v>37601</v>
      </c>
      <c r="W68" s="1">
        <v>40664</v>
      </c>
      <c r="X68" s="1">
        <v>8.15</v>
      </c>
      <c r="Y68" s="1">
        <v>11200000</v>
      </c>
      <c r="Z68" s="1">
        <v>100800000</v>
      </c>
      <c r="AA68" s="1">
        <v>0.88888888888888895</v>
      </c>
      <c r="AB68" s="1">
        <v>0.9</v>
      </c>
      <c r="AC68" s="33">
        <v>42570</v>
      </c>
    </row>
    <row r="69" spans="1:29" x14ac:dyDescent="0.35">
      <c r="A69" s="1" t="s">
        <v>289</v>
      </c>
      <c r="B69" s="1" t="s">
        <v>285</v>
      </c>
      <c r="C69" s="56">
        <v>41222.381770833301</v>
      </c>
      <c r="D69" s="56">
        <v>40988</v>
      </c>
      <c r="E69" s="56">
        <v>40997</v>
      </c>
      <c r="F69" s="1" t="s">
        <v>22</v>
      </c>
      <c r="G69" s="1" t="s">
        <v>286</v>
      </c>
      <c r="H69" s="1" t="s">
        <v>287</v>
      </c>
      <c r="I69" s="1" t="s">
        <v>288</v>
      </c>
      <c r="J69" s="1" t="s">
        <v>290</v>
      </c>
      <c r="K69" s="1">
        <v>741200</v>
      </c>
      <c r="L69" s="1">
        <v>0.5615</v>
      </c>
      <c r="M69" s="1">
        <v>0.28999999999999998</v>
      </c>
      <c r="N69" s="1">
        <v>0.68059999999999998</v>
      </c>
      <c r="O69" s="1">
        <v>27360.195</v>
      </c>
      <c r="P69" s="1">
        <v>12667105436</v>
      </c>
      <c r="Q69" s="1">
        <v>687200</v>
      </c>
      <c r="R69" s="1">
        <v>687200</v>
      </c>
      <c r="S69" s="1">
        <v>687200</v>
      </c>
      <c r="T69" s="1">
        <v>1000000</v>
      </c>
      <c r="U69" s="1">
        <v>1000000</v>
      </c>
      <c r="V69" s="1">
        <v>23807</v>
      </c>
      <c r="W69" s="1">
        <v>27275</v>
      </c>
      <c r="X69" s="1">
        <v>14.57</v>
      </c>
      <c r="Y69" s="1">
        <v>0</v>
      </c>
      <c r="Z69" s="1">
        <v>40000000</v>
      </c>
      <c r="AA69" s="1">
        <v>1</v>
      </c>
      <c r="AB69" s="1">
        <v>1</v>
      </c>
      <c r="AC69" s="33">
        <v>42572</v>
      </c>
    </row>
    <row r="70" spans="1:29" x14ac:dyDescent="0.35">
      <c r="A70" s="1" t="s">
        <v>295</v>
      </c>
      <c r="B70" s="1" t="s">
        <v>291</v>
      </c>
      <c r="C70" s="56">
        <v>42536.352407407401</v>
      </c>
      <c r="D70" s="56">
        <v>42473</v>
      </c>
      <c r="E70" s="56">
        <v>42475</v>
      </c>
      <c r="G70" s="1" t="s">
        <v>86</v>
      </c>
      <c r="H70" s="1" t="s">
        <v>301</v>
      </c>
      <c r="I70" s="1" t="s">
        <v>86</v>
      </c>
      <c r="J70" s="1" t="s">
        <v>302</v>
      </c>
      <c r="M70" s="1">
        <v>0.28999999999999998</v>
      </c>
      <c r="N70" s="1">
        <v>0.42149999999999999</v>
      </c>
      <c r="O70" s="1">
        <v>6766.0630000000001</v>
      </c>
      <c r="P70" s="1">
        <v>2673026804</v>
      </c>
      <c r="Q70" s="1">
        <v>342985</v>
      </c>
      <c r="R70" s="1">
        <v>3165750</v>
      </c>
      <c r="S70" s="1">
        <v>3165750</v>
      </c>
      <c r="T70" s="1">
        <v>692315</v>
      </c>
      <c r="U70" s="1">
        <v>3306250</v>
      </c>
      <c r="V70" s="1">
        <v>6283</v>
      </c>
      <c r="W70" s="1">
        <v>7149</v>
      </c>
      <c r="X70" s="1">
        <v>13.78</v>
      </c>
      <c r="Y70" s="1">
        <v>4000000</v>
      </c>
      <c r="Z70" s="1">
        <v>17000000</v>
      </c>
      <c r="AA70" s="1">
        <v>0.76470588235294101</v>
      </c>
      <c r="AB70" s="1">
        <v>0.80952380952380998</v>
      </c>
      <c r="AC70" s="33">
        <v>42571</v>
      </c>
    </row>
    <row r="71" spans="1:29" x14ac:dyDescent="0.35">
      <c r="A71" s="1" t="s">
        <v>295</v>
      </c>
      <c r="B71" s="1" t="s">
        <v>291</v>
      </c>
      <c r="C71" s="56">
        <v>41222.398356481499</v>
      </c>
      <c r="D71" s="56">
        <v>41066</v>
      </c>
      <c r="E71" s="56">
        <v>41101</v>
      </c>
      <c r="F71" s="1" t="s">
        <v>22</v>
      </c>
      <c r="G71" s="1" t="s">
        <v>292</v>
      </c>
      <c r="H71" s="1" t="s">
        <v>293</v>
      </c>
      <c r="I71" s="1" t="s">
        <v>294</v>
      </c>
      <c r="J71" s="1" t="s">
        <v>296</v>
      </c>
      <c r="K71" s="1">
        <v>2156650</v>
      </c>
      <c r="L71" s="1">
        <v>0.52629999999999999</v>
      </c>
      <c r="M71" s="1">
        <v>0.28999999999999998</v>
      </c>
      <c r="N71" s="1">
        <v>0.42149999999999999</v>
      </c>
      <c r="O71" s="1">
        <v>6766.0630000000001</v>
      </c>
      <c r="P71" s="1">
        <v>2673026804</v>
      </c>
      <c r="Q71" s="1">
        <v>2156650</v>
      </c>
      <c r="R71" s="1">
        <v>2156650</v>
      </c>
      <c r="S71" s="1">
        <v>2156650</v>
      </c>
      <c r="T71" s="1">
        <v>2284400</v>
      </c>
      <c r="U71" s="1">
        <v>2284400</v>
      </c>
      <c r="V71" s="1">
        <v>6283</v>
      </c>
      <c r="W71" s="1">
        <v>7149</v>
      </c>
      <c r="X71" s="1">
        <v>13.78</v>
      </c>
      <c r="Y71" s="1">
        <v>0</v>
      </c>
      <c r="Z71" s="1">
        <v>15000000</v>
      </c>
      <c r="AA71" s="1">
        <v>1</v>
      </c>
      <c r="AB71" s="1">
        <v>1</v>
      </c>
      <c r="AC71" s="33">
        <v>42572</v>
      </c>
    </row>
    <row r="72" spans="1:29" x14ac:dyDescent="0.35">
      <c r="A72" s="1" t="s">
        <v>295</v>
      </c>
      <c r="B72" s="1" t="s">
        <v>291</v>
      </c>
      <c r="C72" s="56">
        <v>41583.354629629597</v>
      </c>
      <c r="D72" s="56">
        <v>41410</v>
      </c>
      <c r="E72" s="56">
        <v>41515</v>
      </c>
      <c r="F72" s="1" t="s">
        <v>22</v>
      </c>
      <c r="G72" s="1" t="s">
        <v>297</v>
      </c>
      <c r="H72" s="1" t="s">
        <v>298</v>
      </c>
      <c r="I72" s="1" t="s">
        <v>299</v>
      </c>
      <c r="J72" s="1" t="s">
        <v>300</v>
      </c>
      <c r="K72" s="1">
        <v>266575</v>
      </c>
      <c r="L72" s="1">
        <v>0.52629999999999999</v>
      </c>
      <c r="M72" s="1">
        <v>0.28999999999999998</v>
      </c>
      <c r="N72" s="1">
        <v>0.42149999999999999</v>
      </c>
      <c r="O72" s="1">
        <v>6766.0630000000001</v>
      </c>
      <c r="P72" s="1">
        <v>2673026804</v>
      </c>
      <c r="Q72" s="1">
        <v>266575</v>
      </c>
      <c r="R72" s="1">
        <v>266575</v>
      </c>
      <c r="S72" s="1">
        <v>266575</v>
      </c>
      <c r="T72" s="1">
        <v>852675</v>
      </c>
      <c r="U72" s="1">
        <v>852675</v>
      </c>
      <c r="V72" s="1">
        <v>6283</v>
      </c>
      <c r="W72" s="1">
        <v>7149</v>
      </c>
      <c r="X72" s="1">
        <v>13.78</v>
      </c>
      <c r="Y72" s="1">
        <v>0</v>
      </c>
      <c r="Z72" s="1">
        <v>3000000</v>
      </c>
      <c r="AA72" s="1">
        <v>1</v>
      </c>
      <c r="AB72" s="1">
        <v>1</v>
      </c>
      <c r="AC72" s="33">
        <v>42572</v>
      </c>
    </row>
    <row r="73" spans="1:29" x14ac:dyDescent="0.35">
      <c r="A73" s="1" t="s">
        <v>888</v>
      </c>
      <c r="B73" s="1" t="s">
        <v>323</v>
      </c>
      <c r="D73" s="56">
        <v>40967</v>
      </c>
      <c r="E73" s="55">
        <v>40885</v>
      </c>
      <c r="G73" s="1" t="s">
        <v>887</v>
      </c>
      <c r="H73" s="26">
        <v>79520</v>
      </c>
    </row>
    <row r="74" spans="1:29" x14ac:dyDescent="0.35">
      <c r="A74" s="1" t="s">
        <v>306</v>
      </c>
      <c r="B74" s="1" t="s">
        <v>303</v>
      </c>
      <c r="C74" s="56">
        <v>42263.389016203699</v>
      </c>
      <c r="D74" s="56">
        <v>42200</v>
      </c>
      <c r="E74" s="56">
        <v>42205.4375</v>
      </c>
      <c r="F74" s="1" t="s">
        <v>304</v>
      </c>
      <c r="G74" s="1" t="s">
        <v>194</v>
      </c>
      <c r="H74" s="1" t="s">
        <v>305</v>
      </c>
      <c r="I74" s="1" t="s">
        <v>126</v>
      </c>
      <c r="J74" s="1" t="s">
        <v>307</v>
      </c>
      <c r="K74" s="1">
        <v>0</v>
      </c>
      <c r="L74" s="1">
        <v>5.4000000000000003E-3</v>
      </c>
      <c r="M74" s="1">
        <v>5.4000000000000003E-3</v>
      </c>
      <c r="N74" s="1">
        <v>0.18540000000000001</v>
      </c>
      <c r="O74" s="1">
        <v>491.28</v>
      </c>
      <c r="P74" s="1">
        <v>97482945</v>
      </c>
      <c r="Q74" s="1">
        <v>325550</v>
      </c>
      <c r="R74" s="1">
        <v>344550</v>
      </c>
      <c r="S74" s="1">
        <v>344550</v>
      </c>
      <c r="T74" s="1">
        <v>361773</v>
      </c>
      <c r="U74" s="1">
        <v>356598</v>
      </c>
      <c r="V74" s="1">
        <v>613</v>
      </c>
      <c r="W74" s="1">
        <v>555</v>
      </c>
      <c r="X74" s="1">
        <v>-9.4600000000000009</v>
      </c>
      <c r="Y74" s="1">
        <v>2450000</v>
      </c>
      <c r="Z74" s="1">
        <v>6050000</v>
      </c>
      <c r="AA74" s="1">
        <v>0.59504132231405005</v>
      </c>
      <c r="AB74" s="1">
        <v>0.71176470588235297</v>
      </c>
      <c r="AC74" s="33">
        <v>42570</v>
      </c>
    </row>
    <row r="75" spans="1:29" x14ac:dyDescent="0.35">
      <c r="A75" s="1" t="s">
        <v>312</v>
      </c>
      <c r="B75" s="1" t="s">
        <v>308</v>
      </c>
      <c r="C75" s="56">
        <v>40909</v>
      </c>
      <c r="D75" s="56">
        <v>40753</v>
      </c>
      <c r="E75" s="56">
        <v>40774</v>
      </c>
      <c r="F75" s="1" t="s">
        <v>22</v>
      </c>
      <c r="G75" s="1" t="s">
        <v>309</v>
      </c>
      <c r="H75" s="1" t="s">
        <v>310</v>
      </c>
      <c r="I75" s="1" t="s">
        <v>311</v>
      </c>
      <c r="J75" s="1" t="s">
        <v>313</v>
      </c>
      <c r="K75" s="1">
        <v>1346462</v>
      </c>
      <c r="L75" s="1">
        <v>0.59599999999999997</v>
      </c>
      <c r="M75" s="1">
        <v>0.28999999999999998</v>
      </c>
      <c r="N75" s="1">
        <v>0.56969999999999998</v>
      </c>
      <c r="O75" s="1">
        <v>8018.95</v>
      </c>
      <c r="P75" s="1">
        <v>3192551753</v>
      </c>
      <c r="Q75" s="1">
        <v>1214838</v>
      </c>
      <c r="R75" s="1">
        <v>1346462</v>
      </c>
      <c r="S75" s="1">
        <v>1346462</v>
      </c>
      <c r="T75" s="1">
        <v>1266225</v>
      </c>
      <c r="U75" s="1">
        <v>1459031.25</v>
      </c>
      <c r="V75" s="1">
        <v>7540</v>
      </c>
      <c r="W75" s="1">
        <v>8125</v>
      </c>
      <c r="X75" s="1">
        <v>7.76</v>
      </c>
      <c r="Y75" s="1">
        <v>0</v>
      </c>
      <c r="Z75" s="1">
        <v>26800000</v>
      </c>
      <c r="AA75" s="1">
        <v>1</v>
      </c>
      <c r="AB75" s="1">
        <v>1</v>
      </c>
      <c r="AC75" s="33">
        <v>42573</v>
      </c>
    </row>
    <row r="76" spans="1:29" x14ac:dyDescent="0.35">
      <c r="A76" s="1" t="s">
        <v>317</v>
      </c>
      <c r="B76" s="1" t="s">
        <v>314</v>
      </c>
      <c r="C76" s="56">
        <v>42263.389016203699</v>
      </c>
      <c r="D76" s="56">
        <v>42184</v>
      </c>
      <c r="E76" s="56">
        <v>42185.416666666701</v>
      </c>
      <c r="G76" s="1" t="s">
        <v>126</v>
      </c>
      <c r="H76" s="1" t="s">
        <v>319</v>
      </c>
      <c r="I76" s="1" t="s">
        <v>126</v>
      </c>
      <c r="J76" s="1" t="s">
        <v>320</v>
      </c>
      <c r="M76" s="1">
        <v>0.27529999999999999</v>
      </c>
      <c r="N76" s="1">
        <v>0.52990000000000004</v>
      </c>
      <c r="O76" s="1">
        <v>7978.6130000000003</v>
      </c>
      <c r="P76" s="1">
        <v>3105797085</v>
      </c>
      <c r="Q76" s="1">
        <v>3868950</v>
      </c>
      <c r="R76" s="1">
        <v>3280450</v>
      </c>
      <c r="S76" s="1">
        <v>3868950</v>
      </c>
      <c r="T76" s="1">
        <v>7800000</v>
      </c>
      <c r="U76" s="1">
        <v>780000</v>
      </c>
      <c r="V76" s="1">
        <v>7373</v>
      </c>
      <c r="W76" s="1">
        <v>8103</v>
      </c>
      <c r="X76" s="1">
        <v>9.9</v>
      </c>
      <c r="Y76" s="1">
        <v>0</v>
      </c>
      <c r="Z76" s="1">
        <v>75000000</v>
      </c>
      <c r="AA76" s="1">
        <v>1</v>
      </c>
      <c r="AB76" s="1">
        <v>1</v>
      </c>
      <c r="AC76" s="33">
        <v>42570</v>
      </c>
    </row>
    <row r="77" spans="1:29" x14ac:dyDescent="0.35">
      <c r="A77" s="1" t="s">
        <v>317</v>
      </c>
      <c r="B77" s="1" t="s">
        <v>314</v>
      </c>
      <c r="C77" s="56">
        <v>42536.352407407401</v>
      </c>
      <c r="D77" s="56">
        <v>42423</v>
      </c>
      <c r="E77" s="56">
        <v>42424</v>
      </c>
      <c r="G77" s="1" t="s">
        <v>74</v>
      </c>
      <c r="H77" s="1" t="s">
        <v>321</v>
      </c>
      <c r="I77" s="1" t="s">
        <v>74</v>
      </c>
      <c r="J77" s="1" t="s">
        <v>322</v>
      </c>
      <c r="M77" s="1">
        <v>0.27529999999999999</v>
      </c>
      <c r="N77" s="1">
        <v>0.52990000000000004</v>
      </c>
      <c r="O77" s="1">
        <v>7978.6130000000003</v>
      </c>
      <c r="P77" s="1">
        <v>3105797085</v>
      </c>
      <c r="Q77" s="1">
        <v>888682</v>
      </c>
      <c r="R77" s="1">
        <v>2217240</v>
      </c>
      <c r="S77" s="1">
        <v>2217240</v>
      </c>
      <c r="T77" s="1">
        <v>2000000</v>
      </c>
      <c r="U77" s="1">
        <v>7500000</v>
      </c>
      <c r="V77" s="1">
        <v>7373</v>
      </c>
      <c r="W77" s="1">
        <v>8103</v>
      </c>
      <c r="X77" s="1">
        <v>9.9</v>
      </c>
      <c r="Y77" s="1">
        <v>0</v>
      </c>
      <c r="Z77" s="1">
        <v>50000000</v>
      </c>
      <c r="AA77" s="1">
        <v>1</v>
      </c>
      <c r="AB77" s="1">
        <v>1</v>
      </c>
      <c r="AC77" s="33">
        <v>42571</v>
      </c>
    </row>
    <row r="78" spans="1:29" x14ac:dyDescent="0.35">
      <c r="A78" s="1" t="s">
        <v>317</v>
      </c>
      <c r="B78" s="1" t="s">
        <v>314</v>
      </c>
      <c r="C78" s="56">
        <v>40909</v>
      </c>
      <c r="D78" s="56">
        <v>40710</v>
      </c>
      <c r="E78" s="56">
        <v>40715</v>
      </c>
      <c r="F78" s="1" t="s">
        <v>22</v>
      </c>
      <c r="G78" s="1" t="s">
        <v>144</v>
      </c>
      <c r="H78" s="1" t="s">
        <v>315</v>
      </c>
      <c r="I78" s="1" t="s">
        <v>316</v>
      </c>
      <c r="J78" s="1" t="s">
        <v>318</v>
      </c>
      <c r="K78" s="1">
        <v>1230431</v>
      </c>
      <c r="L78" s="1">
        <v>0.27110000000000001</v>
      </c>
      <c r="M78" s="1">
        <v>0.27529999999999999</v>
      </c>
      <c r="N78" s="1">
        <v>0.52990000000000004</v>
      </c>
      <c r="O78" s="1">
        <v>7978.6130000000003</v>
      </c>
      <c r="P78" s="1">
        <v>3105797085</v>
      </c>
      <c r="Q78" s="1">
        <v>1228031</v>
      </c>
      <c r="R78" s="1">
        <v>1230431</v>
      </c>
      <c r="S78" s="1">
        <v>1230431</v>
      </c>
      <c r="T78" s="1">
        <v>1000000</v>
      </c>
      <c r="U78" s="1">
        <v>1000000</v>
      </c>
      <c r="V78" s="1">
        <v>7373</v>
      </c>
      <c r="W78" s="1">
        <v>8103</v>
      </c>
      <c r="X78" s="1">
        <v>9.9</v>
      </c>
      <c r="Y78" s="1">
        <v>0</v>
      </c>
      <c r="Z78" s="1">
        <v>2500000</v>
      </c>
      <c r="AA78" s="1">
        <v>1</v>
      </c>
      <c r="AB78" s="1">
        <v>1</v>
      </c>
      <c r="AC78" s="33">
        <v>42572</v>
      </c>
    </row>
    <row r="79" spans="1:29" x14ac:dyDescent="0.35">
      <c r="A79" s="1" t="s">
        <v>325</v>
      </c>
      <c r="B79" s="1" t="s">
        <v>323</v>
      </c>
      <c r="C79" s="56">
        <v>42151.581064814804</v>
      </c>
      <c r="D79" s="56">
        <v>42192</v>
      </c>
      <c r="E79" s="56">
        <v>42080</v>
      </c>
      <c r="F79" s="1" t="s">
        <v>152</v>
      </c>
      <c r="G79" s="1" t="s">
        <v>194</v>
      </c>
      <c r="H79" s="1" t="s">
        <v>324</v>
      </c>
      <c r="I79" s="1" t="s">
        <v>60</v>
      </c>
      <c r="J79" s="1" t="s">
        <v>326</v>
      </c>
      <c r="K79" s="1">
        <v>998700</v>
      </c>
      <c r="L79" s="1">
        <v>0.1196</v>
      </c>
      <c r="M79" s="1">
        <v>0.1198</v>
      </c>
      <c r="N79" s="1">
        <v>0.21190000000000001</v>
      </c>
      <c r="O79" s="1">
        <v>11194.478999999999</v>
      </c>
      <c r="P79" s="1">
        <v>1029243291</v>
      </c>
      <c r="Q79" s="1">
        <v>998700</v>
      </c>
      <c r="R79" s="1">
        <v>998700</v>
      </c>
      <c r="S79" s="1">
        <v>998700</v>
      </c>
      <c r="T79" s="1">
        <v>4000000</v>
      </c>
      <c r="U79" s="1">
        <v>4000000</v>
      </c>
      <c r="V79" s="1">
        <v>11547</v>
      </c>
      <c r="W79" s="1">
        <v>11594</v>
      </c>
      <c r="X79" s="1">
        <v>0.41</v>
      </c>
      <c r="Y79" s="1">
        <v>29201067</v>
      </c>
      <c r="Z79" s="1">
        <v>54916933</v>
      </c>
      <c r="AA79" s="1">
        <v>0.46826843006691599</v>
      </c>
      <c r="AB79" s="1">
        <v>0.65285590480039901</v>
      </c>
      <c r="AC79" s="33">
        <v>42570</v>
      </c>
    </row>
    <row r="80" spans="1:29" x14ac:dyDescent="0.35">
      <c r="A80" s="1" t="s">
        <v>329</v>
      </c>
      <c r="B80" s="1" t="s">
        <v>327</v>
      </c>
      <c r="C80" s="56">
        <v>42453.6401736111</v>
      </c>
      <c r="D80" s="56">
        <v>42376</v>
      </c>
      <c r="E80" s="56">
        <v>42376</v>
      </c>
      <c r="G80" s="1" t="s">
        <v>74</v>
      </c>
      <c r="H80" s="1" t="s">
        <v>328</v>
      </c>
      <c r="I80" s="1" t="s">
        <v>74</v>
      </c>
      <c r="J80" s="1" t="s">
        <v>330</v>
      </c>
      <c r="M80" s="1">
        <v>0.1162</v>
      </c>
      <c r="N80" s="1">
        <v>0.1162</v>
      </c>
      <c r="O80" s="1">
        <v>38960</v>
      </c>
      <c r="P80" s="1">
        <v>6761790570</v>
      </c>
      <c r="Q80" s="1">
        <v>5569667</v>
      </c>
      <c r="R80" s="1">
        <v>10780000</v>
      </c>
      <c r="S80" s="1">
        <v>10780000</v>
      </c>
      <c r="T80" s="1">
        <v>6243000</v>
      </c>
      <c r="U80" s="1">
        <v>12486000</v>
      </c>
      <c r="V80" s="1">
        <v>44456</v>
      </c>
      <c r="W80" s="1">
        <v>42007</v>
      </c>
      <c r="X80" s="1">
        <v>-5.51</v>
      </c>
      <c r="Y80" s="1">
        <v>0</v>
      </c>
      <c r="Z80" s="1">
        <v>250000000</v>
      </c>
      <c r="AA80" s="1">
        <v>1</v>
      </c>
      <c r="AB80" s="1">
        <v>1</v>
      </c>
      <c r="AC80" s="33">
        <v>42571</v>
      </c>
    </row>
    <row r="81" spans="1:29" x14ac:dyDescent="0.35">
      <c r="A81" s="1" t="s">
        <v>335</v>
      </c>
      <c r="B81" s="1" t="s">
        <v>331</v>
      </c>
      <c r="C81" s="56">
        <v>40909</v>
      </c>
      <c r="D81" s="56">
        <v>40758</v>
      </c>
      <c r="E81" s="56">
        <v>40759</v>
      </c>
      <c r="F81" s="1" t="s">
        <v>152</v>
      </c>
      <c r="G81" s="1" t="s">
        <v>332</v>
      </c>
      <c r="H81" s="1" t="s">
        <v>333</v>
      </c>
      <c r="I81" s="1" t="s">
        <v>334</v>
      </c>
      <c r="J81" s="1" t="s">
        <v>336</v>
      </c>
      <c r="K81" s="1">
        <v>1444350</v>
      </c>
      <c r="L81" s="1">
        <v>0.30819999999999997</v>
      </c>
      <c r="M81" s="1">
        <v>0.28999999999999998</v>
      </c>
      <c r="N81" s="1">
        <v>0.30709999999999998</v>
      </c>
      <c r="O81" s="1">
        <v>5731.6450000000004</v>
      </c>
      <c r="P81" s="1">
        <v>1740659821</v>
      </c>
      <c r="Q81" s="1">
        <v>1361100</v>
      </c>
      <c r="R81" s="1">
        <v>1444350</v>
      </c>
      <c r="S81" s="1">
        <v>1444350</v>
      </c>
      <c r="T81" s="1">
        <v>1371586</v>
      </c>
      <c r="U81" s="1">
        <v>1470586</v>
      </c>
      <c r="V81" s="1">
        <v>5914</v>
      </c>
      <c r="W81" s="1">
        <v>5938</v>
      </c>
      <c r="X81" s="1">
        <v>0.41</v>
      </c>
      <c r="Y81" s="1">
        <v>4625000</v>
      </c>
      <c r="Z81" s="1">
        <v>22036000</v>
      </c>
      <c r="AA81" s="1">
        <v>0.79011617353421704</v>
      </c>
      <c r="AB81" s="1">
        <v>0.82652563669779799</v>
      </c>
      <c r="AC81" s="33">
        <v>42573</v>
      </c>
    </row>
    <row r="82" spans="1:29" x14ac:dyDescent="0.35">
      <c r="A82" s="1" t="s">
        <v>335</v>
      </c>
      <c r="B82" s="1" t="s">
        <v>331</v>
      </c>
      <c r="C82" s="56">
        <v>41488.491990740702</v>
      </c>
      <c r="D82" s="56">
        <v>41424</v>
      </c>
      <c r="E82" s="56">
        <v>41431</v>
      </c>
      <c r="F82" s="1" t="s">
        <v>152</v>
      </c>
      <c r="G82" s="1" t="s">
        <v>35</v>
      </c>
      <c r="H82" s="1" t="s">
        <v>337</v>
      </c>
      <c r="I82" s="1" t="s">
        <v>37</v>
      </c>
      <c r="J82" s="1" t="s">
        <v>338</v>
      </c>
      <c r="K82" s="1">
        <v>938644</v>
      </c>
      <c r="L82" s="1">
        <v>0.30819999999999997</v>
      </c>
      <c r="M82" s="1">
        <v>0.28999999999999998</v>
      </c>
      <c r="N82" s="1">
        <v>0.30709999999999998</v>
      </c>
      <c r="O82" s="1">
        <v>5731.6450000000004</v>
      </c>
      <c r="P82" s="1">
        <v>1740659821</v>
      </c>
      <c r="Q82" s="1">
        <v>938644</v>
      </c>
      <c r="R82" s="1">
        <v>938644</v>
      </c>
      <c r="S82" s="1">
        <v>938644</v>
      </c>
      <c r="T82" s="1">
        <v>1015950</v>
      </c>
      <c r="U82" s="1">
        <v>1015950</v>
      </c>
      <c r="V82" s="1">
        <v>5914</v>
      </c>
      <c r="W82" s="1">
        <v>5938</v>
      </c>
      <c r="X82" s="1">
        <v>0.41</v>
      </c>
      <c r="Y82" s="1">
        <v>0</v>
      </c>
      <c r="Z82" s="1">
        <v>2195000</v>
      </c>
      <c r="AA82" s="1">
        <v>1</v>
      </c>
      <c r="AB82" s="1">
        <v>1</v>
      </c>
      <c r="AC82" s="33">
        <v>42572</v>
      </c>
    </row>
    <row r="83" spans="1:29" x14ac:dyDescent="0.35">
      <c r="A83" s="1" t="s">
        <v>341</v>
      </c>
      <c r="B83" s="1" t="s">
        <v>339</v>
      </c>
      <c r="C83" s="56">
        <v>42536.352407407401</v>
      </c>
      <c r="D83" s="56">
        <v>42527</v>
      </c>
      <c r="E83" s="56">
        <v>42570</v>
      </c>
      <c r="G83" s="1" t="s">
        <v>72</v>
      </c>
      <c r="H83" s="1" t="s">
        <v>340</v>
      </c>
      <c r="I83" s="1" t="s">
        <v>74</v>
      </c>
      <c r="J83" s="1" t="s">
        <v>342</v>
      </c>
      <c r="M83" s="1">
        <v>5.4300000000000001E-2</v>
      </c>
      <c r="N83" s="1">
        <v>6.8900000000000003E-2</v>
      </c>
      <c r="O83" s="1">
        <v>1272.4000000000001</v>
      </c>
      <c r="P83" s="1">
        <v>61978391</v>
      </c>
      <c r="T83" s="1">
        <v>5901</v>
      </c>
      <c r="U83" s="1">
        <v>283267</v>
      </c>
      <c r="V83" s="1">
        <v>1342</v>
      </c>
      <c r="W83" s="1">
        <v>1192</v>
      </c>
      <c r="X83" s="1">
        <v>-11.18</v>
      </c>
      <c r="Y83" s="1">
        <v>4400000</v>
      </c>
      <c r="Z83" s="1">
        <v>5600000</v>
      </c>
      <c r="AA83" s="1">
        <v>0.214285714285714</v>
      </c>
      <c r="AB83" s="1">
        <v>0.56000000000000005</v>
      </c>
      <c r="AC83" s="33">
        <v>42571</v>
      </c>
    </row>
    <row r="84" spans="1:29" x14ac:dyDescent="0.35">
      <c r="A84" s="1" t="s">
        <v>345</v>
      </c>
      <c r="B84" s="1" t="s">
        <v>343</v>
      </c>
      <c r="C84" s="56">
        <v>41222.393333333297</v>
      </c>
      <c r="D84" s="56">
        <v>41068</v>
      </c>
      <c r="E84" s="56">
        <v>41072</v>
      </c>
      <c r="F84" s="1" t="s">
        <v>152</v>
      </c>
      <c r="G84" s="1" t="s">
        <v>347</v>
      </c>
      <c r="H84" s="1" t="s">
        <v>348</v>
      </c>
      <c r="I84" s="1" t="s">
        <v>25</v>
      </c>
      <c r="J84" s="1" t="s">
        <v>349</v>
      </c>
      <c r="K84" s="1">
        <v>6468500</v>
      </c>
      <c r="L84" s="1">
        <v>0.23069999999999999</v>
      </c>
      <c r="M84" s="1">
        <v>0.22650000000000001</v>
      </c>
      <c r="N84" s="1">
        <v>0.22650000000000001</v>
      </c>
      <c r="O84" s="1">
        <v>42877.5</v>
      </c>
      <c r="P84" s="1">
        <v>8581906912</v>
      </c>
      <c r="Q84" s="1">
        <v>6468500</v>
      </c>
      <c r="R84" s="1">
        <v>6468500</v>
      </c>
      <c r="S84" s="1">
        <v>6468500</v>
      </c>
      <c r="T84" s="1">
        <v>7283178</v>
      </c>
      <c r="U84" s="1">
        <v>7283178</v>
      </c>
      <c r="V84" s="1">
        <v>42285</v>
      </c>
      <c r="W84" s="1">
        <v>45078</v>
      </c>
      <c r="X84" s="1">
        <v>6.61</v>
      </c>
      <c r="Y84" s="1">
        <v>0</v>
      </c>
      <c r="Z84" s="1">
        <v>147000000</v>
      </c>
      <c r="AA84" s="1">
        <v>1</v>
      </c>
      <c r="AB84" s="1">
        <v>1</v>
      </c>
      <c r="AC84" s="33">
        <v>42572</v>
      </c>
    </row>
    <row r="85" spans="1:29" s="57" customFormat="1" x14ac:dyDescent="0.35">
      <c r="A85" s="57" t="s">
        <v>345</v>
      </c>
      <c r="B85" s="57" t="s">
        <v>343</v>
      </c>
      <c r="C85" s="58">
        <v>41488.491990740702</v>
      </c>
      <c r="D85" s="59">
        <v>41444</v>
      </c>
      <c r="E85" s="58">
        <v>41450</v>
      </c>
      <c r="F85" s="57" t="s">
        <v>152</v>
      </c>
      <c r="G85" s="57" t="s">
        <v>350</v>
      </c>
      <c r="H85" s="57" t="s">
        <v>351</v>
      </c>
      <c r="I85" s="57" t="s">
        <v>352</v>
      </c>
      <c r="J85" s="57" t="s">
        <v>353</v>
      </c>
      <c r="K85" s="57">
        <v>4764500</v>
      </c>
      <c r="L85" s="57">
        <v>0.23069999999999999</v>
      </c>
      <c r="M85" s="57">
        <v>0.22650000000000001</v>
      </c>
      <c r="N85" s="57">
        <v>0.22650000000000001</v>
      </c>
      <c r="O85" s="57">
        <v>42877.5</v>
      </c>
      <c r="P85" s="57">
        <v>8581906912</v>
      </c>
      <c r="Q85" s="57">
        <v>4764500</v>
      </c>
      <c r="R85" s="57">
        <v>4764500</v>
      </c>
      <c r="S85" s="57">
        <v>4764500</v>
      </c>
      <c r="T85" s="57">
        <v>5000000</v>
      </c>
      <c r="U85" s="57">
        <v>5000000</v>
      </c>
      <c r="V85" s="57">
        <v>42285</v>
      </c>
      <c r="W85" s="57">
        <v>45078</v>
      </c>
      <c r="X85" s="57">
        <v>6.61</v>
      </c>
      <c r="Y85" s="57">
        <v>0</v>
      </c>
      <c r="Z85" s="57">
        <v>100000000</v>
      </c>
      <c r="AA85" s="57">
        <v>1</v>
      </c>
      <c r="AB85" s="57">
        <v>1</v>
      </c>
      <c r="AC85" s="60">
        <v>42572</v>
      </c>
    </row>
    <row r="86" spans="1:29" x14ac:dyDescent="0.35">
      <c r="A86" s="1" t="s">
        <v>345</v>
      </c>
      <c r="B86" s="1" t="s">
        <v>343</v>
      </c>
      <c r="C86" s="56">
        <v>40997</v>
      </c>
      <c r="D86" s="56">
        <v>40750</v>
      </c>
      <c r="E86" s="56">
        <v>40757</v>
      </c>
      <c r="F86" s="1" t="s">
        <v>152</v>
      </c>
      <c r="G86" s="1" t="s">
        <v>332</v>
      </c>
      <c r="H86" s="1" t="s">
        <v>344</v>
      </c>
      <c r="I86" s="1" t="s">
        <v>334</v>
      </c>
      <c r="J86" s="1" t="s">
        <v>346</v>
      </c>
      <c r="K86" s="1">
        <v>2485275</v>
      </c>
      <c r="L86" s="1">
        <v>0.23069999999999999</v>
      </c>
      <c r="M86" s="1">
        <v>0.22650000000000001</v>
      </c>
      <c r="N86" s="1">
        <v>0.22650000000000001</v>
      </c>
      <c r="O86" s="1">
        <v>42877.5</v>
      </c>
      <c r="P86" s="1">
        <v>8581906912</v>
      </c>
      <c r="Q86" s="1">
        <v>2488725</v>
      </c>
      <c r="R86" s="1">
        <v>2485275</v>
      </c>
      <c r="S86" s="1">
        <v>2488725</v>
      </c>
      <c r="T86" s="1">
        <v>2568759</v>
      </c>
      <c r="U86" s="1">
        <v>2566359</v>
      </c>
      <c r="V86" s="1">
        <v>42285</v>
      </c>
      <c r="W86" s="1">
        <v>45078</v>
      </c>
      <c r="X86" s="1">
        <v>6.61</v>
      </c>
      <c r="Y86" s="1">
        <v>0</v>
      </c>
      <c r="Z86" s="1">
        <v>50400000</v>
      </c>
      <c r="AA86" s="1">
        <v>1</v>
      </c>
      <c r="AB86" s="1">
        <v>1</v>
      </c>
      <c r="AC86" s="33">
        <v>42573</v>
      </c>
    </row>
    <row r="87" spans="1:29" x14ac:dyDescent="0.35">
      <c r="A87" s="1" t="s">
        <v>358</v>
      </c>
      <c r="B87" s="1" t="s">
        <v>354</v>
      </c>
      <c r="C87" s="56">
        <v>41222.398356481499</v>
      </c>
      <c r="D87" s="56">
        <v>41117</v>
      </c>
      <c r="E87" s="56">
        <v>41120</v>
      </c>
      <c r="F87" s="1" t="s">
        <v>22</v>
      </c>
      <c r="G87" s="1" t="s">
        <v>355</v>
      </c>
      <c r="H87" s="1" t="s">
        <v>356</v>
      </c>
      <c r="I87" s="1" t="s">
        <v>357</v>
      </c>
      <c r="J87" s="1" t="s">
        <v>359</v>
      </c>
      <c r="M87" s="1">
        <v>0.15509999999999999</v>
      </c>
      <c r="N87" s="1">
        <v>0.15509999999999999</v>
      </c>
      <c r="O87" s="1">
        <v>3623.623</v>
      </c>
      <c r="P87" s="1">
        <v>1464557035</v>
      </c>
      <c r="Q87" s="1">
        <v>728450</v>
      </c>
      <c r="R87" s="1">
        <v>728450</v>
      </c>
      <c r="S87" s="1">
        <v>728450</v>
      </c>
      <c r="T87" s="1">
        <v>620081.26</v>
      </c>
      <c r="U87" s="1">
        <v>620081.26</v>
      </c>
      <c r="V87" s="1">
        <v>3623</v>
      </c>
      <c r="W87" s="1">
        <v>3675</v>
      </c>
      <c r="X87" s="1">
        <v>1.44</v>
      </c>
      <c r="Y87" s="1">
        <v>0</v>
      </c>
      <c r="Z87" s="1">
        <v>17425000</v>
      </c>
      <c r="AA87" s="1">
        <v>1</v>
      </c>
      <c r="AB87" s="1">
        <v>1</v>
      </c>
      <c r="AC87" s="33">
        <v>42572</v>
      </c>
    </row>
    <row r="88" spans="1:29" x14ac:dyDescent="0.35">
      <c r="A88" s="1" t="s">
        <v>362</v>
      </c>
      <c r="B88" s="1" t="s">
        <v>360</v>
      </c>
      <c r="C88" s="56">
        <v>41222.398356481499</v>
      </c>
      <c r="D88" s="56">
        <v>41092</v>
      </c>
      <c r="E88" s="56">
        <v>41113.458333333299</v>
      </c>
      <c r="F88" s="1" t="s">
        <v>22</v>
      </c>
      <c r="G88" s="1" t="s">
        <v>45</v>
      </c>
      <c r="H88" s="1" t="s">
        <v>361</v>
      </c>
      <c r="I88" s="1" t="s">
        <v>25</v>
      </c>
      <c r="J88" s="1" t="s">
        <v>363</v>
      </c>
      <c r="K88" s="1">
        <v>352788</v>
      </c>
      <c r="L88" s="1">
        <v>0.15809999999999999</v>
      </c>
      <c r="M88" s="1">
        <v>0.1477</v>
      </c>
      <c r="N88" s="1">
        <v>0.1477</v>
      </c>
      <c r="O88" s="1">
        <v>1806.825</v>
      </c>
      <c r="P88" s="1">
        <v>576567816</v>
      </c>
      <c r="Q88" s="1">
        <v>351288</v>
      </c>
      <c r="R88" s="1">
        <v>352788</v>
      </c>
      <c r="S88" s="1">
        <v>352788</v>
      </c>
      <c r="T88" s="1">
        <v>400000</v>
      </c>
      <c r="U88" s="1">
        <v>400000</v>
      </c>
      <c r="V88" s="1">
        <v>1909</v>
      </c>
      <c r="W88" s="1">
        <v>1865</v>
      </c>
      <c r="X88" s="1">
        <v>-2.2999999999999998</v>
      </c>
      <c r="Y88" s="1">
        <v>0</v>
      </c>
      <c r="Z88" s="1">
        <v>7000000</v>
      </c>
      <c r="AA88" s="1">
        <v>1</v>
      </c>
      <c r="AB88" s="1">
        <v>1</v>
      </c>
      <c r="AC88" s="33">
        <v>42572</v>
      </c>
    </row>
    <row r="89" spans="1:29" x14ac:dyDescent="0.35">
      <c r="A89" s="1" t="s">
        <v>366</v>
      </c>
      <c r="B89" s="1" t="s">
        <v>364</v>
      </c>
      <c r="C89" s="56">
        <v>41927.558125000003</v>
      </c>
      <c r="D89" s="56">
        <v>41844</v>
      </c>
      <c r="E89" s="56">
        <v>41844</v>
      </c>
      <c r="F89" s="1" t="s">
        <v>152</v>
      </c>
      <c r="G89" s="1" t="s">
        <v>29</v>
      </c>
      <c r="H89" s="1" t="s">
        <v>365</v>
      </c>
      <c r="I89" s="1" t="s">
        <v>31</v>
      </c>
      <c r="J89" s="1" t="s">
        <v>367</v>
      </c>
      <c r="K89" s="1">
        <v>194700</v>
      </c>
      <c r="L89" s="1">
        <v>0.15629999999999999</v>
      </c>
      <c r="M89" s="1">
        <v>0.15479999999999999</v>
      </c>
      <c r="N89" s="1">
        <v>0.15479999999999999</v>
      </c>
      <c r="O89" s="1">
        <v>384.81700000000001</v>
      </c>
      <c r="P89" s="1">
        <v>42317016</v>
      </c>
      <c r="Q89" s="1">
        <v>194700</v>
      </c>
      <c r="R89" s="1">
        <v>194700</v>
      </c>
      <c r="S89" s="1">
        <v>194700</v>
      </c>
      <c r="T89" s="1">
        <v>199400</v>
      </c>
      <c r="U89" s="1">
        <v>198100</v>
      </c>
      <c r="V89" s="1">
        <v>313</v>
      </c>
      <c r="W89" s="1">
        <v>378</v>
      </c>
      <c r="X89" s="1">
        <v>20.77</v>
      </c>
      <c r="Y89" s="1">
        <v>0</v>
      </c>
      <c r="Z89" s="1">
        <v>3420000</v>
      </c>
      <c r="AA89" s="1">
        <v>1</v>
      </c>
      <c r="AB89" s="1">
        <v>1</v>
      </c>
      <c r="AC89" s="33">
        <v>42572</v>
      </c>
    </row>
    <row r="90" spans="1:29" x14ac:dyDescent="0.35">
      <c r="A90" s="1" t="s">
        <v>370</v>
      </c>
      <c r="B90" s="1" t="s">
        <v>368</v>
      </c>
      <c r="C90" s="56">
        <v>42263.389016203699</v>
      </c>
      <c r="D90" s="56">
        <v>42200</v>
      </c>
      <c r="E90" s="56">
        <v>42201</v>
      </c>
      <c r="F90" s="1" t="s">
        <v>22</v>
      </c>
      <c r="G90" s="1" t="s">
        <v>194</v>
      </c>
      <c r="H90" s="1" t="s">
        <v>369</v>
      </c>
      <c r="I90" s="1" t="s">
        <v>126</v>
      </c>
      <c r="J90" s="1" t="s">
        <v>371</v>
      </c>
      <c r="K90" s="1">
        <v>0</v>
      </c>
      <c r="L90" s="1">
        <v>9.1000000000000004E-3</v>
      </c>
      <c r="M90" s="1">
        <v>6.3E-3</v>
      </c>
      <c r="N90" s="1">
        <v>9.9599999999999994E-2</v>
      </c>
      <c r="O90" s="1">
        <v>507.65199999999999</v>
      </c>
      <c r="P90" s="1">
        <v>95090476</v>
      </c>
      <c r="Q90" s="1">
        <v>156700</v>
      </c>
      <c r="R90" s="1">
        <v>156700</v>
      </c>
      <c r="S90" s="1">
        <v>156700</v>
      </c>
      <c r="T90" s="1">
        <v>141563</v>
      </c>
      <c r="U90" s="1">
        <v>141563</v>
      </c>
      <c r="V90" s="1">
        <v>438</v>
      </c>
      <c r="W90" s="1">
        <v>477</v>
      </c>
      <c r="X90" s="1">
        <v>8.9</v>
      </c>
      <c r="Y90" s="1">
        <v>0</v>
      </c>
      <c r="Z90" s="1">
        <v>4000000</v>
      </c>
      <c r="AA90" s="1">
        <v>1</v>
      </c>
      <c r="AB90" s="1">
        <v>1</v>
      </c>
      <c r="AC90" s="33">
        <v>42570</v>
      </c>
    </row>
    <row r="91" spans="1:29" x14ac:dyDescent="0.35">
      <c r="A91" s="1" t="s">
        <v>376</v>
      </c>
      <c r="B91" s="1" t="s">
        <v>372</v>
      </c>
      <c r="C91" s="56">
        <v>40908</v>
      </c>
      <c r="D91" s="56">
        <v>40416</v>
      </c>
      <c r="E91" s="56">
        <v>40238</v>
      </c>
      <c r="G91" s="1" t="s">
        <v>373</v>
      </c>
      <c r="H91" s="1" t="s">
        <v>374</v>
      </c>
      <c r="I91" s="1" t="s">
        <v>375</v>
      </c>
      <c r="J91" s="1" t="s">
        <v>377</v>
      </c>
      <c r="K91" s="1">
        <v>0</v>
      </c>
      <c r="L91" s="1">
        <v>0.46679999999999999</v>
      </c>
      <c r="M91" s="1">
        <v>0.28999999999999998</v>
      </c>
      <c r="N91" s="1">
        <v>0.33439999999999998</v>
      </c>
      <c r="O91" s="1">
        <v>2922</v>
      </c>
      <c r="P91" s="1">
        <v>739189076</v>
      </c>
      <c r="Q91" s="1">
        <v>557250</v>
      </c>
      <c r="R91" s="1">
        <v>557250</v>
      </c>
      <c r="S91" s="1">
        <v>557250</v>
      </c>
      <c r="T91" s="1">
        <v>614750</v>
      </c>
      <c r="U91" s="1">
        <v>614750</v>
      </c>
      <c r="V91" s="1">
        <v>2587</v>
      </c>
      <c r="W91" s="1">
        <v>3015</v>
      </c>
      <c r="X91" s="1">
        <v>16.54</v>
      </c>
      <c r="Y91" s="1">
        <v>0</v>
      </c>
      <c r="Z91" s="1">
        <v>12295000</v>
      </c>
      <c r="AA91" s="1">
        <v>1</v>
      </c>
      <c r="AB91" s="1">
        <v>1</v>
      </c>
      <c r="AC91" s="33">
        <v>42573</v>
      </c>
    </row>
    <row r="92" spans="1:29" x14ac:dyDescent="0.35">
      <c r="A92" s="1" t="s">
        <v>381</v>
      </c>
      <c r="B92" s="1" t="s">
        <v>378</v>
      </c>
      <c r="C92" s="56">
        <v>42536.352407407401</v>
      </c>
      <c r="D92" s="56">
        <v>42522</v>
      </c>
      <c r="E92" s="56">
        <v>42597</v>
      </c>
      <c r="G92" s="1" t="s">
        <v>72</v>
      </c>
      <c r="H92" s="1" t="s">
        <v>379</v>
      </c>
      <c r="I92" s="1" t="s">
        <v>380</v>
      </c>
      <c r="J92" s="1" t="s">
        <v>382</v>
      </c>
      <c r="M92" s="1">
        <v>0.28999999999999998</v>
      </c>
      <c r="N92" s="1">
        <v>0.45029999999999998</v>
      </c>
      <c r="O92" s="1">
        <v>9800</v>
      </c>
      <c r="P92" s="1">
        <v>3085034504</v>
      </c>
      <c r="T92" s="1">
        <v>0</v>
      </c>
      <c r="U92" s="1">
        <v>3974700</v>
      </c>
      <c r="V92" s="1">
        <v>9054</v>
      </c>
      <c r="W92" s="1">
        <v>10917</v>
      </c>
      <c r="X92" s="1">
        <v>20.58</v>
      </c>
      <c r="Y92" s="1">
        <v>0</v>
      </c>
      <c r="Z92" s="1">
        <v>70000000</v>
      </c>
      <c r="AA92" s="1">
        <v>1</v>
      </c>
      <c r="AB92" s="1">
        <v>1</v>
      </c>
      <c r="AC92" s="33">
        <v>42571</v>
      </c>
    </row>
    <row r="93" spans="1:29" x14ac:dyDescent="0.35">
      <c r="A93" s="1" t="s">
        <v>385</v>
      </c>
      <c r="B93" s="1" t="s">
        <v>383</v>
      </c>
      <c r="C93" s="56">
        <v>40909</v>
      </c>
      <c r="D93" s="56">
        <v>40519</v>
      </c>
      <c r="E93" s="56">
        <v>40560</v>
      </c>
      <c r="F93" s="1" t="s">
        <v>22</v>
      </c>
      <c r="G93" s="1" t="s">
        <v>50</v>
      </c>
      <c r="H93" s="1" t="s">
        <v>384</v>
      </c>
      <c r="I93" s="1" t="s">
        <v>52</v>
      </c>
      <c r="J93" s="1" t="s">
        <v>386</v>
      </c>
      <c r="K93" s="1">
        <v>934725</v>
      </c>
      <c r="L93" s="1">
        <v>0.27829999999999999</v>
      </c>
      <c r="M93" s="1">
        <v>0.27389999999999998</v>
      </c>
      <c r="N93" s="1">
        <v>0.27389999999999998</v>
      </c>
      <c r="O93" s="1">
        <v>4291.2039999999997</v>
      </c>
      <c r="P93" s="1">
        <v>1163650670</v>
      </c>
      <c r="Q93" s="1">
        <v>931900</v>
      </c>
      <c r="R93" s="1">
        <v>934725</v>
      </c>
      <c r="S93" s="1">
        <v>934725</v>
      </c>
      <c r="T93" s="1">
        <v>994875</v>
      </c>
      <c r="U93" s="1">
        <v>995500</v>
      </c>
      <c r="V93" s="1">
        <v>4498</v>
      </c>
      <c r="W93" s="1">
        <v>4643</v>
      </c>
      <c r="X93" s="1">
        <v>3.22</v>
      </c>
      <c r="Y93" s="1">
        <v>13787500</v>
      </c>
      <c r="Z93" s="1">
        <v>4662500</v>
      </c>
      <c r="AA93" s="1">
        <v>-1.95710455764075</v>
      </c>
      <c r="AB93" s="1">
        <v>0.25271002710027102</v>
      </c>
      <c r="AC93" s="33">
        <v>42573</v>
      </c>
    </row>
    <row r="94" spans="1:29" x14ac:dyDescent="0.35">
      <c r="A94" s="1" t="s">
        <v>389</v>
      </c>
      <c r="B94" s="1" t="s">
        <v>387</v>
      </c>
      <c r="C94" s="56">
        <v>42453.6401736111</v>
      </c>
      <c r="D94" s="56">
        <v>42401</v>
      </c>
      <c r="E94" s="56">
        <v>42404</v>
      </c>
      <c r="G94" s="1" t="s">
        <v>72</v>
      </c>
      <c r="H94" s="1" t="s">
        <v>388</v>
      </c>
      <c r="I94" s="1" t="s">
        <v>74</v>
      </c>
      <c r="J94" s="1" t="s">
        <v>390</v>
      </c>
      <c r="M94" s="1">
        <v>7.7600000000000002E-2</v>
      </c>
      <c r="N94" s="1">
        <v>0.12859999999999999</v>
      </c>
      <c r="O94" s="1">
        <v>513.76499999999999</v>
      </c>
      <c r="P94" s="1">
        <v>143438430</v>
      </c>
      <c r="Q94" s="1">
        <v>0</v>
      </c>
      <c r="R94" s="1">
        <v>454425</v>
      </c>
      <c r="S94" s="1">
        <v>454425</v>
      </c>
      <c r="T94" s="1">
        <v>0</v>
      </c>
      <c r="U94" s="1">
        <v>521463</v>
      </c>
      <c r="V94" s="1">
        <v>532</v>
      </c>
      <c r="W94" s="1">
        <v>540</v>
      </c>
      <c r="X94" s="1">
        <v>1.5</v>
      </c>
      <c r="Y94" s="1">
        <v>2000000</v>
      </c>
      <c r="Z94" s="1">
        <v>6500000</v>
      </c>
      <c r="AA94" s="1">
        <v>0.69230769230769196</v>
      </c>
      <c r="AB94" s="1">
        <v>0.76470588235294101</v>
      </c>
      <c r="AC94" s="33">
        <v>42571</v>
      </c>
    </row>
    <row r="95" spans="1:29" x14ac:dyDescent="0.35">
      <c r="A95" s="1" t="s">
        <v>393</v>
      </c>
      <c r="B95" s="1" t="s">
        <v>391</v>
      </c>
      <c r="C95" s="56">
        <v>40997</v>
      </c>
      <c r="D95" s="56">
        <v>40868</v>
      </c>
      <c r="E95" s="56">
        <v>40878</v>
      </c>
      <c r="F95" s="1" t="s">
        <v>22</v>
      </c>
      <c r="G95" s="1" t="s">
        <v>229</v>
      </c>
      <c r="H95" s="1" t="s">
        <v>392</v>
      </c>
      <c r="I95" s="1" t="s">
        <v>52</v>
      </c>
      <c r="J95" s="1" t="s">
        <v>394</v>
      </c>
      <c r="K95" s="1">
        <v>88375</v>
      </c>
      <c r="L95" s="1">
        <v>0.5393</v>
      </c>
      <c r="M95" s="1">
        <v>0.2261</v>
      </c>
      <c r="N95" s="1">
        <v>0.2261</v>
      </c>
      <c r="O95" s="1">
        <v>421.62400000000002</v>
      </c>
      <c r="P95" s="1">
        <v>81031689</v>
      </c>
      <c r="Q95" s="1">
        <v>93975</v>
      </c>
      <c r="R95" s="1">
        <v>88375</v>
      </c>
      <c r="S95" s="1">
        <v>93975</v>
      </c>
      <c r="T95" s="1">
        <v>91900</v>
      </c>
      <c r="U95" s="1">
        <v>86450</v>
      </c>
      <c r="V95" s="1">
        <v>133</v>
      </c>
      <c r="W95" s="1">
        <v>457</v>
      </c>
      <c r="X95" s="1">
        <v>243.61</v>
      </c>
      <c r="Y95" s="1">
        <v>0</v>
      </c>
      <c r="Z95" s="1">
        <v>2000000</v>
      </c>
      <c r="AA95" s="1">
        <v>1</v>
      </c>
      <c r="AB95" s="1">
        <v>1</v>
      </c>
      <c r="AC95" s="33">
        <v>42573</v>
      </c>
    </row>
    <row r="96" spans="1:29" x14ac:dyDescent="0.35">
      <c r="A96" s="1" t="s">
        <v>397</v>
      </c>
      <c r="B96" s="1" t="s">
        <v>395</v>
      </c>
      <c r="C96" s="56">
        <v>42111.427094907398</v>
      </c>
      <c r="D96" s="56">
        <v>42030</v>
      </c>
      <c r="E96" s="56">
        <v>42033.416666666701</v>
      </c>
      <c r="F96" s="1" t="s">
        <v>22</v>
      </c>
      <c r="G96" s="1" t="s">
        <v>96</v>
      </c>
      <c r="H96" s="1" t="s">
        <v>396</v>
      </c>
      <c r="I96" s="1" t="s">
        <v>126</v>
      </c>
      <c r="J96" s="1" t="s">
        <v>398</v>
      </c>
      <c r="K96" s="1">
        <v>325138</v>
      </c>
      <c r="L96" s="1">
        <v>0.30499999999999999</v>
      </c>
      <c r="M96" s="1">
        <v>0.28999999999999998</v>
      </c>
      <c r="N96" s="1">
        <v>0.3775</v>
      </c>
      <c r="O96" s="1">
        <v>1470</v>
      </c>
      <c r="P96" s="1">
        <v>516523661</v>
      </c>
      <c r="Q96" s="1">
        <v>322038</v>
      </c>
      <c r="R96" s="1">
        <v>325138</v>
      </c>
      <c r="S96" s="1">
        <v>325138</v>
      </c>
      <c r="T96" s="1">
        <v>1000000</v>
      </c>
      <c r="U96" s="1">
        <v>1000000</v>
      </c>
      <c r="V96" s="1">
        <v>1346</v>
      </c>
      <c r="W96" s="1">
        <v>1480</v>
      </c>
      <c r="X96" s="1">
        <v>9.9600000000000009</v>
      </c>
      <c r="Y96" s="1">
        <v>0</v>
      </c>
      <c r="Z96" s="1">
        <v>6900000</v>
      </c>
      <c r="AA96" s="1">
        <v>1</v>
      </c>
      <c r="AB96" s="1">
        <v>1</v>
      </c>
      <c r="AC96" s="33">
        <v>42570</v>
      </c>
    </row>
    <row r="97" spans="1:29" x14ac:dyDescent="0.35">
      <c r="A97" s="1" t="s">
        <v>401</v>
      </c>
      <c r="B97" s="1" t="s">
        <v>399</v>
      </c>
      <c r="C97" s="56">
        <v>42237.624247685198</v>
      </c>
      <c r="D97" s="56">
        <v>42137</v>
      </c>
      <c r="E97" s="56">
        <v>42138.416666666701</v>
      </c>
      <c r="G97" s="1" t="s">
        <v>126</v>
      </c>
      <c r="H97" s="1" t="s">
        <v>403</v>
      </c>
      <c r="I97" s="1" t="s">
        <v>126</v>
      </c>
      <c r="J97" s="1" t="s">
        <v>404</v>
      </c>
      <c r="M97" s="1">
        <v>0.28999999999999998</v>
      </c>
      <c r="N97" s="1">
        <v>0.29449999999999998</v>
      </c>
      <c r="O97" s="1">
        <v>720</v>
      </c>
      <c r="P97" s="1">
        <v>220540237</v>
      </c>
      <c r="Q97" s="1">
        <v>156750</v>
      </c>
      <c r="R97" s="1">
        <v>114000</v>
      </c>
      <c r="S97" s="1">
        <v>156750</v>
      </c>
      <c r="T97" s="1">
        <v>500000</v>
      </c>
      <c r="U97" s="1">
        <v>500000</v>
      </c>
      <c r="V97" s="1">
        <v>783</v>
      </c>
      <c r="W97" s="1">
        <v>801</v>
      </c>
      <c r="X97" s="1">
        <v>2.2999999999999998</v>
      </c>
      <c r="Y97" s="1">
        <v>0</v>
      </c>
      <c r="Z97" s="1">
        <v>2000000</v>
      </c>
      <c r="AA97" s="1">
        <v>1</v>
      </c>
      <c r="AB97" s="1">
        <v>1</v>
      </c>
      <c r="AC97" s="33">
        <v>42570</v>
      </c>
    </row>
    <row r="98" spans="1:29" x14ac:dyDescent="0.35">
      <c r="A98" s="1" t="s">
        <v>401</v>
      </c>
      <c r="B98" s="1" t="s">
        <v>399</v>
      </c>
      <c r="C98" s="56">
        <v>41222.371319444399</v>
      </c>
      <c r="D98" s="56">
        <v>40988</v>
      </c>
      <c r="E98" s="56">
        <v>40990</v>
      </c>
      <c r="F98" s="1" t="s">
        <v>22</v>
      </c>
      <c r="G98" s="1" t="s">
        <v>45</v>
      </c>
      <c r="H98" s="1" t="s">
        <v>400</v>
      </c>
      <c r="I98" s="1" t="s">
        <v>25</v>
      </c>
      <c r="J98" s="1" t="s">
        <v>402</v>
      </c>
      <c r="K98" s="1">
        <v>31500</v>
      </c>
      <c r="L98" s="1">
        <v>0.32750000000000001</v>
      </c>
      <c r="M98" s="1">
        <v>0.28999999999999998</v>
      </c>
      <c r="N98" s="1">
        <v>0.29449999999999998</v>
      </c>
      <c r="O98" s="1">
        <v>720</v>
      </c>
      <c r="P98" s="1">
        <v>220540237</v>
      </c>
      <c r="Q98" s="1">
        <v>31500</v>
      </c>
      <c r="R98" s="1">
        <v>31500</v>
      </c>
      <c r="S98" s="1">
        <v>31500</v>
      </c>
      <c r="T98" s="1">
        <v>200000</v>
      </c>
      <c r="U98" s="1">
        <v>200000</v>
      </c>
      <c r="V98" s="1">
        <v>783</v>
      </c>
      <c r="W98" s="1">
        <v>801</v>
      </c>
      <c r="X98" s="1">
        <v>2.2999999999999998</v>
      </c>
      <c r="Y98" s="1">
        <v>0</v>
      </c>
      <c r="Z98" s="1">
        <v>2000000</v>
      </c>
      <c r="AA98" s="1">
        <v>1</v>
      </c>
      <c r="AB98" s="1">
        <v>1</v>
      </c>
      <c r="AC98" s="33">
        <v>42572</v>
      </c>
    </row>
    <row r="99" spans="1:29" x14ac:dyDescent="0.35">
      <c r="A99" s="1" t="s">
        <v>408</v>
      </c>
      <c r="B99" s="1" t="s">
        <v>405</v>
      </c>
      <c r="C99" s="56">
        <v>40909</v>
      </c>
      <c r="D99" s="56">
        <v>40779</v>
      </c>
      <c r="E99" s="56">
        <v>40784</v>
      </c>
      <c r="F99" s="1" t="s">
        <v>22</v>
      </c>
      <c r="G99" s="1" t="s">
        <v>406</v>
      </c>
      <c r="H99" s="1" t="s">
        <v>407</v>
      </c>
      <c r="I99" s="1" t="s">
        <v>52</v>
      </c>
      <c r="J99" s="1" t="s">
        <v>409</v>
      </c>
      <c r="K99" s="1">
        <v>1844050</v>
      </c>
      <c r="L99" s="1">
        <v>0.25219999999999998</v>
      </c>
      <c r="M99" s="1">
        <v>0.2505</v>
      </c>
      <c r="N99" s="1">
        <v>0.27450000000000002</v>
      </c>
      <c r="O99" s="1">
        <v>3928.489</v>
      </c>
      <c r="P99" s="1">
        <v>1608826229</v>
      </c>
      <c r="Q99" s="1">
        <v>1842625</v>
      </c>
      <c r="R99" s="1">
        <v>1844050</v>
      </c>
      <c r="S99" s="1">
        <v>1844050</v>
      </c>
      <c r="T99" s="1">
        <v>4000000</v>
      </c>
      <c r="U99" s="1">
        <v>4000000</v>
      </c>
      <c r="V99" s="1">
        <v>3884</v>
      </c>
      <c r="W99" s="1">
        <v>4031</v>
      </c>
      <c r="X99" s="1">
        <v>3.78</v>
      </c>
      <c r="Y99" s="1">
        <v>0</v>
      </c>
      <c r="Z99" s="1">
        <v>41250000</v>
      </c>
      <c r="AA99" s="1">
        <v>1</v>
      </c>
      <c r="AB99" s="1">
        <v>1</v>
      </c>
      <c r="AC99" s="33">
        <v>42572</v>
      </c>
    </row>
    <row r="100" spans="1:29" x14ac:dyDescent="0.35">
      <c r="A100" s="1" t="s">
        <v>408</v>
      </c>
      <c r="B100" s="1" t="s">
        <v>405</v>
      </c>
      <c r="C100" s="56">
        <v>41332.616145833301</v>
      </c>
      <c r="D100" s="56">
        <v>41228</v>
      </c>
      <c r="E100" s="56">
        <v>41239.541666666701</v>
      </c>
      <c r="F100" s="1" t="s">
        <v>22</v>
      </c>
      <c r="G100" s="1" t="s">
        <v>23</v>
      </c>
      <c r="H100" s="1" t="s">
        <v>410</v>
      </c>
      <c r="I100" s="1" t="s">
        <v>25</v>
      </c>
      <c r="J100" s="1" t="s">
        <v>411</v>
      </c>
      <c r="K100" s="1">
        <v>724805</v>
      </c>
      <c r="L100" s="1">
        <v>0.25219999999999998</v>
      </c>
      <c r="M100" s="1">
        <v>0.2505</v>
      </c>
      <c r="N100" s="1">
        <v>0.27450000000000002</v>
      </c>
      <c r="O100" s="1">
        <v>3928.489</v>
      </c>
      <c r="P100" s="1">
        <v>1608826229</v>
      </c>
      <c r="Q100" s="1">
        <v>734255</v>
      </c>
      <c r="R100" s="1">
        <v>724805</v>
      </c>
      <c r="S100" s="1">
        <v>734255</v>
      </c>
      <c r="T100" s="1">
        <v>1500000</v>
      </c>
      <c r="U100" s="1">
        <v>1500000</v>
      </c>
      <c r="V100" s="1">
        <v>3884</v>
      </c>
      <c r="W100" s="1">
        <v>4031</v>
      </c>
      <c r="X100" s="1">
        <v>3.78</v>
      </c>
      <c r="Y100" s="1">
        <v>0</v>
      </c>
      <c r="Z100" s="1">
        <v>9500000</v>
      </c>
      <c r="AA100" s="1">
        <v>1</v>
      </c>
      <c r="AB100" s="1">
        <v>1</v>
      </c>
      <c r="AC100" s="33">
        <v>42572</v>
      </c>
    </row>
    <row r="101" spans="1:29" x14ac:dyDescent="0.35">
      <c r="A101" s="1" t="s">
        <v>414</v>
      </c>
      <c r="B101" s="1" t="s">
        <v>412</v>
      </c>
      <c r="C101" s="56">
        <v>42366.396469907399</v>
      </c>
      <c r="D101" s="56">
        <v>40779</v>
      </c>
      <c r="E101" s="56">
        <v>40779</v>
      </c>
      <c r="F101" s="1" t="s">
        <v>22</v>
      </c>
      <c r="G101" s="1" t="s">
        <v>406</v>
      </c>
      <c r="H101" s="1" t="s">
        <v>413</v>
      </c>
      <c r="I101" s="1" t="s">
        <v>52</v>
      </c>
      <c r="J101" s="1" t="s">
        <v>415</v>
      </c>
      <c r="K101" s="1">
        <v>437400</v>
      </c>
      <c r="L101" s="1">
        <v>0.4541</v>
      </c>
      <c r="M101" s="1">
        <v>0.28999999999999998</v>
      </c>
      <c r="N101" s="1">
        <v>0.61429999999999996</v>
      </c>
      <c r="O101" s="1">
        <v>8208.268</v>
      </c>
      <c r="P101" s="1">
        <v>3996824162</v>
      </c>
      <c r="Q101" s="1">
        <v>437400</v>
      </c>
      <c r="R101" s="1">
        <v>437400</v>
      </c>
      <c r="S101" s="1">
        <v>437400</v>
      </c>
      <c r="T101" s="1">
        <v>700000</v>
      </c>
      <c r="U101" s="1">
        <v>700000</v>
      </c>
      <c r="V101" s="1">
        <v>8476</v>
      </c>
      <c r="W101" s="1">
        <v>8807</v>
      </c>
      <c r="X101" s="1">
        <v>3.91</v>
      </c>
      <c r="Y101" s="1">
        <v>0</v>
      </c>
      <c r="Z101" s="1">
        <v>10000000</v>
      </c>
      <c r="AA101" s="1">
        <v>1</v>
      </c>
      <c r="AB101" s="1">
        <v>1</v>
      </c>
      <c r="AC101" s="33">
        <v>42573</v>
      </c>
    </row>
    <row r="102" spans="1:29" x14ac:dyDescent="0.35">
      <c r="A102" s="1" t="s">
        <v>418</v>
      </c>
      <c r="B102" s="1" t="s">
        <v>416</v>
      </c>
      <c r="C102" s="56">
        <v>42151.581064814804</v>
      </c>
      <c r="D102" s="56">
        <v>42170</v>
      </c>
      <c r="E102" s="56">
        <v>42094.458333333299</v>
      </c>
      <c r="F102" s="1" t="s">
        <v>22</v>
      </c>
      <c r="G102" s="1" t="s">
        <v>96</v>
      </c>
      <c r="H102" s="1" t="s">
        <v>417</v>
      </c>
      <c r="I102" s="1" t="s">
        <v>60</v>
      </c>
      <c r="J102" s="1" t="s">
        <v>419</v>
      </c>
      <c r="K102" s="1">
        <v>348225</v>
      </c>
      <c r="L102" s="1">
        <v>0.28079999999999999</v>
      </c>
      <c r="M102" s="1">
        <v>0.25540000000000002</v>
      </c>
      <c r="N102" s="1">
        <v>0.25540000000000002</v>
      </c>
      <c r="O102" s="1">
        <v>1755.605</v>
      </c>
      <c r="P102" s="1">
        <v>505828818</v>
      </c>
      <c r="Q102" s="1">
        <v>348225</v>
      </c>
      <c r="R102" s="1">
        <v>348225</v>
      </c>
      <c r="S102" s="1">
        <v>348225</v>
      </c>
      <c r="T102" s="1">
        <v>100000</v>
      </c>
      <c r="U102" s="1">
        <v>200000</v>
      </c>
      <c r="V102" s="1">
        <v>1881</v>
      </c>
      <c r="W102" s="1">
        <v>1888</v>
      </c>
      <c r="X102" s="1">
        <v>0.37</v>
      </c>
      <c r="Y102" s="1">
        <v>0</v>
      </c>
      <c r="Z102" s="1">
        <v>1100000</v>
      </c>
      <c r="AA102" s="1">
        <v>1</v>
      </c>
      <c r="AB102" s="1">
        <v>1</v>
      </c>
    </row>
    <row r="103" spans="1:29" s="57" customFormat="1" x14ac:dyDescent="0.35">
      <c r="A103" s="57" t="s">
        <v>422</v>
      </c>
      <c r="B103" s="57" t="s">
        <v>420</v>
      </c>
      <c r="C103" s="58">
        <v>41222.403275463003</v>
      </c>
      <c r="D103" s="59">
        <v>41108</v>
      </c>
      <c r="E103" s="58">
        <v>41134.458333333299</v>
      </c>
      <c r="F103" s="57" t="s">
        <v>22</v>
      </c>
      <c r="G103" s="57" t="s">
        <v>45</v>
      </c>
      <c r="H103" s="57" t="s">
        <v>421</v>
      </c>
      <c r="I103" s="57" t="s">
        <v>25</v>
      </c>
      <c r="J103" s="57" t="s">
        <v>423</v>
      </c>
      <c r="K103" s="57">
        <v>225194</v>
      </c>
      <c r="L103" s="57">
        <v>0.35930000000000001</v>
      </c>
      <c r="M103" s="57">
        <v>0.28999999999999998</v>
      </c>
      <c r="N103" s="57">
        <v>0.72570000000000001</v>
      </c>
      <c r="O103" s="57">
        <v>740</v>
      </c>
      <c r="P103" s="57">
        <v>539023294</v>
      </c>
      <c r="Q103" s="57">
        <v>225194</v>
      </c>
      <c r="R103" s="57">
        <v>225194</v>
      </c>
      <c r="S103" s="57">
        <v>225194</v>
      </c>
      <c r="T103" s="57">
        <v>200000</v>
      </c>
      <c r="U103" s="57">
        <v>200000</v>
      </c>
      <c r="V103" s="57">
        <v>785</v>
      </c>
      <c r="W103" s="57">
        <v>769</v>
      </c>
      <c r="X103" s="57">
        <v>-2.04</v>
      </c>
      <c r="Y103" s="57">
        <v>0</v>
      </c>
      <c r="Z103" s="57">
        <v>9500000</v>
      </c>
      <c r="AA103" s="57">
        <v>1</v>
      </c>
      <c r="AB103" s="57">
        <v>1</v>
      </c>
      <c r="AC103" s="60">
        <v>42572</v>
      </c>
    </row>
    <row r="104" spans="1:29" s="57" customFormat="1" x14ac:dyDescent="0.35">
      <c r="A104" s="57" t="s">
        <v>422</v>
      </c>
      <c r="B104" s="57" t="s">
        <v>420</v>
      </c>
      <c r="C104" s="58">
        <v>42111.427094907398</v>
      </c>
      <c r="D104" s="59">
        <v>42031</v>
      </c>
      <c r="E104" s="58">
        <v>42047.416666666701</v>
      </c>
      <c r="F104" s="57" t="s">
        <v>22</v>
      </c>
      <c r="G104" s="57" t="s">
        <v>194</v>
      </c>
      <c r="H104" s="57" t="s">
        <v>424</v>
      </c>
      <c r="I104" s="57" t="s">
        <v>126</v>
      </c>
      <c r="J104" s="57" t="s">
        <v>425</v>
      </c>
      <c r="K104" s="57">
        <v>81775</v>
      </c>
      <c r="L104" s="57">
        <v>0.35930000000000001</v>
      </c>
      <c r="M104" s="57">
        <v>0.28999999999999998</v>
      </c>
      <c r="N104" s="57">
        <v>0.72570000000000001</v>
      </c>
      <c r="O104" s="57">
        <v>740</v>
      </c>
      <c r="P104" s="57">
        <v>539023294</v>
      </c>
      <c r="Q104" s="57">
        <v>81775</v>
      </c>
      <c r="R104" s="57">
        <v>81775</v>
      </c>
      <c r="S104" s="57">
        <v>81775</v>
      </c>
      <c r="T104" s="57">
        <v>600000</v>
      </c>
      <c r="U104" s="57">
        <v>600000</v>
      </c>
      <c r="V104" s="57">
        <v>785</v>
      </c>
      <c r="W104" s="57">
        <v>769</v>
      </c>
      <c r="X104" s="57">
        <v>-2.04</v>
      </c>
      <c r="Y104" s="57">
        <v>0</v>
      </c>
      <c r="Z104" s="57">
        <v>3000000</v>
      </c>
      <c r="AA104" s="57">
        <v>1</v>
      </c>
      <c r="AB104" s="57">
        <v>1</v>
      </c>
      <c r="AC104" s="60">
        <v>42570</v>
      </c>
    </row>
    <row r="105" spans="1:29" s="57" customFormat="1" x14ac:dyDescent="0.35">
      <c r="A105" s="57" t="s">
        <v>428</v>
      </c>
      <c r="B105" s="57" t="s">
        <v>426</v>
      </c>
      <c r="C105" s="58">
        <v>40909</v>
      </c>
      <c r="D105" s="59">
        <v>40471</v>
      </c>
      <c r="E105" s="58">
        <v>40471</v>
      </c>
      <c r="F105" s="57" t="s">
        <v>22</v>
      </c>
      <c r="G105" s="57" t="s">
        <v>766</v>
      </c>
      <c r="H105" s="57" t="s">
        <v>427</v>
      </c>
      <c r="I105" s="57" t="s">
        <v>375</v>
      </c>
      <c r="J105" s="57" t="s">
        <v>429</v>
      </c>
      <c r="K105" s="57">
        <v>6456875</v>
      </c>
      <c r="L105" s="57">
        <v>0.108</v>
      </c>
      <c r="M105" s="57">
        <v>9.8400000000000001E-2</v>
      </c>
      <c r="N105" s="57">
        <v>9.8400000000000001E-2</v>
      </c>
      <c r="O105" s="57">
        <v>66305</v>
      </c>
      <c r="P105" s="57">
        <v>18665841093</v>
      </c>
      <c r="Q105" s="57">
        <v>6464000</v>
      </c>
      <c r="R105" s="57">
        <v>6456875</v>
      </c>
      <c r="S105" s="57">
        <v>6464000</v>
      </c>
      <c r="T105" s="57">
        <v>6600000</v>
      </c>
      <c r="U105" s="57">
        <v>6600000</v>
      </c>
      <c r="V105" s="57">
        <v>62878</v>
      </c>
      <c r="W105" s="57">
        <v>70277</v>
      </c>
      <c r="X105" s="57">
        <v>11.77</v>
      </c>
      <c r="Y105" s="57">
        <v>0</v>
      </c>
      <c r="Z105" s="57">
        <v>70000000</v>
      </c>
      <c r="AA105" s="57">
        <v>1</v>
      </c>
      <c r="AB105" s="57">
        <v>1</v>
      </c>
      <c r="AC105" s="60">
        <v>42573</v>
      </c>
    </row>
    <row r="106" spans="1:29" s="57" customFormat="1" x14ac:dyDescent="0.35">
      <c r="A106" s="57" t="s">
        <v>434</v>
      </c>
      <c r="B106" s="57" t="s">
        <v>430</v>
      </c>
      <c r="C106" s="58">
        <v>41767.575810185197</v>
      </c>
      <c r="D106" s="59">
        <v>40592</v>
      </c>
      <c r="E106" s="58">
        <v>40246</v>
      </c>
      <c r="F106" s="57" t="s">
        <v>22</v>
      </c>
      <c r="G106" s="57" t="s">
        <v>431</v>
      </c>
      <c r="H106" s="57" t="s">
        <v>432</v>
      </c>
      <c r="I106" s="57" t="s">
        <v>433</v>
      </c>
      <c r="J106" s="57" t="s">
        <v>435</v>
      </c>
      <c r="K106" s="57">
        <v>1536486</v>
      </c>
      <c r="L106" s="57">
        <v>0.33260000000000001</v>
      </c>
      <c r="M106" s="57">
        <v>0.28370000000000001</v>
      </c>
      <c r="N106" s="57">
        <v>0.28370000000000001</v>
      </c>
      <c r="O106" s="57">
        <v>8551.7090000000007</v>
      </c>
      <c r="P106" s="57">
        <v>2721348363</v>
      </c>
      <c r="Q106" s="57">
        <v>1532506</v>
      </c>
      <c r="R106" s="57">
        <v>1532506</v>
      </c>
      <c r="S106" s="57">
        <v>1532506</v>
      </c>
      <c r="T106" s="57">
        <v>0</v>
      </c>
      <c r="U106" s="57">
        <v>0</v>
      </c>
      <c r="V106" s="57">
        <v>8615</v>
      </c>
      <c r="W106" s="57">
        <v>9327</v>
      </c>
      <c r="X106" s="57">
        <v>8.26</v>
      </c>
      <c r="Y106" s="57">
        <v>726800</v>
      </c>
      <c r="Z106" s="57">
        <v>8358200</v>
      </c>
      <c r="AA106" s="57">
        <v>0.91304347826086996</v>
      </c>
      <c r="AB106" s="57">
        <v>0.92</v>
      </c>
      <c r="AC106" s="60">
        <v>42573</v>
      </c>
    </row>
    <row r="107" spans="1:29" x14ac:dyDescent="0.35">
      <c r="A107" s="1" t="s">
        <v>438</v>
      </c>
      <c r="B107" s="1" t="s">
        <v>436</v>
      </c>
      <c r="C107" s="56">
        <v>41522.484340277799</v>
      </c>
      <c r="D107" s="56">
        <v>41458</v>
      </c>
      <c r="E107" s="56">
        <v>41465.416666666701</v>
      </c>
      <c r="F107" s="1" t="s">
        <v>22</v>
      </c>
      <c r="G107" s="1" t="s">
        <v>35</v>
      </c>
      <c r="H107" s="1" t="s">
        <v>437</v>
      </c>
      <c r="I107" s="1" t="s">
        <v>37</v>
      </c>
      <c r="J107" s="1" t="s">
        <v>439</v>
      </c>
      <c r="K107" s="1">
        <v>3097038</v>
      </c>
      <c r="L107" s="1">
        <v>0.53400000000000003</v>
      </c>
      <c r="M107" s="1">
        <v>0.28999999999999998</v>
      </c>
      <c r="N107" s="1">
        <v>0.46860000000000002</v>
      </c>
      <c r="O107" s="1">
        <v>5099.527</v>
      </c>
      <c r="P107" s="1">
        <v>1622788295</v>
      </c>
      <c r="Q107" s="1">
        <v>3097038</v>
      </c>
      <c r="R107" s="1">
        <v>3097038</v>
      </c>
      <c r="S107" s="1">
        <v>3097038</v>
      </c>
      <c r="T107" s="1">
        <v>5000000</v>
      </c>
      <c r="U107" s="1">
        <v>500000</v>
      </c>
      <c r="V107" s="1">
        <v>5096</v>
      </c>
      <c r="W107" s="1">
        <v>5665</v>
      </c>
      <c r="X107" s="1">
        <v>11.17</v>
      </c>
      <c r="Y107" s="1">
        <v>0</v>
      </c>
      <c r="Z107" s="1">
        <v>67500000</v>
      </c>
      <c r="AA107" s="1">
        <v>1</v>
      </c>
      <c r="AB107" s="1">
        <v>1</v>
      </c>
      <c r="AC107" s="33">
        <v>42572</v>
      </c>
    </row>
    <row r="108" spans="1:29" x14ac:dyDescent="0.35">
      <c r="A108" s="1" t="s">
        <v>438</v>
      </c>
      <c r="B108" s="1" t="s">
        <v>436</v>
      </c>
      <c r="C108" s="56">
        <v>42017.432453703703</v>
      </c>
      <c r="D108" s="56">
        <v>41936</v>
      </c>
      <c r="E108" s="56">
        <v>41948.458333333299</v>
      </c>
      <c r="F108" s="1" t="s">
        <v>22</v>
      </c>
      <c r="G108" s="1" t="s">
        <v>29</v>
      </c>
      <c r="H108" s="1" t="s">
        <v>440</v>
      </c>
      <c r="I108" s="1" t="s">
        <v>31</v>
      </c>
      <c r="J108" s="1" t="s">
        <v>441</v>
      </c>
      <c r="K108" s="1">
        <v>356175</v>
      </c>
      <c r="L108" s="1">
        <v>0.53400000000000003</v>
      </c>
      <c r="M108" s="1">
        <v>0.28999999999999998</v>
      </c>
      <c r="N108" s="1">
        <v>0.46860000000000002</v>
      </c>
      <c r="O108" s="1">
        <v>5099.527</v>
      </c>
      <c r="P108" s="1">
        <v>1622788295</v>
      </c>
      <c r="Q108" s="1">
        <v>356175</v>
      </c>
      <c r="R108" s="1">
        <v>356175</v>
      </c>
      <c r="S108" s="1">
        <v>356175</v>
      </c>
      <c r="T108" s="1">
        <v>1000000</v>
      </c>
      <c r="U108" s="1">
        <v>1000000</v>
      </c>
      <c r="V108" s="1">
        <v>5096</v>
      </c>
      <c r="W108" s="1">
        <v>5665</v>
      </c>
      <c r="X108" s="1">
        <v>11.17</v>
      </c>
      <c r="Y108" s="1">
        <v>0</v>
      </c>
      <c r="Z108" s="1">
        <v>9500000</v>
      </c>
      <c r="AA108" s="1">
        <v>1</v>
      </c>
      <c r="AB108" s="1">
        <v>1</v>
      </c>
      <c r="AC108" s="33">
        <v>42572</v>
      </c>
    </row>
    <row r="109" spans="1:29" x14ac:dyDescent="0.35">
      <c r="A109" s="1" t="s">
        <v>438</v>
      </c>
      <c r="B109" s="1" t="s">
        <v>436</v>
      </c>
      <c r="C109" s="56">
        <v>42263.389016203699</v>
      </c>
      <c r="D109" s="56">
        <v>42185</v>
      </c>
      <c r="E109" s="56">
        <v>42185.458333333299</v>
      </c>
      <c r="F109" s="1" t="s">
        <v>22</v>
      </c>
      <c r="G109" s="1" t="s">
        <v>194</v>
      </c>
      <c r="H109" s="1" t="s">
        <v>442</v>
      </c>
      <c r="I109" s="1" t="s">
        <v>126</v>
      </c>
      <c r="J109" s="1" t="s">
        <v>443</v>
      </c>
      <c r="K109" s="1">
        <v>0</v>
      </c>
      <c r="L109" s="1">
        <v>0.53400000000000003</v>
      </c>
      <c r="M109" s="1">
        <v>0.28999999999999998</v>
      </c>
      <c r="N109" s="1">
        <v>0.46860000000000002</v>
      </c>
      <c r="O109" s="1">
        <v>5099.527</v>
      </c>
      <c r="P109" s="1">
        <v>1622788295</v>
      </c>
      <c r="Q109" s="1">
        <v>1631394</v>
      </c>
      <c r="R109" s="1">
        <v>1772819</v>
      </c>
      <c r="S109" s="1">
        <v>1772819</v>
      </c>
      <c r="T109" s="1">
        <v>300000</v>
      </c>
      <c r="U109" s="1">
        <v>3000000</v>
      </c>
      <c r="V109" s="1">
        <v>5096</v>
      </c>
      <c r="W109" s="1">
        <v>5665</v>
      </c>
      <c r="X109" s="1">
        <v>11.17</v>
      </c>
      <c r="Y109" s="1">
        <v>0</v>
      </c>
      <c r="Z109" s="1">
        <v>9500000</v>
      </c>
      <c r="AA109" s="1">
        <v>1</v>
      </c>
      <c r="AB109" s="1">
        <v>1</v>
      </c>
      <c r="AC109" s="33">
        <v>42570</v>
      </c>
    </row>
    <row r="110" spans="1:29" s="57" customFormat="1" x14ac:dyDescent="0.35">
      <c r="A110" s="57" t="s">
        <v>447</v>
      </c>
      <c r="B110" s="57" t="s">
        <v>444</v>
      </c>
      <c r="C110" s="58">
        <v>42536.352407407401</v>
      </c>
      <c r="D110" s="59">
        <v>42528</v>
      </c>
      <c r="E110" s="58">
        <v>42584</v>
      </c>
      <c r="F110" s="57" t="s">
        <v>112</v>
      </c>
      <c r="G110" s="57" t="s">
        <v>72</v>
      </c>
      <c r="H110" s="57" t="s">
        <v>445</v>
      </c>
      <c r="I110" s="57" t="s">
        <v>446</v>
      </c>
      <c r="J110" s="57" t="s">
        <v>448</v>
      </c>
      <c r="M110" s="57">
        <v>0.28999999999999998</v>
      </c>
      <c r="N110" s="57">
        <v>0.41570000000000001</v>
      </c>
      <c r="O110" s="57">
        <v>39498</v>
      </c>
      <c r="P110" s="57">
        <v>12937822576</v>
      </c>
      <c r="T110" s="57">
        <v>0</v>
      </c>
      <c r="U110" s="57">
        <v>3121000</v>
      </c>
      <c r="V110" s="57">
        <v>35673</v>
      </c>
      <c r="W110" s="57">
        <v>40383</v>
      </c>
      <c r="X110" s="57">
        <v>13.2</v>
      </c>
      <c r="Y110" s="57">
        <v>0</v>
      </c>
      <c r="Z110" s="57">
        <v>49920000</v>
      </c>
      <c r="AA110" s="57">
        <v>1</v>
      </c>
      <c r="AB110" s="57">
        <v>1</v>
      </c>
      <c r="AC110" s="60">
        <v>42571</v>
      </c>
    </row>
    <row r="111" spans="1:29" x14ac:dyDescent="0.35">
      <c r="A111" s="1" t="s">
        <v>453</v>
      </c>
      <c r="B111" s="1" t="s">
        <v>449</v>
      </c>
      <c r="C111" s="56">
        <v>40909</v>
      </c>
      <c r="D111" s="56">
        <v>40504</v>
      </c>
      <c r="E111" s="56">
        <v>40514</v>
      </c>
      <c r="F111" s="1" t="s">
        <v>22</v>
      </c>
      <c r="G111" s="1" t="s">
        <v>450</v>
      </c>
      <c r="H111" s="1" t="s">
        <v>451</v>
      </c>
      <c r="I111" s="1" t="s">
        <v>452</v>
      </c>
      <c r="J111" s="1" t="s">
        <v>454</v>
      </c>
      <c r="K111" s="1">
        <v>3045500</v>
      </c>
      <c r="L111" s="1">
        <v>0.42149999999999999</v>
      </c>
      <c r="M111" s="1">
        <v>0.28999999999999998</v>
      </c>
      <c r="N111" s="1">
        <v>0.40649999999999997</v>
      </c>
      <c r="O111" s="1">
        <v>72967.600000000006</v>
      </c>
      <c r="P111" s="1">
        <v>32592065783</v>
      </c>
      <c r="Q111" s="1">
        <v>7295125</v>
      </c>
      <c r="R111" s="1">
        <v>3045500</v>
      </c>
      <c r="S111" s="1">
        <v>7295125</v>
      </c>
      <c r="T111" s="1">
        <v>7242600</v>
      </c>
      <c r="U111" s="1">
        <v>3652600</v>
      </c>
      <c r="V111" s="1">
        <v>60559</v>
      </c>
      <c r="W111" s="1">
        <v>72712</v>
      </c>
      <c r="X111" s="1">
        <v>20.07</v>
      </c>
      <c r="Y111" s="1">
        <v>41274167</v>
      </c>
      <c r="Z111" s="1">
        <v>3725833</v>
      </c>
      <c r="AA111" s="1">
        <v>-10.077836016804801</v>
      </c>
      <c r="AB111" s="1">
        <v>8.2796288888888903E-2</v>
      </c>
      <c r="AC111" s="33">
        <v>42573</v>
      </c>
    </row>
    <row r="112" spans="1:29" x14ac:dyDescent="0.35">
      <c r="A112" s="1" t="s">
        <v>453</v>
      </c>
      <c r="B112" s="1" t="s">
        <v>449</v>
      </c>
      <c r="C112" s="56">
        <v>41551.39875</v>
      </c>
      <c r="D112" s="56">
        <v>40504</v>
      </c>
      <c r="E112" s="56">
        <v>40514</v>
      </c>
      <c r="F112" s="1" t="s">
        <v>22</v>
      </c>
      <c r="G112" s="1" t="s">
        <v>455</v>
      </c>
      <c r="H112" s="1" t="s">
        <v>456</v>
      </c>
      <c r="I112" s="1" t="s">
        <v>457</v>
      </c>
      <c r="J112" s="1" t="s">
        <v>458</v>
      </c>
      <c r="K112" s="1">
        <v>6249768</v>
      </c>
      <c r="L112" s="1">
        <v>0.42149999999999999</v>
      </c>
      <c r="M112" s="1">
        <v>0.28999999999999998</v>
      </c>
      <c r="N112" s="1">
        <v>0.40649999999999997</v>
      </c>
      <c r="O112" s="1">
        <v>72967.600000000006</v>
      </c>
      <c r="P112" s="1">
        <v>32592065783</v>
      </c>
      <c r="Q112" s="1">
        <v>6233578</v>
      </c>
      <c r="R112" s="1">
        <v>6233578</v>
      </c>
      <c r="S112" s="1">
        <v>6233578</v>
      </c>
      <c r="T112" s="1">
        <v>5792931</v>
      </c>
      <c r="U112" s="1">
        <v>5792931</v>
      </c>
      <c r="V112" s="1">
        <v>60559</v>
      </c>
      <c r="W112" s="1">
        <v>72712</v>
      </c>
      <c r="X112" s="1">
        <v>20.07</v>
      </c>
      <c r="Y112" s="1">
        <v>15277912</v>
      </c>
      <c r="Z112" s="1">
        <v>139722088</v>
      </c>
      <c r="AA112" s="1">
        <v>0.89065499794134195</v>
      </c>
      <c r="AB112" s="1">
        <v>0.90143282580645201</v>
      </c>
      <c r="AC112" s="33">
        <v>42573</v>
      </c>
    </row>
    <row r="113" spans="1:31" x14ac:dyDescent="0.35">
      <c r="A113" s="1" t="s">
        <v>453</v>
      </c>
      <c r="B113" s="1" t="s">
        <v>449</v>
      </c>
      <c r="C113" s="56">
        <v>41222.3889583333</v>
      </c>
      <c r="D113" s="56">
        <v>41030</v>
      </c>
      <c r="E113" s="56">
        <v>41059</v>
      </c>
      <c r="F113" s="1" t="s">
        <v>22</v>
      </c>
      <c r="G113" s="1" t="s">
        <v>459</v>
      </c>
      <c r="H113" s="1" t="s">
        <v>460</v>
      </c>
      <c r="I113" s="1" t="s">
        <v>461</v>
      </c>
      <c r="J113" s="1" t="s">
        <v>462</v>
      </c>
      <c r="K113" s="1">
        <v>12266750</v>
      </c>
      <c r="L113" s="1">
        <v>0.42149999999999999</v>
      </c>
      <c r="M113" s="1">
        <v>0.28999999999999998</v>
      </c>
      <c r="N113" s="1">
        <v>0.40649999999999997</v>
      </c>
      <c r="O113" s="1">
        <v>72967.600000000006</v>
      </c>
      <c r="P113" s="1">
        <v>32592065783</v>
      </c>
      <c r="Q113" s="1">
        <v>9888550</v>
      </c>
      <c r="R113" s="1">
        <v>12266750</v>
      </c>
      <c r="S113" s="1">
        <v>12266750</v>
      </c>
      <c r="T113" s="1">
        <v>9580900</v>
      </c>
      <c r="U113" s="1">
        <v>10150600</v>
      </c>
      <c r="V113" s="1">
        <v>60559</v>
      </c>
      <c r="W113" s="1">
        <v>72712</v>
      </c>
      <c r="X113" s="1">
        <v>20.07</v>
      </c>
      <c r="Y113" s="1">
        <v>27039223</v>
      </c>
      <c r="Z113" s="1">
        <v>122960777</v>
      </c>
      <c r="AA113" s="1">
        <v>0.78009879524427495</v>
      </c>
      <c r="AB113" s="1">
        <v>0.81973851333333303</v>
      </c>
      <c r="AC113" s="33">
        <v>42572</v>
      </c>
    </row>
    <row r="114" spans="1:31" x14ac:dyDescent="0.35">
      <c r="A114" s="1" t="s">
        <v>453</v>
      </c>
      <c r="B114" s="1" t="s">
        <v>449</v>
      </c>
      <c r="C114" s="56">
        <v>41488.491990740702</v>
      </c>
      <c r="D114" s="56">
        <v>41465</v>
      </c>
      <c r="E114" s="56">
        <v>41466</v>
      </c>
      <c r="F114" s="1" t="s">
        <v>22</v>
      </c>
      <c r="G114" s="1" t="s">
        <v>463</v>
      </c>
      <c r="H114" s="1" t="s">
        <v>464</v>
      </c>
      <c r="I114" s="1" t="s">
        <v>37</v>
      </c>
      <c r="J114" s="1" t="s">
        <v>465</v>
      </c>
      <c r="K114" s="1">
        <v>8705725</v>
      </c>
      <c r="L114" s="1">
        <v>0.42149999999999999</v>
      </c>
      <c r="M114" s="1">
        <v>0.28999999999999998</v>
      </c>
      <c r="N114" s="1">
        <v>0.40649999999999997</v>
      </c>
      <c r="O114" s="1">
        <v>72967.600000000006</v>
      </c>
      <c r="P114" s="1">
        <v>32592065783</v>
      </c>
      <c r="Q114" s="1">
        <v>8620725</v>
      </c>
      <c r="R114" s="1">
        <v>8705725</v>
      </c>
      <c r="S114" s="1">
        <v>8705725</v>
      </c>
      <c r="T114" s="1">
        <v>8507250</v>
      </c>
      <c r="U114" s="1">
        <v>8425250</v>
      </c>
      <c r="V114" s="1">
        <v>60559</v>
      </c>
      <c r="W114" s="1">
        <v>72712</v>
      </c>
      <c r="X114" s="1">
        <v>20.07</v>
      </c>
      <c r="Y114" s="1">
        <v>44176938</v>
      </c>
      <c r="Z114" s="1">
        <v>65618062</v>
      </c>
      <c r="AA114" s="1">
        <v>0.32675643483649403</v>
      </c>
      <c r="AB114" s="1">
        <v>0.59764162302472801</v>
      </c>
      <c r="AC114" s="33">
        <v>42572</v>
      </c>
    </row>
    <row r="115" spans="1:31" x14ac:dyDescent="0.35">
      <c r="A115" s="1" t="s">
        <v>453</v>
      </c>
      <c r="B115" s="1" t="s">
        <v>449</v>
      </c>
      <c r="C115" s="56">
        <v>42111.427094907398</v>
      </c>
      <c r="D115" s="56">
        <v>42032</v>
      </c>
      <c r="E115" s="56">
        <v>42038</v>
      </c>
      <c r="F115" s="1" t="s">
        <v>22</v>
      </c>
      <c r="G115" s="1" t="s">
        <v>466</v>
      </c>
      <c r="H115" s="1" t="s">
        <v>467</v>
      </c>
      <c r="I115" s="1" t="s">
        <v>468</v>
      </c>
      <c r="J115" s="1" t="s">
        <v>469</v>
      </c>
      <c r="K115" s="1">
        <v>2204750</v>
      </c>
      <c r="L115" s="1">
        <v>0.42149999999999999</v>
      </c>
      <c r="M115" s="1">
        <v>0.28999999999999998</v>
      </c>
      <c r="N115" s="1">
        <v>0.40649999999999997</v>
      </c>
      <c r="O115" s="1">
        <v>72967.600000000006</v>
      </c>
      <c r="P115" s="1">
        <v>32592065783</v>
      </c>
      <c r="Q115" s="1">
        <v>2204750</v>
      </c>
      <c r="R115" s="1">
        <v>2204750</v>
      </c>
      <c r="S115" s="1">
        <v>2204750</v>
      </c>
      <c r="T115" s="1">
        <v>3052818</v>
      </c>
      <c r="U115" s="1">
        <v>18642350</v>
      </c>
      <c r="V115" s="1">
        <v>60559</v>
      </c>
      <c r="W115" s="1">
        <v>72712</v>
      </c>
      <c r="X115" s="1">
        <v>20.07</v>
      </c>
      <c r="Y115" s="1">
        <v>76494053</v>
      </c>
      <c r="Z115" s="1">
        <v>103505947</v>
      </c>
      <c r="AA115" s="1">
        <v>0.26096948806236198</v>
      </c>
      <c r="AB115" s="1">
        <v>0.57503303888888901</v>
      </c>
      <c r="AC115" s="33">
        <v>42570</v>
      </c>
    </row>
    <row r="116" spans="1:31" x14ac:dyDescent="0.35">
      <c r="A116" s="1" t="s">
        <v>453</v>
      </c>
      <c r="B116" s="1" t="s">
        <v>449</v>
      </c>
      <c r="C116" s="56">
        <v>42453.6401736111</v>
      </c>
      <c r="D116" s="56">
        <v>42395</v>
      </c>
      <c r="E116" s="56">
        <v>42396</v>
      </c>
      <c r="G116" s="1" t="s">
        <v>470</v>
      </c>
      <c r="H116" s="1" t="s">
        <v>471</v>
      </c>
      <c r="I116" s="1" t="s">
        <v>446</v>
      </c>
      <c r="J116" s="1" t="s">
        <v>472</v>
      </c>
      <c r="M116" s="1">
        <v>0.28999999999999998</v>
      </c>
      <c r="N116" s="1">
        <v>0.40649999999999997</v>
      </c>
      <c r="O116" s="1">
        <v>72967.600000000006</v>
      </c>
      <c r="P116" s="1">
        <v>32592065783</v>
      </c>
      <c r="Q116" s="1">
        <v>5324037</v>
      </c>
      <c r="R116" s="1">
        <v>13943675</v>
      </c>
      <c r="S116" s="1">
        <v>13943675</v>
      </c>
      <c r="T116" s="1">
        <v>5087521</v>
      </c>
      <c r="U116" s="1">
        <v>14015450</v>
      </c>
      <c r="V116" s="1">
        <v>60559</v>
      </c>
      <c r="W116" s="1">
        <v>72712</v>
      </c>
      <c r="X116" s="1">
        <v>20.07</v>
      </c>
      <c r="Y116" s="1">
        <v>109059450</v>
      </c>
      <c r="Z116" s="1">
        <v>150940550</v>
      </c>
      <c r="AA116" s="1">
        <v>0.277467519496915</v>
      </c>
      <c r="AB116" s="1">
        <v>0.58054057692307703</v>
      </c>
      <c r="AC116" s="33">
        <v>42571</v>
      </c>
    </row>
    <row r="117" spans="1:31" x14ac:dyDescent="0.35">
      <c r="A117" s="1" t="s">
        <v>476</v>
      </c>
      <c r="B117" s="1" t="s">
        <v>473</v>
      </c>
      <c r="C117" s="56">
        <v>40909</v>
      </c>
      <c r="D117" s="56">
        <v>40634</v>
      </c>
      <c r="E117" s="56">
        <v>40644</v>
      </c>
      <c r="G117" s="1" t="s">
        <v>50</v>
      </c>
      <c r="H117" s="1" t="s">
        <v>474</v>
      </c>
      <c r="I117" s="1" t="s">
        <v>475</v>
      </c>
      <c r="J117" s="1" t="s">
        <v>477</v>
      </c>
      <c r="K117" s="1">
        <v>5369212</v>
      </c>
      <c r="L117" s="1">
        <v>0.30159999999999998</v>
      </c>
      <c r="M117" s="1">
        <v>0.28999999999999998</v>
      </c>
      <c r="N117" s="1">
        <v>0.3448</v>
      </c>
      <c r="O117" s="1">
        <v>49405.7</v>
      </c>
      <c r="P117" s="1">
        <v>17229826900</v>
      </c>
      <c r="Q117" s="1">
        <v>5235438</v>
      </c>
      <c r="R117" s="1">
        <v>5369212</v>
      </c>
      <c r="S117" s="1">
        <v>5369212</v>
      </c>
      <c r="T117" s="1">
        <v>5694644</v>
      </c>
      <c r="U117" s="1">
        <v>5790000</v>
      </c>
      <c r="V117" s="1">
        <v>45075</v>
      </c>
      <c r="W117" s="1">
        <v>50377</v>
      </c>
      <c r="X117" s="1">
        <v>11.76</v>
      </c>
      <c r="Y117" s="1">
        <v>21242285</v>
      </c>
      <c r="Z117" s="1">
        <v>62657715</v>
      </c>
      <c r="AA117" s="1">
        <v>0.66097893930539897</v>
      </c>
      <c r="AB117" s="1">
        <v>7.5570786045698997</v>
      </c>
      <c r="AC117" s="33">
        <v>42573</v>
      </c>
    </row>
    <row r="118" spans="1:31" x14ac:dyDescent="0.35">
      <c r="A118" s="1" t="s">
        <v>476</v>
      </c>
      <c r="B118" s="1" t="s">
        <v>473</v>
      </c>
      <c r="D118" s="56">
        <v>40994</v>
      </c>
      <c r="E118" s="56">
        <v>40996</v>
      </c>
      <c r="G118" s="1" t="s">
        <v>777</v>
      </c>
      <c r="H118" s="1" t="s">
        <v>889</v>
      </c>
      <c r="I118" s="1" t="s">
        <v>813</v>
      </c>
      <c r="T118" s="1">
        <v>4305900</v>
      </c>
      <c r="U118" s="1">
        <v>4308900</v>
      </c>
      <c r="Y118" s="1">
        <v>15667985</v>
      </c>
      <c r="Z118" s="1">
        <v>0</v>
      </c>
      <c r="AB118" s="1">
        <v>4.0609999999999999</v>
      </c>
      <c r="AC118" s="33">
        <v>42206</v>
      </c>
    </row>
    <row r="119" spans="1:31" x14ac:dyDescent="0.35">
      <c r="A119" s="1" t="s">
        <v>476</v>
      </c>
      <c r="B119" s="1" t="s">
        <v>473</v>
      </c>
      <c r="D119" s="56">
        <v>40994</v>
      </c>
      <c r="E119" s="56">
        <v>40996</v>
      </c>
      <c r="G119" s="1" t="s">
        <v>777</v>
      </c>
      <c r="H119" s="1" t="s">
        <v>890</v>
      </c>
      <c r="I119" s="1" t="s">
        <v>814</v>
      </c>
      <c r="T119" s="1">
        <v>4305900</v>
      </c>
      <c r="U119" s="1">
        <v>4308900</v>
      </c>
      <c r="Y119" s="1">
        <v>15667985</v>
      </c>
      <c r="Z119" s="1">
        <v>41332015</v>
      </c>
      <c r="AA119" s="1">
        <v>0.62092375607625205</v>
      </c>
      <c r="AB119" s="1">
        <v>4.0609999999999999</v>
      </c>
      <c r="AC119" s="33">
        <v>42206</v>
      </c>
    </row>
    <row r="120" spans="1:31" s="57" customFormat="1" x14ac:dyDescent="0.35">
      <c r="A120" s="57" t="s">
        <v>476</v>
      </c>
      <c r="B120" s="57" t="s">
        <v>473</v>
      </c>
      <c r="C120" s="58">
        <v>42111.427094907398</v>
      </c>
      <c r="D120" s="59">
        <v>42174</v>
      </c>
      <c r="E120" s="58">
        <v>42017.416666666701</v>
      </c>
      <c r="G120" s="57" t="s">
        <v>478</v>
      </c>
      <c r="H120" s="57" t="s">
        <v>479</v>
      </c>
      <c r="I120" s="57" t="s">
        <v>480</v>
      </c>
      <c r="J120" s="57" t="s">
        <v>481</v>
      </c>
      <c r="K120" s="57">
        <v>4402385</v>
      </c>
      <c r="L120" s="57">
        <v>0.30159999999999998</v>
      </c>
      <c r="M120" s="57">
        <v>0.28999999999999998</v>
      </c>
      <c r="N120" s="57">
        <v>0.3448</v>
      </c>
      <c r="O120" s="57">
        <v>49405.7</v>
      </c>
      <c r="P120" s="57">
        <v>17229826900</v>
      </c>
      <c r="Q120" s="57">
        <v>4011435</v>
      </c>
      <c r="R120" s="57">
        <v>4402385</v>
      </c>
      <c r="S120" s="57">
        <v>4402385</v>
      </c>
      <c r="V120" s="57">
        <v>45075</v>
      </c>
      <c r="W120" s="57">
        <v>50377</v>
      </c>
      <c r="X120" s="57">
        <v>11.76</v>
      </c>
      <c r="Y120" s="57">
        <v>171000000</v>
      </c>
      <c r="Z120" s="57">
        <v>171000000</v>
      </c>
      <c r="AA120" s="57">
        <v>0</v>
      </c>
      <c r="AB120" s="57">
        <v>5.3570000000000002</v>
      </c>
      <c r="AC120" s="60">
        <v>42570</v>
      </c>
    </row>
    <row r="121" spans="1:31" x14ac:dyDescent="0.35">
      <c r="A121" s="1" t="s">
        <v>485</v>
      </c>
      <c r="B121" s="1" t="s">
        <v>482</v>
      </c>
      <c r="C121" s="56">
        <v>42017.432453703703</v>
      </c>
      <c r="D121" s="56">
        <v>41906</v>
      </c>
      <c r="E121" s="56">
        <v>41885</v>
      </c>
      <c r="F121" s="1" t="s">
        <v>22</v>
      </c>
      <c r="G121" s="1" t="s">
        <v>483</v>
      </c>
      <c r="H121" s="1" t="s">
        <v>484</v>
      </c>
      <c r="I121" s="1" t="s">
        <v>31</v>
      </c>
      <c r="J121" s="1" t="s">
        <v>486</v>
      </c>
      <c r="K121" s="1">
        <v>6520975</v>
      </c>
      <c r="L121" s="1">
        <v>0.4229</v>
      </c>
      <c r="M121" s="1">
        <v>0.28999999999999998</v>
      </c>
      <c r="N121" s="1">
        <v>1.2379</v>
      </c>
      <c r="O121" s="1">
        <v>7209.46</v>
      </c>
      <c r="P121" s="1">
        <v>8324199872</v>
      </c>
      <c r="Q121" s="1">
        <v>6256550</v>
      </c>
      <c r="R121" s="1">
        <v>6520975</v>
      </c>
      <c r="S121" s="1">
        <v>6520975</v>
      </c>
      <c r="T121" s="1">
        <v>13000000</v>
      </c>
      <c r="U121" s="1">
        <v>13000000</v>
      </c>
      <c r="V121" s="1">
        <v>7783</v>
      </c>
      <c r="W121" s="1">
        <v>7728</v>
      </c>
      <c r="X121" s="1">
        <v>-0.71</v>
      </c>
      <c r="Y121" s="1">
        <v>0</v>
      </c>
      <c r="Z121" s="1">
        <v>110000000</v>
      </c>
      <c r="AA121" s="1">
        <v>1</v>
      </c>
      <c r="AB121" s="1">
        <v>1</v>
      </c>
      <c r="AC121" s="33">
        <v>42572</v>
      </c>
    </row>
    <row r="122" spans="1:31" x14ac:dyDescent="0.35">
      <c r="A122" s="1" t="s">
        <v>485</v>
      </c>
      <c r="B122" s="1" t="s">
        <v>482</v>
      </c>
      <c r="C122" s="56">
        <v>42111.427094907398</v>
      </c>
      <c r="D122" s="56">
        <v>42198</v>
      </c>
      <c r="E122" s="56">
        <v>42073.416666666701</v>
      </c>
      <c r="F122" s="1" t="s">
        <v>22</v>
      </c>
      <c r="G122" s="1" t="s">
        <v>487</v>
      </c>
      <c r="H122" s="1" t="s">
        <v>488</v>
      </c>
      <c r="I122" s="1" t="s">
        <v>60</v>
      </c>
      <c r="J122" s="1" t="s">
        <v>489</v>
      </c>
      <c r="K122" s="1">
        <v>2886812</v>
      </c>
      <c r="L122" s="1">
        <v>0.4229</v>
      </c>
      <c r="M122" s="1">
        <v>0.28999999999999998</v>
      </c>
      <c r="N122" s="1">
        <v>1.2379</v>
      </c>
      <c r="O122" s="1">
        <v>7209.46</v>
      </c>
      <c r="P122" s="1">
        <v>8324199872</v>
      </c>
      <c r="Q122" s="1">
        <v>2886812</v>
      </c>
      <c r="R122" s="1">
        <v>2886812</v>
      </c>
      <c r="S122" s="1">
        <v>2886812</v>
      </c>
      <c r="T122" s="1">
        <v>19000000</v>
      </c>
      <c r="U122" s="1">
        <v>13000000</v>
      </c>
      <c r="V122" s="1">
        <v>7783</v>
      </c>
      <c r="W122" s="1">
        <v>7728</v>
      </c>
      <c r="X122" s="1">
        <v>-0.71</v>
      </c>
      <c r="Y122" s="1">
        <v>0</v>
      </c>
      <c r="Z122" s="1">
        <v>75000000</v>
      </c>
      <c r="AA122" s="1">
        <v>1</v>
      </c>
      <c r="AB122" s="1">
        <v>1</v>
      </c>
      <c r="AC122" s="33">
        <v>42570</v>
      </c>
    </row>
    <row r="123" spans="1:31" x14ac:dyDescent="0.35">
      <c r="A123" s="1" t="s">
        <v>491</v>
      </c>
      <c r="B123" s="1" t="s">
        <v>490</v>
      </c>
      <c r="C123" s="56">
        <v>41366.582256944399</v>
      </c>
      <c r="D123" s="56">
        <v>41310</v>
      </c>
      <c r="E123" s="56">
        <v>41310</v>
      </c>
      <c r="F123" s="1" t="s">
        <v>22</v>
      </c>
      <c r="G123" s="1" t="s">
        <v>297</v>
      </c>
      <c r="H123" s="1" t="s">
        <v>496</v>
      </c>
      <c r="I123" s="1" t="s">
        <v>299</v>
      </c>
      <c r="J123" s="1" t="s">
        <v>497</v>
      </c>
      <c r="K123" s="1">
        <v>9850900</v>
      </c>
      <c r="L123" s="1">
        <v>0.26960000000000001</v>
      </c>
      <c r="M123" s="1">
        <v>0.2404</v>
      </c>
      <c r="N123" s="1">
        <v>0.2404</v>
      </c>
      <c r="O123" s="1">
        <v>52800</v>
      </c>
      <c r="P123" s="1">
        <v>11800406152</v>
      </c>
      <c r="Q123" s="1">
        <v>11054600</v>
      </c>
      <c r="R123" s="1">
        <v>9850900</v>
      </c>
      <c r="S123" s="1">
        <v>11054600</v>
      </c>
      <c r="T123" s="1">
        <v>8213104</v>
      </c>
      <c r="U123" s="1">
        <v>8215329</v>
      </c>
      <c r="V123" s="1">
        <v>51964</v>
      </c>
      <c r="W123" s="1">
        <v>55859</v>
      </c>
      <c r="X123" s="1">
        <v>7.5</v>
      </c>
      <c r="Y123" s="1">
        <v>45743285</v>
      </c>
      <c r="Z123" s="1">
        <v>127946715</v>
      </c>
      <c r="AA123" s="1">
        <v>0.64248175500246296</v>
      </c>
      <c r="AB123" s="1">
        <v>0.73663834993378996</v>
      </c>
      <c r="AC123" s="33">
        <v>42572</v>
      </c>
    </row>
    <row r="124" spans="1:31" x14ac:dyDescent="0.35">
      <c r="A124" s="1" t="s">
        <v>491</v>
      </c>
      <c r="B124" s="1" t="s">
        <v>490</v>
      </c>
      <c r="C124" s="56">
        <v>40997</v>
      </c>
      <c r="D124" s="56">
        <v>40933</v>
      </c>
      <c r="E124" s="56">
        <v>40932</v>
      </c>
      <c r="F124" s="1" t="s">
        <v>22</v>
      </c>
      <c r="G124" s="1" t="s">
        <v>492</v>
      </c>
      <c r="H124" s="1" t="s">
        <v>493</v>
      </c>
      <c r="I124" s="1" t="s">
        <v>494</v>
      </c>
      <c r="J124" s="1" t="s">
        <v>495</v>
      </c>
      <c r="K124" s="1">
        <v>2086713</v>
      </c>
      <c r="L124" s="1">
        <v>0.26960000000000001</v>
      </c>
      <c r="M124" s="1">
        <v>0.2404</v>
      </c>
      <c r="N124" s="1">
        <v>0.2404</v>
      </c>
      <c r="O124" s="1">
        <v>52800</v>
      </c>
      <c r="P124" s="1">
        <v>11800406152</v>
      </c>
      <c r="Q124" s="1">
        <v>1130774</v>
      </c>
      <c r="R124" s="1">
        <v>2080774</v>
      </c>
      <c r="S124" s="1">
        <v>2080774</v>
      </c>
      <c r="T124" s="1">
        <v>2484808</v>
      </c>
      <c r="U124" s="1">
        <v>3358100</v>
      </c>
      <c r="V124" s="1">
        <v>51964</v>
      </c>
      <c r="W124" s="1">
        <v>55859</v>
      </c>
      <c r="X124" s="1">
        <v>7.5</v>
      </c>
      <c r="Y124" s="1">
        <v>3083397</v>
      </c>
      <c r="Z124" s="1">
        <v>25966603</v>
      </c>
      <c r="AA124" s="1">
        <v>0.88125528009959597</v>
      </c>
      <c r="AB124" s="1">
        <v>0.89385896729776204</v>
      </c>
      <c r="AC124" s="33">
        <v>42572</v>
      </c>
    </row>
    <row r="125" spans="1:31" x14ac:dyDescent="0.35">
      <c r="A125" s="1" t="s">
        <v>500</v>
      </c>
      <c r="B125" s="1" t="s">
        <v>498</v>
      </c>
      <c r="D125" s="56">
        <v>40561</v>
      </c>
      <c r="E125" s="56">
        <v>40589</v>
      </c>
      <c r="G125" s="1" t="s">
        <v>50</v>
      </c>
      <c r="H125" s="1" t="s">
        <v>499</v>
      </c>
      <c r="I125" s="1" t="s">
        <v>52</v>
      </c>
      <c r="J125" s="1" t="s">
        <v>501</v>
      </c>
      <c r="K125" s="1">
        <v>347988</v>
      </c>
      <c r="L125" s="1">
        <v>0.26429999999999998</v>
      </c>
      <c r="M125" s="1">
        <v>0.26650000000000001</v>
      </c>
      <c r="N125" s="1">
        <v>0.42630000000000001</v>
      </c>
      <c r="O125" s="1">
        <v>8016.1729999999998</v>
      </c>
      <c r="P125" s="1">
        <v>5476667046</v>
      </c>
      <c r="Q125" s="1">
        <v>346212</v>
      </c>
      <c r="R125" s="1">
        <v>347988</v>
      </c>
      <c r="S125" s="1">
        <v>347988</v>
      </c>
      <c r="T125" s="1">
        <v>0</v>
      </c>
      <c r="U125" s="1">
        <v>0</v>
      </c>
      <c r="V125" s="1">
        <v>6754</v>
      </c>
      <c r="W125" s="1">
        <v>8330</v>
      </c>
      <c r="X125" s="1">
        <v>23.33</v>
      </c>
      <c r="Y125" s="1">
        <v>0</v>
      </c>
      <c r="Z125" s="1">
        <v>14208502</v>
      </c>
      <c r="AA125" s="1">
        <v>1</v>
      </c>
      <c r="AB125" s="1">
        <v>1</v>
      </c>
      <c r="AC125" s="33">
        <v>42573</v>
      </c>
      <c r="AE125" s="1" t="s">
        <v>891</v>
      </c>
    </row>
    <row r="126" spans="1:31" x14ac:dyDescent="0.35">
      <c r="A126" s="1" t="s">
        <v>892</v>
      </c>
      <c r="B126" s="1" t="s">
        <v>758</v>
      </c>
      <c r="D126" s="56">
        <v>42536</v>
      </c>
      <c r="E126" s="56">
        <v>42604</v>
      </c>
      <c r="G126" s="1" t="s">
        <v>72</v>
      </c>
      <c r="H126" s="1" t="s">
        <v>804</v>
      </c>
      <c r="I126" s="1" t="s">
        <v>74</v>
      </c>
      <c r="T126" s="1">
        <v>0</v>
      </c>
      <c r="U126" s="1">
        <v>114792</v>
      </c>
      <c r="Y126" s="1">
        <v>676000</v>
      </c>
      <c r="Z126" s="1">
        <v>43424000</v>
      </c>
      <c r="AA126" s="1">
        <v>0.98443257184966804</v>
      </c>
      <c r="AB126" s="1">
        <v>0.98467120181405898</v>
      </c>
      <c r="AC126" s="33">
        <v>42571</v>
      </c>
    </row>
    <row r="127" spans="1:31" x14ac:dyDescent="0.35">
      <c r="A127" s="1" t="s">
        <v>504</v>
      </c>
      <c r="B127" s="1" t="s">
        <v>502</v>
      </c>
      <c r="C127" s="56">
        <v>42263.389016203699</v>
      </c>
      <c r="D127" s="56">
        <v>42200</v>
      </c>
      <c r="E127" s="56">
        <v>42205</v>
      </c>
      <c r="F127" s="1" t="s">
        <v>22</v>
      </c>
      <c r="G127" s="1" t="s">
        <v>194</v>
      </c>
      <c r="H127" s="1" t="s">
        <v>503</v>
      </c>
      <c r="I127" s="1" t="s">
        <v>126</v>
      </c>
      <c r="J127" s="1" t="s">
        <v>505</v>
      </c>
      <c r="K127" s="1">
        <v>0</v>
      </c>
      <c r="L127" s="1">
        <v>0</v>
      </c>
      <c r="M127" s="1">
        <v>0</v>
      </c>
      <c r="N127" s="1">
        <v>0.3841</v>
      </c>
      <c r="O127" s="1">
        <v>5019.6989999999996</v>
      </c>
      <c r="P127" s="1">
        <v>2572765142</v>
      </c>
      <c r="Q127" s="1">
        <v>6888328</v>
      </c>
      <c r="R127" s="1">
        <v>5422750</v>
      </c>
      <c r="S127" s="1">
        <v>6888328</v>
      </c>
      <c r="T127" s="1">
        <v>15000000</v>
      </c>
      <c r="U127" s="1">
        <v>15000000</v>
      </c>
      <c r="V127" s="1">
        <v>5829</v>
      </c>
      <c r="W127" s="1">
        <v>5576</v>
      </c>
      <c r="X127" s="1">
        <v>-4.34</v>
      </c>
      <c r="Y127" s="1">
        <v>0</v>
      </c>
      <c r="Z127" s="1">
        <v>90210000</v>
      </c>
      <c r="AA127" s="1">
        <v>1</v>
      </c>
      <c r="AB127" s="1">
        <v>1</v>
      </c>
      <c r="AC127" s="33">
        <v>42570</v>
      </c>
    </row>
    <row r="128" spans="1:31" x14ac:dyDescent="0.35">
      <c r="A128" s="1" t="s">
        <v>504</v>
      </c>
      <c r="B128" s="1" t="s">
        <v>502</v>
      </c>
      <c r="C128" s="56">
        <v>42419.304305555597</v>
      </c>
      <c r="D128" s="56">
        <v>42536</v>
      </c>
      <c r="E128" s="56">
        <v>42552</v>
      </c>
      <c r="G128" s="1" t="s">
        <v>72</v>
      </c>
      <c r="H128" s="1" t="s">
        <v>506</v>
      </c>
      <c r="I128" s="1" t="s">
        <v>74</v>
      </c>
      <c r="J128" s="1" t="s">
        <v>507</v>
      </c>
      <c r="M128" s="1">
        <v>0</v>
      </c>
      <c r="N128" s="1">
        <v>0.3841</v>
      </c>
      <c r="O128" s="1">
        <v>5019.6989999999996</v>
      </c>
      <c r="P128" s="1">
        <v>2572765142</v>
      </c>
      <c r="T128" s="1">
        <v>0</v>
      </c>
      <c r="U128" s="1">
        <v>2000000</v>
      </c>
      <c r="V128" s="1">
        <v>5829</v>
      </c>
      <c r="W128" s="1">
        <v>5576</v>
      </c>
      <c r="X128" s="1">
        <v>-4.34</v>
      </c>
      <c r="Y128" s="1">
        <v>0</v>
      </c>
      <c r="Z128" s="1">
        <v>9500000</v>
      </c>
      <c r="AA128" s="1">
        <v>1</v>
      </c>
      <c r="AB128" s="1">
        <v>1</v>
      </c>
      <c r="AC128" s="33">
        <v>42571</v>
      </c>
    </row>
    <row r="129" spans="1:29" x14ac:dyDescent="0.35">
      <c r="A129" s="1" t="s">
        <v>510</v>
      </c>
      <c r="B129" s="1" t="s">
        <v>508</v>
      </c>
      <c r="C129" s="56">
        <v>42453.6401736111</v>
      </c>
      <c r="D129" s="56">
        <v>42376</v>
      </c>
      <c r="E129" s="56">
        <v>42380.4375</v>
      </c>
      <c r="G129" s="1" t="s">
        <v>74</v>
      </c>
      <c r="H129" s="1" t="s">
        <v>509</v>
      </c>
      <c r="I129" s="1" t="s">
        <v>74</v>
      </c>
      <c r="J129" s="1" t="s">
        <v>511</v>
      </c>
      <c r="M129" s="1">
        <v>9.6299999999999997E-2</v>
      </c>
      <c r="N129" s="1">
        <v>0.16839999999999999</v>
      </c>
      <c r="O129" s="1">
        <v>900</v>
      </c>
      <c r="P129" s="1">
        <v>389101442</v>
      </c>
      <c r="Q129" s="1">
        <v>180454</v>
      </c>
      <c r="R129" s="1">
        <v>564150</v>
      </c>
      <c r="S129" s="1">
        <v>564150</v>
      </c>
      <c r="T129" s="1">
        <v>0</v>
      </c>
      <c r="U129" s="1">
        <v>1200000</v>
      </c>
      <c r="V129" s="1">
        <v>785</v>
      </c>
      <c r="W129" s="1">
        <v>914</v>
      </c>
      <c r="X129" s="1">
        <v>16.43</v>
      </c>
      <c r="Y129" s="1">
        <v>0</v>
      </c>
      <c r="Z129" s="1">
        <v>9600000</v>
      </c>
      <c r="AA129" s="1">
        <v>1</v>
      </c>
      <c r="AB129" s="1">
        <v>1</v>
      </c>
      <c r="AC129" s="33">
        <v>42571</v>
      </c>
    </row>
    <row r="130" spans="1:29" x14ac:dyDescent="0.35">
      <c r="A130" s="1" t="s">
        <v>515</v>
      </c>
      <c r="B130" s="1" t="s">
        <v>512</v>
      </c>
      <c r="C130" s="56">
        <v>42453.6401736111</v>
      </c>
      <c r="D130" s="56">
        <v>42389</v>
      </c>
      <c r="E130" s="56">
        <v>42390.416666666701</v>
      </c>
      <c r="G130" s="1" t="s">
        <v>74</v>
      </c>
      <c r="H130" s="1" t="s">
        <v>517</v>
      </c>
      <c r="I130" s="1" t="s">
        <v>74</v>
      </c>
      <c r="J130" s="1" t="s">
        <v>518</v>
      </c>
      <c r="M130" s="1">
        <v>0.1648</v>
      </c>
      <c r="N130" s="1">
        <v>0.17699999999999999</v>
      </c>
      <c r="O130" s="1">
        <v>3074.6320000000001</v>
      </c>
      <c r="P130" s="1">
        <v>1252534273</v>
      </c>
      <c r="Q130" s="1">
        <v>1224373</v>
      </c>
      <c r="R130" s="1">
        <v>3078925</v>
      </c>
      <c r="S130" s="1">
        <v>3078925</v>
      </c>
      <c r="T130" s="1">
        <v>280000</v>
      </c>
      <c r="U130" s="1">
        <v>6500000</v>
      </c>
      <c r="V130" s="1">
        <v>3423</v>
      </c>
      <c r="W130" s="1">
        <v>3178</v>
      </c>
      <c r="X130" s="1">
        <v>-7.16</v>
      </c>
      <c r="Y130" s="1">
        <v>0</v>
      </c>
      <c r="Z130" s="1">
        <v>59900000</v>
      </c>
      <c r="AA130" s="1">
        <v>1</v>
      </c>
      <c r="AB130" s="1">
        <v>1</v>
      </c>
      <c r="AC130" s="33">
        <v>42571</v>
      </c>
    </row>
    <row r="131" spans="1:29" x14ac:dyDescent="0.35">
      <c r="A131" s="1" t="s">
        <v>515</v>
      </c>
      <c r="B131" s="1" t="s">
        <v>512</v>
      </c>
      <c r="C131" s="56">
        <v>40997</v>
      </c>
      <c r="D131" s="56">
        <v>40723</v>
      </c>
      <c r="E131" s="56">
        <v>40724</v>
      </c>
      <c r="F131" s="1" t="s">
        <v>22</v>
      </c>
      <c r="G131" s="1" t="s">
        <v>513</v>
      </c>
      <c r="H131" s="1" t="s">
        <v>514</v>
      </c>
      <c r="I131" s="1" t="s">
        <v>146</v>
      </c>
      <c r="J131" s="1" t="s">
        <v>516</v>
      </c>
      <c r="K131" s="1">
        <v>21673</v>
      </c>
      <c r="L131" s="1">
        <v>0.16389999999999999</v>
      </c>
      <c r="M131" s="1">
        <v>0.1648</v>
      </c>
      <c r="N131" s="1">
        <v>0.17699999999999999</v>
      </c>
      <c r="O131" s="1">
        <v>3074.6320000000001</v>
      </c>
      <c r="P131" s="1">
        <v>1252534273</v>
      </c>
      <c r="Q131" s="1">
        <v>20188</v>
      </c>
      <c r="R131" s="1">
        <v>20188</v>
      </c>
      <c r="S131" s="1">
        <v>20188</v>
      </c>
      <c r="T131" s="1">
        <v>1000000</v>
      </c>
      <c r="U131" s="1">
        <v>1000000</v>
      </c>
      <c r="V131" s="1">
        <v>3423</v>
      </c>
      <c r="W131" s="1">
        <v>3178</v>
      </c>
      <c r="X131" s="1">
        <v>-7.16</v>
      </c>
      <c r="Y131" s="1">
        <v>0</v>
      </c>
      <c r="Z131" s="1">
        <v>6525000</v>
      </c>
      <c r="AA131" s="1">
        <v>1</v>
      </c>
      <c r="AB131" s="1">
        <v>1</v>
      </c>
      <c r="AC131" s="33">
        <v>42573</v>
      </c>
    </row>
    <row r="132" spans="1:29" x14ac:dyDescent="0.35">
      <c r="A132" s="1" t="s">
        <v>521</v>
      </c>
      <c r="B132" s="1" t="s">
        <v>519</v>
      </c>
      <c r="C132" s="56">
        <v>40909</v>
      </c>
      <c r="D132" s="56">
        <v>40583</v>
      </c>
      <c r="E132" s="56">
        <v>40584</v>
      </c>
      <c r="F132" s="1" t="s">
        <v>22</v>
      </c>
      <c r="G132" s="1" t="s">
        <v>332</v>
      </c>
      <c r="H132" s="1" t="s">
        <v>520</v>
      </c>
      <c r="I132" s="1" t="s">
        <v>334</v>
      </c>
      <c r="J132" s="1" t="s">
        <v>522</v>
      </c>
      <c r="K132" s="1">
        <v>2658500</v>
      </c>
      <c r="L132" s="1">
        <v>0.26229999999999998</v>
      </c>
      <c r="M132" s="1">
        <v>0.27060000000000001</v>
      </c>
      <c r="N132" s="1">
        <v>0.29930000000000001</v>
      </c>
      <c r="O132" s="1">
        <v>2562.0459999999998</v>
      </c>
      <c r="P132" s="1">
        <v>632146263</v>
      </c>
      <c r="Q132" s="1">
        <v>2668500</v>
      </c>
      <c r="R132" s="1">
        <v>2658500</v>
      </c>
      <c r="S132" s="1">
        <v>2668500</v>
      </c>
      <c r="T132" s="1">
        <v>2772750</v>
      </c>
      <c r="U132" s="1">
        <v>2777750</v>
      </c>
      <c r="V132" s="1">
        <v>2878</v>
      </c>
      <c r="W132" s="1">
        <v>2710</v>
      </c>
      <c r="X132" s="1">
        <v>-5.84</v>
      </c>
      <c r="Y132" s="1">
        <v>0</v>
      </c>
      <c r="Z132" s="1">
        <v>0</v>
      </c>
      <c r="AA132" s="1">
        <v>0</v>
      </c>
      <c r="AB132" s="1">
        <v>0</v>
      </c>
      <c r="AC132" s="33">
        <v>42573</v>
      </c>
    </row>
    <row r="133" spans="1:29" x14ac:dyDescent="0.35">
      <c r="A133" s="1" t="s">
        <v>525</v>
      </c>
      <c r="B133" s="1" t="s">
        <v>523</v>
      </c>
      <c r="C133" s="56">
        <v>40909</v>
      </c>
      <c r="D133" s="56">
        <v>40330</v>
      </c>
      <c r="E133" s="56">
        <v>40409</v>
      </c>
      <c r="F133" s="1" t="s">
        <v>22</v>
      </c>
      <c r="G133" s="1" t="s">
        <v>67</v>
      </c>
      <c r="H133" s="1" t="s">
        <v>524</v>
      </c>
      <c r="I133" s="1" t="s">
        <v>239</v>
      </c>
      <c r="J133" s="1" t="s">
        <v>526</v>
      </c>
      <c r="K133" s="1">
        <v>60000</v>
      </c>
      <c r="L133" s="1">
        <v>0.19339999999999999</v>
      </c>
      <c r="M133" s="1">
        <v>0.19389999999999999</v>
      </c>
      <c r="N133" s="1">
        <v>0.41739999999999999</v>
      </c>
      <c r="O133" s="1">
        <v>1152</v>
      </c>
      <c r="P133" s="1">
        <v>1105596490</v>
      </c>
      <c r="Q133" s="1">
        <v>60000</v>
      </c>
      <c r="R133" s="1">
        <v>60000</v>
      </c>
      <c r="S133" s="1">
        <v>60000</v>
      </c>
      <c r="T133" s="1">
        <v>750000</v>
      </c>
      <c r="U133" s="1">
        <v>750000</v>
      </c>
      <c r="V133" s="1">
        <v>1259</v>
      </c>
      <c r="W133" s="1">
        <v>1290</v>
      </c>
      <c r="X133" s="1">
        <v>2.46</v>
      </c>
      <c r="Y133" s="1">
        <v>0</v>
      </c>
      <c r="Z133" s="1">
        <v>7900000</v>
      </c>
      <c r="AA133" s="1">
        <v>1</v>
      </c>
      <c r="AB133" s="1">
        <v>1</v>
      </c>
      <c r="AC133" s="33">
        <v>42573</v>
      </c>
    </row>
    <row r="134" spans="1:29" x14ac:dyDescent="0.35">
      <c r="A134" s="1" t="s">
        <v>525</v>
      </c>
      <c r="B134" s="1" t="s">
        <v>523</v>
      </c>
      <c r="C134" s="56">
        <v>41222.381770833301</v>
      </c>
      <c r="D134" s="56">
        <v>41008</v>
      </c>
      <c r="E134" s="56">
        <v>41015.479166666701</v>
      </c>
      <c r="F134" s="1" t="s">
        <v>22</v>
      </c>
      <c r="G134" s="1" t="s">
        <v>45</v>
      </c>
      <c r="H134" s="1" t="s">
        <v>527</v>
      </c>
      <c r="I134" s="1" t="s">
        <v>25</v>
      </c>
      <c r="J134" s="1" t="s">
        <v>528</v>
      </c>
      <c r="K134" s="1">
        <v>32575</v>
      </c>
      <c r="L134" s="1">
        <v>0.19339999999999999</v>
      </c>
      <c r="M134" s="1">
        <v>0.19389999999999999</v>
      </c>
      <c r="N134" s="1">
        <v>0.41739999999999999</v>
      </c>
      <c r="O134" s="1">
        <v>1152</v>
      </c>
      <c r="P134" s="1">
        <v>1105596490</v>
      </c>
      <c r="Q134" s="1">
        <v>32575</v>
      </c>
      <c r="R134" s="1">
        <v>32575</v>
      </c>
      <c r="S134" s="1">
        <v>32575</v>
      </c>
      <c r="T134" s="1">
        <v>80000</v>
      </c>
      <c r="U134" s="1">
        <v>80000</v>
      </c>
      <c r="V134" s="1">
        <v>1259</v>
      </c>
      <c r="W134" s="1">
        <v>1290</v>
      </c>
      <c r="X134" s="1">
        <v>2.46</v>
      </c>
      <c r="Y134" s="1">
        <v>0</v>
      </c>
      <c r="Z134" s="1">
        <v>1000000</v>
      </c>
      <c r="AA134" s="1">
        <v>1</v>
      </c>
      <c r="AB134" s="1">
        <v>1</v>
      </c>
      <c r="AC134" s="33">
        <v>42572</v>
      </c>
    </row>
    <row r="135" spans="1:29" x14ac:dyDescent="0.35">
      <c r="A135" s="1" t="s">
        <v>525</v>
      </c>
      <c r="B135" s="1" t="s">
        <v>523</v>
      </c>
      <c r="C135" s="56">
        <v>42263.389016203699</v>
      </c>
      <c r="D135" s="56">
        <v>42200</v>
      </c>
      <c r="E135" s="56">
        <v>42205.458333333299</v>
      </c>
      <c r="F135" s="1" t="s">
        <v>22</v>
      </c>
      <c r="G135" s="1" t="s">
        <v>194</v>
      </c>
      <c r="H135" s="1" t="s">
        <v>529</v>
      </c>
      <c r="I135" s="1" t="s">
        <v>126</v>
      </c>
      <c r="J135" s="1" t="s">
        <v>530</v>
      </c>
      <c r="K135" s="1">
        <v>0</v>
      </c>
      <c r="L135" s="1">
        <v>0.19339999999999999</v>
      </c>
      <c r="M135" s="1">
        <v>0.19389999999999999</v>
      </c>
      <c r="N135" s="1">
        <v>0.41739999999999999</v>
      </c>
      <c r="O135" s="1">
        <v>1152</v>
      </c>
      <c r="P135" s="1">
        <v>1105596490</v>
      </c>
      <c r="Q135" s="1">
        <v>188094</v>
      </c>
      <c r="R135" s="1">
        <v>188625</v>
      </c>
      <c r="S135" s="1">
        <v>188625</v>
      </c>
      <c r="T135" s="1">
        <v>600000</v>
      </c>
      <c r="U135" s="1">
        <v>600000</v>
      </c>
      <c r="V135" s="1">
        <v>1259</v>
      </c>
      <c r="W135" s="1">
        <v>1290</v>
      </c>
      <c r="X135" s="1">
        <v>2.46</v>
      </c>
      <c r="Y135" s="1">
        <v>0</v>
      </c>
      <c r="Z135" s="1">
        <v>3000000</v>
      </c>
      <c r="AA135" s="1">
        <v>1</v>
      </c>
      <c r="AB135" s="1">
        <v>1</v>
      </c>
      <c r="AC135" s="33">
        <v>42570</v>
      </c>
    </row>
    <row r="136" spans="1:29" s="57" customFormat="1" x14ac:dyDescent="0.35">
      <c r="A136" s="57" t="s">
        <v>533</v>
      </c>
      <c r="B136" s="57" t="s">
        <v>531</v>
      </c>
      <c r="C136" s="58">
        <v>42263.389016203699</v>
      </c>
      <c r="D136" s="59">
        <v>42200</v>
      </c>
      <c r="E136" s="58">
        <v>42201</v>
      </c>
      <c r="F136" s="57" t="s">
        <v>22</v>
      </c>
      <c r="G136" s="57" t="s">
        <v>487</v>
      </c>
      <c r="H136" s="57" t="s">
        <v>532</v>
      </c>
      <c r="I136" s="57" t="s">
        <v>126</v>
      </c>
      <c r="J136" s="57" t="s">
        <v>534</v>
      </c>
      <c r="K136" s="57">
        <v>0</v>
      </c>
      <c r="L136" s="57">
        <v>0</v>
      </c>
      <c r="M136" s="57">
        <v>0</v>
      </c>
      <c r="N136" s="57">
        <v>0.35489999999999999</v>
      </c>
      <c r="O136" s="57">
        <v>412.82299999999998</v>
      </c>
      <c r="P136" s="57">
        <v>214186220</v>
      </c>
      <c r="Q136" s="57">
        <v>532647</v>
      </c>
      <c r="R136" s="57">
        <v>532597</v>
      </c>
      <c r="S136" s="57">
        <v>532647</v>
      </c>
      <c r="T136" s="57">
        <v>1600000</v>
      </c>
      <c r="U136" s="57">
        <v>1600000</v>
      </c>
      <c r="V136" s="57">
        <v>461</v>
      </c>
      <c r="W136" s="57">
        <v>458</v>
      </c>
      <c r="X136" s="57">
        <v>-0.65</v>
      </c>
      <c r="Y136" s="57">
        <v>0</v>
      </c>
      <c r="Z136" s="57">
        <v>8990000</v>
      </c>
      <c r="AA136" s="57">
        <v>1</v>
      </c>
      <c r="AB136" s="57">
        <v>1</v>
      </c>
      <c r="AC136" s="60">
        <v>42570</v>
      </c>
    </row>
    <row r="137" spans="1:29" x14ac:dyDescent="0.35">
      <c r="A137" s="1" t="s">
        <v>537</v>
      </c>
      <c r="B137" s="1" t="s">
        <v>535</v>
      </c>
      <c r="C137" s="56">
        <v>42237.624247685198</v>
      </c>
      <c r="D137" s="56">
        <v>42107</v>
      </c>
      <c r="E137" s="56">
        <v>42151</v>
      </c>
      <c r="F137" s="1" t="s">
        <v>304</v>
      </c>
      <c r="G137" s="1" t="s">
        <v>487</v>
      </c>
      <c r="H137" s="1" t="s">
        <v>536</v>
      </c>
      <c r="I137" s="1" t="s">
        <v>98</v>
      </c>
      <c r="J137" s="1" t="s">
        <v>538</v>
      </c>
      <c r="K137" s="1">
        <v>0</v>
      </c>
      <c r="L137" s="1">
        <v>8.6099999999999996E-2</v>
      </c>
      <c r="M137" s="1">
        <v>9.2700000000000005E-2</v>
      </c>
      <c r="N137" s="1">
        <v>9.2700000000000005E-2</v>
      </c>
      <c r="O137" s="1">
        <v>5429.3</v>
      </c>
      <c r="P137" s="1">
        <v>461589000</v>
      </c>
      <c r="Q137" s="1">
        <v>2358769</v>
      </c>
      <c r="R137" s="1">
        <v>2606569</v>
      </c>
      <c r="S137" s="1">
        <v>2606569</v>
      </c>
      <c r="T137" s="1">
        <v>261500</v>
      </c>
      <c r="U137" s="1">
        <v>262500</v>
      </c>
      <c r="V137" s="1">
        <v>5694</v>
      </c>
      <c r="W137" s="1">
        <v>5640</v>
      </c>
      <c r="X137" s="1">
        <v>-0.95</v>
      </c>
      <c r="Y137" s="1">
        <v>0</v>
      </c>
      <c r="Z137" s="1">
        <v>3714500</v>
      </c>
      <c r="AA137" s="1">
        <v>1</v>
      </c>
      <c r="AB137" s="1">
        <v>1</v>
      </c>
      <c r="AC137" s="33">
        <v>42570</v>
      </c>
    </row>
    <row r="138" spans="1:29" x14ac:dyDescent="0.35">
      <c r="A138" s="1" t="s">
        <v>541</v>
      </c>
      <c r="B138" s="1" t="s">
        <v>539</v>
      </c>
      <c r="C138" s="56">
        <v>40908</v>
      </c>
      <c r="D138" s="56">
        <v>40373</v>
      </c>
      <c r="E138" s="56">
        <v>40374</v>
      </c>
      <c r="G138" s="1" t="s">
        <v>67</v>
      </c>
      <c r="H138" s="1" t="s">
        <v>540</v>
      </c>
      <c r="I138" s="1" t="s">
        <v>239</v>
      </c>
      <c r="J138" s="1" t="s">
        <v>377</v>
      </c>
      <c r="K138" s="1">
        <v>291256</v>
      </c>
      <c r="L138" s="1">
        <v>0.2228</v>
      </c>
      <c r="M138" s="1">
        <v>0.1968</v>
      </c>
      <c r="N138" s="1">
        <v>0.1968</v>
      </c>
      <c r="O138" s="1">
        <v>610</v>
      </c>
      <c r="P138" s="1">
        <v>177067569</v>
      </c>
      <c r="Q138" s="1">
        <v>287506</v>
      </c>
      <c r="R138" s="1">
        <v>291256</v>
      </c>
      <c r="S138" s="1">
        <v>291256</v>
      </c>
      <c r="T138" s="1">
        <v>288168.76</v>
      </c>
      <c r="U138" s="1">
        <v>292168.76</v>
      </c>
      <c r="V138" s="1">
        <v>717</v>
      </c>
      <c r="W138" s="1">
        <v>671</v>
      </c>
      <c r="X138" s="1">
        <v>-6.42</v>
      </c>
      <c r="Y138" s="1">
        <v>1530200</v>
      </c>
      <c r="Z138" s="1">
        <v>4469800</v>
      </c>
      <c r="AA138" s="1">
        <v>0.65765806076334499</v>
      </c>
      <c r="AB138" s="1">
        <v>0.744966666666667</v>
      </c>
      <c r="AC138" s="33">
        <v>42573</v>
      </c>
    </row>
    <row r="139" spans="1:29" x14ac:dyDescent="0.35">
      <c r="A139" s="1" t="s">
        <v>544</v>
      </c>
      <c r="B139" s="1" t="s">
        <v>542</v>
      </c>
      <c r="C139" s="56">
        <v>41222.398356481499</v>
      </c>
      <c r="D139" s="56">
        <v>41095</v>
      </c>
      <c r="E139" s="56">
        <v>41102</v>
      </c>
      <c r="F139" s="1" t="s">
        <v>22</v>
      </c>
      <c r="G139" s="1" t="s">
        <v>347</v>
      </c>
      <c r="H139" s="1" t="s">
        <v>543</v>
      </c>
      <c r="I139" s="1" t="s">
        <v>25</v>
      </c>
      <c r="J139" s="1" t="s">
        <v>545</v>
      </c>
      <c r="K139" s="1">
        <v>1230356</v>
      </c>
      <c r="L139" s="1">
        <v>0.13139999999999999</v>
      </c>
      <c r="M139" s="1">
        <v>0.1313</v>
      </c>
      <c r="N139" s="1">
        <v>0.39950000000000002</v>
      </c>
      <c r="O139" s="1">
        <v>1411.134</v>
      </c>
      <c r="P139" s="1">
        <v>542522434</v>
      </c>
      <c r="Q139" s="1">
        <v>1249556</v>
      </c>
      <c r="R139" s="1">
        <v>1230356</v>
      </c>
      <c r="S139" s="1">
        <v>1249556</v>
      </c>
      <c r="T139" s="1">
        <v>1251150</v>
      </c>
      <c r="U139" s="1">
        <v>1233450</v>
      </c>
      <c r="V139" s="1">
        <v>1509</v>
      </c>
      <c r="W139" s="1">
        <v>1468</v>
      </c>
      <c r="X139" s="1">
        <v>-2.72</v>
      </c>
      <c r="Y139" s="1">
        <v>2701915</v>
      </c>
      <c r="Z139" s="1">
        <v>20002225</v>
      </c>
      <c r="AA139" s="1">
        <v>0.86491927773035204</v>
      </c>
      <c r="AB139" s="1">
        <v>0.88099461155542602</v>
      </c>
      <c r="AC139" s="33">
        <v>42572</v>
      </c>
    </row>
    <row r="140" spans="1:29" x14ac:dyDescent="0.35">
      <c r="A140" s="1" t="s">
        <v>544</v>
      </c>
      <c r="B140" s="1" t="s">
        <v>542</v>
      </c>
      <c r="C140" s="56">
        <v>42263.389016203699</v>
      </c>
      <c r="D140" s="56">
        <v>42207</v>
      </c>
      <c r="E140" s="56">
        <v>42208</v>
      </c>
      <c r="G140" s="1" t="s">
        <v>96</v>
      </c>
      <c r="H140" s="1" t="s">
        <v>546</v>
      </c>
      <c r="I140" s="1" t="s">
        <v>126</v>
      </c>
      <c r="J140" s="1" t="s">
        <v>547</v>
      </c>
      <c r="M140" s="1">
        <v>0.1313</v>
      </c>
      <c r="N140" s="1">
        <v>0.39950000000000002</v>
      </c>
      <c r="O140" s="1">
        <v>1411.134</v>
      </c>
      <c r="P140" s="1">
        <v>542522434</v>
      </c>
      <c r="Q140" s="1">
        <v>488475</v>
      </c>
      <c r="R140" s="1">
        <v>525900</v>
      </c>
      <c r="S140" s="1">
        <v>525900</v>
      </c>
      <c r="T140" s="1">
        <v>572396</v>
      </c>
      <c r="U140" s="1">
        <v>526781</v>
      </c>
      <c r="V140" s="1">
        <v>1509</v>
      </c>
      <c r="W140" s="1">
        <v>1468</v>
      </c>
      <c r="X140" s="1">
        <v>-2.72</v>
      </c>
      <c r="Y140" s="1">
        <v>8101987</v>
      </c>
      <c r="Z140" s="1">
        <v>2970751</v>
      </c>
      <c r="AA140" s="1">
        <v>-1.72725213254157</v>
      </c>
      <c r="AB140" s="1">
        <v>0.26829418959377399</v>
      </c>
      <c r="AC140" s="33">
        <v>42570</v>
      </c>
    </row>
    <row r="141" spans="1:29" s="57" customFormat="1" x14ac:dyDescent="0.35">
      <c r="A141" s="57" t="s">
        <v>551</v>
      </c>
      <c r="B141" s="57" t="s">
        <v>548</v>
      </c>
      <c r="C141" s="58">
        <v>42263.389016203699</v>
      </c>
      <c r="D141" s="59">
        <v>42193</v>
      </c>
      <c r="E141" s="58">
        <v>42194</v>
      </c>
      <c r="F141" s="57" t="s">
        <v>22</v>
      </c>
      <c r="G141" s="57" t="s">
        <v>549</v>
      </c>
      <c r="H141" s="57" t="s">
        <v>550</v>
      </c>
      <c r="I141" s="57" t="s">
        <v>60</v>
      </c>
      <c r="J141" s="57" t="s">
        <v>552</v>
      </c>
      <c r="K141" s="57">
        <v>0</v>
      </c>
      <c r="L141" s="57">
        <v>0.22289999999999999</v>
      </c>
      <c r="M141" s="57">
        <v>0.22389999999999999</v>
      </c>
      <c r="N141" s="57">
        <v>0.4204</v>
      </c>
      <c r="O141" s="57">
        <v>6577.1549999999997</v>
      </c>
      <c r="P141" s="57">
        <v>4615828672</v>
      </c>
      <c r="Q141" s="57">
        <v>1266878</v>
      </c>
      <c r="R141" s="57">
        <v>1281112</v>
      </c>
      <c r="S141" s="57">
        <v>1281112</v>
      </c>
      <c r="V141" s="57">
        <v>6573</v>
      </c>
      <c r="W141" s="57">
        <v>6971</v>
      </c>
      <c r="X141" s="57">
        <v>6.06</v>
      </c>
    </row>
    <row r="142" spans="1:29" x14ac:dyDescent="0.35">
      <c r="A142" s="1" t="s">
        <v>555</v>
      </c>
      <c r="B142" s="1" t="s">
        <v>553</v>
      </c>
      <c r="C142" s="56">
        <v>42263.389016203699</v>
      </c>
      <c r="D142" s="56">
        <v>42201</v>
      </c>
      <c r="E142" s="56">
        <v>42212</v>
      </c>
      <c r="F142" s="1" t="s">
        <v>22</v>
      </c>
      <c r="G142" s="1" t="s">
        <v>557</v>
      </c>
      <c r="H142" s="1" t="s">
        <v>558</v>
      </c>
      <c r="I142" s="1" t="s">
        <v>559</v>
      </c>
      <c r="J142" s="1" t="s">
        <v>560</v>
      </c>
      <c r="M142" s="1">
        <v>0.1174</v>
      </c>
      <c r="N142" s="1">
        <v>0.30769999999999997</v>
      </c>
      <c r="O142" s="1">
        <v>320</v>
      </c>
      <c r="P142" s="1">
        <v>177356150</v>
      </c>
      <c r="Q142" s="1">
        <v>182501</v>
      </c>
      <c r="R142" s="1">
        <v>182501</v>
      </c>
      <c r="S142" s="1">
        <v>182501</v>
      </c>
      <c r="T142" s="1">
        <v>250400</v>
      </c>
      <c r="U142" s="1">
        <v>250400</v>
      </c>
      <c r="V142" s="1">
        <v>270</v>
      </c>
      <c r="W142" s="1">
        <v>345</v>
      </c>
      <c r="X142" s="1">
        <v>27.78</v>
      </c>
      <c r="Y142" s="1">
        <v>0</v>
      </c>
      <c r="Z142" s="1">
        <v>4000000</v>
      </c>
      <c r="AA142" s="1">
        <v>1</v>
      </c>
      <c r="AB142" s="1">
        <v>1</v>
      </c>
      <c r="AC142" s="33">
        <v>42570</v>
      </c>
    </row>
    <row r="143" spans="1:29" x14ac:dyDescent="0.35">
      <c r="A143" s="1" t="s">
        <v>555</v>
      </c>
      <c r="B143" s="1" t="s">
        <v>553</v>
      </c>
      <c r="C143" s="56">
        <v>40909</v>
      </c>
      <c r="D143" s="56">
        <v>40743</v>
      </c>
      <c r="E143" s="56">
        <v>40752</v>
      </c>
      <c r="F143" s="1" t="s">
        <v>22</v>
      </c>
      <c r="G143" s="1" t="s">
        <v>50</v>
      </c>
      <c r="H143" s="1" t="s">
        <v>554</v>
      </c>
      <c r="I143" s="1" t="s">
        <v>52</v>
      </c>
      <c r="J143" s="1" t="s">
        <v>556</v>
      </c>
      <c r="K143" s="1">
        <v>108050</v>
      </c>
      <c r="L143" s="1">
        <v>0.1195</v>
      </c>
      <c r="M143" s="1">
        <v>0.1174</v>
      </c>
      <c r="N143" s="1">
        <v>0.30769999999999997</v>
      </c>
      <c r="O143" s="1">
        <v>320</v>
      </c>
      <c r="P143" s="1">
        <v>177356150</v>
      </c>
      <c r="Q143" s="1">
        <v>58050</v>
      </c>
      <c r="R143" s="1">
        <v>108050</v>
      </c>
      <c r="S143" s="1">
        <v>108050</v>
      </c>
      <c r="T143" s="1">
        <v>65750</v>
      </c>
      <c r="U143" s="1">
        <v>125750</v>
      </c>
      <c r="V143" s="1">
        <v>270</v>
      </c>
      <c r="W143" s="1">
        <v>345</v>
      </c>
      <c r="X143" s="1">
        <v>27.78</v>
      </c>
      <c r="Y143" s="1">
        <v>0</v>
      </c>
      <c r="Z143" s="1">
        <v>2500000</v>
      </c>
      <c r="AA143" s="1">
        <v>1</v>
      </c>
      <c r="AB143" s="1">
        <v>1</v>
      </c>
      <c r="AC143" s="33">
        <v>42573</v>
      </c>
    </row>
    <row r="144" spans="1:29" x14ac:dyDescent="0.35">
      <c r="A144" s="1" t="s">
        <v>563</v>
      </c>
      <c r="B144" s="1" t="s">
        <v>561</v>
      </c>
      <c r="C144" s="56">
        <v>41927.558125000003</v>
      </c>
      <c r="D144" s="56">
        <v>41821</v>
      </c>
      <c r="E144" s="56">
        <v>41821</v>
      </c>
      <c r="F144" s="1" t="s">
        <v>22</v>
      </c>
      <c r="G144" s="1" t="s">
        <v>29</v>
      </c>
      <c r="H144" s="1" t="s">
        <v>562</v>
      </c>
      <c r="I144" s="1" t="s">
        <v>31</v>
      </c>
      <c r="J144" s="1" t="s">
        <v>564</v>
      </c>
      <c r="K144" s="1">
        <v>3393712</v>
      </c>
      <c r="L144" s="1">
        <v>0.33839999999999998</v>
      </c>
      <c r="M144" s="1">
        <v>0.28999999999999998</v>
      </c>
      <c r="N144" s="1">
        <v>0.3175</v>
      </c>
      <c r="O144" s="1">
        <v>4378.2610000000004</v>
      </c>
      <c r="P144" s="1">
        <v>1771083011</v>
      </c>
      <c r="Q144" s="1">
        <v>3348412</v>
      </c>
      <c r="R144" s="1">
        <v>3393712</v>
      </c>
      <c r="S144" s="1">
        <v>3393712</v>
      </c>
      <c r="T144" s="1">
        <v>3709250</v>
      </c>
      <c r="U144" s="1">
        <v>3697650</v>
      </c>
      <c r="V144" s="1">
        <v>4806</v>
      </c>
      <c r="W144" s="1">
        <v>5176</v>
      </c>
      <c r="X144" s="1">
        <v>7.7</v>
      </c>
      <c r="Y144" s="1">
        <v>0</v>
      </c>
      <c r="Z144" s="1">
        <v>72275000</v>
      </c>
      <c r="AA144" s="1">
        <v>1</v>
      </c>
      <c r="AB144" s="1">
        <v>1</v>
      </c>
      <c r="AC144" s="33">
        <v>42572</v>
      </c>
    </row>
    <row r="145" spans="1:29" x14ac:dyDescent="0.35">
      <c r="A145" s="1" t="s">
        <v>567</v>
      </c>
      <c r="B145" s="1" t="s">
        <v>565</v>
      </c>
      <c r="C145" s="56">
        <v>42536.352407407401</v>
      </c>
      <c r="D145" s="56">
        <v>42522</v>
      </c>
      <c r="E145" s="56">
        <v>42542</v>
      </c>
      <c r="G145" s="1" t="s">
        <v>750</v>
      </c>
      <c r="H145" s="1" t="s">
        <v>566</v>
      </c>
      <c r="I145" s="1" t="s">
        <v>78</v>
      </c>
      <c r="J145" s="1" t="s">
        <v>568</v>
      </c>
      <c r="M145" s="1">
        <v>0.28999999999999998</v>
      </c>
      <c r="N145" s="1">
        <v>0.34410000000000002</v>
      </c>
      <c r="O145" s="1">
        <v>573.93899999999996</v>
      </c>
      <c r="P145" s="1">
        <v>126870469</v>
      </c>
      <c r="T145" s="1">
        <v>622460</v>
      </c>
      <c r="U145" s="1">
        <v>657460</v>
      </c>
      <c r="V145" s="1">
        <v>575</v>
      </c>
      <c r="W145" s="1">
        <v>605</v>
      </c>
      <c r="X145" s="1">
        <v>5.22</v>
      </c>
      <c r="Y145" s="1">
        <v>0</v>
      </c>
      <c r="Z145" s="1">
        <v>13800000</v>
      </c>
      <c r="AA145" s="1">
        <v>1</v>
      </c>
      <c r="AB145" s="1">
        <v>1</v>
      </c>
      <c r="AC145" s="33">
        <v>42571</v>
      </c>
    </row>
    <row r="146" spans="1:29" x14ac:dyDescent="0.35">
      <c r="A146" s="1" t="s">
        <v>571</v>
      </c>
      <c r="B146" s="1" t="s">
        <v>569</v>
      </c>
      <c r="C146" s="56">
        <v>41927.558125000003</v>
      </c>
      <c r="D146" s="56">
        <v>41859</v>
      </c>
      <c r="E146" s="56">
        <v>41863</v>
      </c>
      <c r="F146" s="1" t="s">
        <v>22</v>
      </c>
      <c r="G146" s="1" t="s">
        <v>29</v>
      </c>
      <c r="H146" s="1" t="s">
        <v>570</v>
      </c>
      <c r="I146" s="1" t="s">
        <v>31</v>
      </c>
      <c r="J146" s="1" t="s">
        <v>572</v>
      </c>
      <c r="K146" s="1">
        <v>234612</v>
      </c>
      <c r="L146" s="1">
        <v>0.26079999999999998</v>
      </c>
      <c r="M146" s="1">
        <v>0.25940000000000002</v>
      </c>
      <c r="N146" s="1">
        <v>0.2661</v>
      </c>
      <c r="O146" s="1">
        <v>742</v>
      </c>
      <c r="P146" s="1">
        <v>133027821</v>
      </c>
      <c r="Q146" s="1">
        <v>234612</v>
      </c>
      <c r="R146" s="1">
        <v>234612</v>
      </c>
      <c r="S146" s="1">
        <v>234612</v>
      </c>
      <c r="T146" s="1">
        <v>292750</v>
      </c>
      <c r="U146" s="1">
        <v>292750</v>
      </c>
      <c r="V146" s="1">
        <v>819</v>
      </c>
      <c r="W146" s="1">
        <v>731</v>
      </c>
      <c r="X146" s="1">
        <v>-10.74</v>
      </c>
      <c r="Y146" s="1">
        <v>0</v>
      </c>
      <c r="Z146" s="1">
        <v>8000000</v>
      </c>
      <c r="AA146" s="1">
        <v>1</v>
      </c>
      <c r="AB146" s="1">
        <v>1</v>
      </c>
      <c r="AC146" s="33">
        <v>42572</v>
      </c>
    </row>
    <row r="147" spans="1:29" x14ac:dyDescent="0.35">
      <c r="A147" s="1" t="s">
        <v>576</v>
      </c>
      <c r="B147" s="1" t="s">
        <v>573</v>
      </c>
      <c r="C147" s="56">
        <v>42111.427094907398</v>
      </c>
      <c r="D147" s="56">
        <v>42060</v>
      </c>
      <c r="E147" s="56">
        <v>42060</v>
      </c>
      <c r="F147" s="1" t="s">
        <v>22</v>
      </c>
      <c r="G147" s="1" t="s">
        <v>574</v>
      </c>
      <c r="H147" s="1" t="s">
        <v>575</v>
      </c>
      <c r="I147" s="1" t="s">
        <v>179</v>
      </c>
      <c r="J147" s="1" t="s">
        <v>577</v>
      </c>
      <c r="K147" s="1">
        <v>3917375</v>
      </c>
      <c r="L147" s="1">
        <v>0.27879999999999999</v>
      </c>
      <c r="M147" s="1">
        <v>0.28999999999999998</v>
      </c>
      <c r="N147" s="1">
        <v>0.82289999999999996</v>
      </c>
      <c r="O147" s="1">
        <v>8040.2460000000001</v>
      </c>
      <c r="P147" s="1">
        <v>7182177146</v>
      </c>
      <c r="Q147" s="1">
        <v>3917375</v>
      </c>
      <c r="R147" s="1">
        <v>3917375</v>
      </c>
      <c r="S147" s="1">
        <v>3917375</v>
      </c>
      <c r="T147" s="1">
        <v>5493950</v>
      </c>
      <c r="U147" s="1">
        <v>5495550</v>
      </c>
      <c r="V147" s="1">
        <v>8891</v>
      </c>
      <c r="W147" s="1">
        <v>8818</v>
      </c>
      <c r="X147" s="1">
        <v>-0.82</v>
      </c>
      <c r="Y147" s="1">
        <v>0</v>
      </c>
      <c r="Z147" s="1">
        <v>100000000</v>
      </c>
      <c r="AA147" s="1">
        <v>1</v>
      </c>
      <c r="AB147" s="1">
        <v>1</v>
      </c>
      <c r="AC147" s="33">
        <v>42570</v>
      </c>
    </row>
    <row r="148" spans="1:29" s="57" customFormat="1" x14ac:dyDescent="0.35">
      <c r="A148" s="57" t="s">
        <v>580</v>
      </c>
      <c r="B148" s="57" t="s">
        <v>578</v>
      </c>
      <c r="C148" s="58">
        <v>41927.558125000003</v>
      </c>
      <c r="D148" s="59">
        <v>41852</v>
      </c>
      <c r="E148" s="58">
        <v>41862</v>
      </c>
      <c r="F148" s="57" t="s">
        <v>22</v>
      </c>
      <c r="G148" s="57" t="s">
        <v>582</v>
      </c>
      <c r="H148" s="57" t="s">
        <v>583</v>
      </c>
      <c r="I148" s="57" t="s">
        <v>584</v>
      </c>
      <c r="J148" s="57" t="s">
        <v>585</v>
      </c>
      <c r="K148" s="57">
        <v>433000</v>
      </c>
      <c r="L148" s="57">
        <v>0.29210000000000003</v>
      </c>
      <c r="M148" s="57">
        <v>0.2843</v>
      </c>
      <c r="N148" s="57">
        <v>0.2843</v>
      </c>
      <c r="O148" s="57">
        <v>3352.1550000000002</v>
      </c>
      <c r="P148" s="57">
        <v>1442178936</v>
      </c>
      <c r="Q148" s="57">
        <v>433000</v>
      </c>
      <c r="R148" s="57">
        <v>433000</v>
      </c>
      <c r="S148" s="57">
        <v>433000</v>
      </c>
      <c r="T148" s="57">
        <v>1300000</v>
      </c>
      <c r="U148" s="57">
        <v>1300000</v>
      </c>
      <c r="V148" s="57">
        <v>3511</v>
      </c>
      <c r="W148" s="57">
        <v>3588</v>
      </c>
      <c r="X148" s="57">
        <v>2.19</v>
      </c>
      <c r="Y148" s="57">
        <v>0</v>
      </c>
      <c r="Z148" s="57">
        <v>6500000</v>
      </c>
      <c r="AA148" s="57">
        <v>1</v>
      </c>
      <c r="AB148" s="57">
        <v>1</v>
      </c>
      <c r="AC148" s="60">
        <v>42572</v>
      </c>
    </row>
    <row r="149" spans="1:29" s="57" customFormat="1" x14ac:dyDescent="0.35">
      <c r="A149" s="57" t="s">
        <v>580</v>
      </c>
      <c r="B149" s="57" t="s">
        <v>578</v>
      </c>
      <c r="C149" s="58">
        <v>41551.39875</v>
      </c>
      <c r="D149" s="59">
        <v>41465</v>
      </c>
      <c r="E149" s="58">
        <v>41498.583333333299</v>
      </c>
      <c r="F149" s="57" t="s">
        <v>22</v>
      </c>
      <c r="G149" s="57" t="s">
        <v>767</v>
      </c>
      <c r="H149" s="57" t="s">
        <v>579</v>
      </c>
      <c r="I149" s="57" t="s">
        <v>37</v>
      </c>
      <c r="J149" s="57" t="s">
        <v>581</v>
      </c>
      <c r="K149" s="57">
        <v>1391575</v>
      </c>
      <c r="L149" s="57">
        <v>0.29210000000000003</v>
      </c>
      <c r="M149" s="57">
        <v>0.2843</v>
      </c>
      <c r="N149" s="57">
        <v>0.2843</v>
      </c>
      <c r="O149" s="57">
        <v>3352.1550000000002</v>
      </c>
      <c r="P149" s="57">
        <v>1442178936</v>
      </c>
      <c r="Q149" s="57">
        <v>1391575</v>
      </c>
      <c r="R149" s="57">
        <v>1391575</v>
      </c>
      <c r="S149" s="57">
        <v>1391575</v>
      </c>
      <c r="T149" s="57">
        <v>2200000</v>
      </c>
      <c r="U149" s="57">
        <v>2200000</v>
      </c>
      <c r="V149" s="57">
        <v>3511</v>
      </c>
      <c r="W149" s="57">
        <v>3588</v>
      </c>
      <c r="X149" s="57">
        <v>2.19</v>
      </c>
      <c r="Y149" s="57">
        <v>0</v>
      </c>
      <c r="Z149" s="57">
        <v>28700000</v>
      </c>
      <c r="AA149" s="57">
        <v>1</v>
      </c>
      <c r="AB149" s="57">
        <v>1</v>
      </c>
      <c r="AC149" s="60">
        <v>42572</v>
      </c>
    </row>
    <row r="150" spans="1:29" x14ac:dyDescent="0.35">
      <c r="A150" s="1" t="s">
        <v>588</v>
      </c>
      <c r="B150" s="1" t="s">
        <v>586</v>
      </c>
      <c r="C150" s="56">
        <v>42536.352407407401</v>
      </c>
      <c r="D150" s="56">
        <v>42536</v>
      </c>
      <c r="E150" s="56">
        <v>42565</v>
      </c>
      <c r="G150" s="1" t="s">
        <v>72</v>
      </c>
      <c r="H150" s="1" t="s">
        <v>587</v>
      </c>
      <c r="I150" s="1" t="s">
        <v>74</v>
      </c>
      <c r="J150" s="1" t="s">
        <v>589</v>
      </c>
      <c r="M150" s="1">
        <v>4.9000000000000002E-2</v>
      </c>
      <c r="N150" s="1">
        <v>4.9000000000000002E-2</v>
      </c>
      <c r="O150" s="1">
        <v>1925</v>
      </c>
      <c r="P150" s="1">
        <v>260666997</v>
      </c>
      <c r="T150" s="1">
        <v>0</v>
      </c>
      <c r="U150" s="1">
        <v>835068</v>
      </c>
      <c r="V150" s="1">
        <v>1846</v>
      </c>
      <c r="W150" s="1">
        <v>1986</v>
      </c>
      <c r="X150" s="1">
        <v>7.58</v>
      </c>
      <c r="Y150" s="1">
        <v>10052000</v>
      </c>
      <c r="Z150" s="1">
        <v>19948000</v>
      </c>
      <c r="AA150" s="1">
        <v>0.49608983356727498</v>
      </c>
      <c r="AB150" s="1">
        <v>0.66493333333333304</v>
      </c>
      <c r="AC150" s="33">
        <v>42571</v>
      </c>
    </row>
    <row r="151" spans="1:29" x14ac:dyDescent="0.35">
      <c r="A151" s="1" t="s">
        <v>592</v>
      </c>
      <c r="B151" s="1" t="s">
        <v>590</v>
      </c>
      <c r="C151" s="56">
        <v>40909</v>
      </c>
      <c r="D151" s="56">
        <v>40367</v>
      </c>
      <c r="E151" s="56">
        <v>40368</v>
      </c>
      <c r="F151" s="1" t="s">
        <v>22</v>
      </c>
      <c r="G151" s="1" t="s">
        <v>67</v>
      </c>
      <c r="H151" s="1" t="s">
        <v>591</v>
      </c>
      <c r="I151" s="1" t="s">
        <v>239</v>
      </c>
      <c r="J151" s="1" t="s">
        <v>593</v>
      </c>
      <c r="K151" s="1">
        <v>340000</v>
      </c>
      <c r="L151" s="1">
        <v>0.38140000000000002</v>
      </c>
      <c r="M151" s="1">
        <v>0.2888</v>
      </c>
      <c r="N151" s="1">
        <v>0.2888</v>
      </c>
      <c r="O151" s="1">
        <v>3337</v>
      </c>
      <c r="P151" s="1">
        <v>575098708</v>
      </c>
      <c r="Q151" s="1">
        <v>345000</v>
      </c>
      <c r="R151" s="1">
        <v>340000</v>
      </c>
      <c r="S151" s="1">
        <v>345000</v>
      </c>
      <c r="T151" s="1">
        <v>365000</v>
      </c>
      <c r="U151" s="1">
        <v>360000</v>
      </c>
      <c r="V151" s="1">
        <v>2839</v>
      </c>
      <c r="W151" s="1">
        <v>3443</v>
      </c>
      <c r="X151" s="1">
        <v>21.28</v>
      </c>
      <c r="Y151" s="1">
        <v>2800000</v>
      </c>
      <c r="Z151" s="1">
        <v>5200000</v>
      </c>
      <c r="AA151" s="1">
        <v>0.46153846153846201</v>
      </c>
      <c r="AB151" s="1">
        <v>0.65</v>
      </c>
    </row>
    <row r="152" spans="1:29" x14ac:dyDescent="0.35">
      <c r="A152" s="1" t="s">
        <v>592</v>
      </c>
      <c r="B152" s="1" t="s">
        <v>590</v>
      </c>
      <c r="C152" s="56">
        <v>42453.6401736111</v>
      </c>
      <c r="D152" s="56">
        <v>42521</v>
      </c>
      <c r="E152" s="56">
        <v>42479</v>
      </c>
      <c r="G152" s="1" t="s">
        <v>72</v>
      </c>
      <c r="H152" s="1" t="s">
        <v>594</v>
      </c>
      <c r="I152" s="1" t="s">
        <v>74</v>
      </c>
      <c r="J152" s="1" t="s">
        <v>595</v>
      </c>
      <c r="M152" s="1">
        <v>0.2888</v>
      </c>
      <c r="N152" s="1">
        <v>0.2888</v>
      </c>
      <c r="O152" s="1">
        <v>3337</v>
      </c>
      <c r="P152" s="1">
        <v>575098708</v>
      </c>
      <c r="T152" s="1">
        <v>0</v>
      </c>
      <c r="U152" s="1">
        <v>997810</v>
      </c>
      <c r="V152" s="1">
        <v>2839</v>
      </c>
      <c r="W152" s="1">
        <v>3443</v>
      </c>
      <c r="X152" s="1">
        <v>21.28</v>
      </c>
      <c r="Y152" s="1">
        <v>0</v>
      </c>
      <c r="Z152" s="1">
        <v>20000000</v>
      </c>
      <c r="AA152" s="1">
        <v>1</v>
      </c>
      <c r="AB152" s="1">
        <v>1</v>
      </c>
      <c r="AC152" s="33">
        <v>42571</v>
      </c>
    </row>
    <row r="153" spans="1:29" x14ac:dyDescent="0.35">
      <c r="A153" s="1" t="s">
        <v>592</v>
      </c>
      <c r="B153" s="1" t="s">
        <v>590</v>
      </c>
      <c r="C153" s="56">
        <v>42453.6401736111</v>
      </c>
      <c r="D153" s="56">
        <v>42521</v>
      </c>
      <c r="E153" s="56">
        <v>42479</v>
      </c>
      <c r="G153" s="1" t="s">
        <v>72</v>
      </c>
      <c r="H153" s="1" t="s">
        <v>594</v>
      </c>
      <c r="I153" s="1" t="s">
        <v>74</v>
      </c>
      <c r="J153" s="1" t="s">
        <v>595</v>
      </c>
      <c r="M153" s="1">
        <v>0.2888</v>
      </c>
      <c r="N153" s="1">
        <v>0.2888</v>
      </c>
      <c r="O153" s="1">
        <v>3337</v>
      </c>
      <c r="P153" s="1">
        <v>575098708</v>
      </c>
      <c r="T153" s="1">
        <v>0</v>
      </c>
      <c r="U153" s="1">
        <v>997810</v>
      </c>
      <c r="V153" s="1">
        <v>2839</v>
      </c>
      <c r="W153" s="1">
        <v>3443</v>
      </c>
      <c r="X153" s="1">
        <v>21.28</v>
      </c>
      <c r="Y153" s="1">
        <v>0</v>
      </c>
      <c r="Z153" s="1">
        <v>20000000</v>
      </c>
      <c r="AA153" s="1">
        <v>1</v>
      </c>
      <c r="AB153" s="1">
        <v>1</v>
      </c>
      <c r="AC153" s="33">
        <v>42571</v>
      </c>
    </row>
    <row r="154" spans="1:29" x14ac:dyDescent="0.35">
      <c r="A154" s="1" t="s">
        <v>599</v>
      </c>
      <c r="B154" s="1" t="s">
        <v>596</v>
      </c>
      <c r="C154" s="56">
        <v>40909</v>
      </c>
      <c r="D154" s="56">
        <v>40597</v>
      </c>
      <c r="E154" s="56">
        <v>40598</v>
      </c>
      <c r="F154" s="1" t="s">
        <v>22</v>
      </c>
      <c r="G154" s="1" t="s">
        <v>597</v>
      </c>
      <c r="H154" s="1" t="s">
        <v>598</v>
      </c>
      <c r="I154" s="1" t="s">
        <v>334</v>
      </c>
      <c r="J154" s="1" t="s">
        <v>600</v>
      </c>
      <c r="K154" s="1">
        <v>269475</v>
      </c>
      <c r="L154" s="1">
        <v>0.36730000000000002</v>
      </c>
      <c r="M154" s="1">
        <v>0.28999999999999998</v>
      </c>
      <c r="N154" s="1">
        <v>0.31390000000000001</v>
      </c>
      <c r="O154" s="1">
        <v>9250</v>
      </c>
      <c r="P154" s="1">
        <v>2613753957</v>
      </c>
      <c r="Q154" s="1">
        <v>155675</v>
      </c>
      <c r="R154" s="1">
        <v>269475</v>
      </c>
      <c r="S154" s="1">
        <v>269475</v>
      </c>
      <c r="T154" s="1">
        <v>318506.26</v>
      </c>
      <c r="U154" s="1">
        <v>777956.26</v>
      </c>
      <c r="V154" s="1">
        <v>8087</v>
      </c>
      <c r="W154" s="1">
        <v>9364</v>
      </c>
      <c r="X154" s="1">
        <v>15.79</v>
      </c>
      <c r="Y154" s="1">
        <v>5239960</v>
      </c>
      <c r="Z154" s="1">
        <v>9760040</v>
      </c>
      <c r="AA154" s="1">
        <v>0.46312105278257099</v>
      </c>
      <c r="AB154" s="1">
        <v>0.65066933333333299</v>
      </c>
      <c r="AC154" s="33">
        <v>42573</v>
      </c>
    </row>
    <row r="155" spans="1:29" x14ac:dyDescent="0.35">
      <c r="A155" s="1" t="s">
        <v>599</v>
      </c>
      <c r="B155" s="1" t="s">
        <v>596</v>
      </c>
      <c r="C155" s="56">
        <v>40909</v>
      </c>
      <c r="D155" s="56">
        <v>40771</v>
      </c>
      <c r="E155" s="56">
        <v>40773</v>
      </c>
      <c r="F155" s="1" t="s">
        <v>22</v>
      </c>
      <c r="G155" s="1" t="s">
        <v>601</v>
      </c>
      <c r="H155" s="1" t="s">
        <v>602</v>
      </c>
      <c r="I155" s="1" t="s">
        <v>311</v>
      </c>
      <c r="J155" s="1" t="s">
        <v>603</v>
      </c>
      <c r="K155" s="1">
        <v>458262</v>
      </c>
      <c r="L155" s="1">
        <v>0.36730000000000002</v>
      </c>
      <c r="M155" s="1">
        <v>0.28999999999999998</v>
      </c>
      <c r="N155" s="1">
        <v>0.31390000000000001</v>
      </c>
      <c r="O155" s="1">
        <v>9250</v>
      </c>
      <c r="P155" s="1">
        <v>2613753957</v>
      </c>
      <c r="Q155" s="1">
        <v>458262</v>
      </c>
      <c r="R155" s="1">
        <v>458262</v>
      </c>
      <c r="S155" s="1">
        <v>458262</v>
      </c>
      <c r="T155" s="1">
        <v>612750</v>
      </c>
      <c r="U155" s="1">
        <v>612750</v>
      </c>
      <c r="V155" s="1">
        <v>8087</v>
      </c>
      <c r="W155" s="1">
        <v>9364</v>
      </c>
      <c r="X155" s="1">
        <v>15.79</v>
      </c>
      <c r="Y155" s="1">
        <v>5622800</v>
      </c>
      <c r="Z155" s="1">
        <v>6632200</v>
      </c>
      <c r="AA155" s="1">
        <v>0.15219685775459099</v>
      </c>
      <c r="AB155" s="1">
        <v>0.54118319053447606</v>
      </c>
      <c r="AC155" s="33">
        <v>42573</v>
      </c>
    </row>
    <row r="156" spans="1:29" x14ac:dyDescent="0.35">
      <c r="A156" s="1" t="s">
        <v>606</v>
      </c>
      <c r="B156" s="1" t="s">
        <v>604</v>
      </c>
      <c r="C156" s="56">
        <v>42536.352407407401</v>
      </c>
      <c r="D156" s="56">
        <v>42437</v>
      </c>
      <c r="E156" s="56">
        <v>42450</v>
      </c>
      <c r="G156" s="1" t="s">
        <v>86</v>
      </c>
      <c r="H156" s="1" t="s">
        <v>608</v>
      </c>
      <c r="I156" s="1" t="s">
        <v>86</v>
      </c>
      <c r="J156" s="1" t="s">
        <v>609</v>
      </c>
      <c r="M156" s="1">
        <v>8.6800000000000002E-2</v>
      </c>
      <c r="N156" s="1">
        <v>0.1166</v>
      </c>
      <c r="O156" s="1">
        <v>3590</v>
      </c>
      <c r="P156" s="1">
        <v>593925500</v>
      </c>
      <c r="Q156" s="1">
        <v>737443</v>
      </c>
      <c r="R156" s="1">
        <v>3775369</v>
      </c>
      <c r="S156" s="1">
        <v>3775369</v>
      </c>
      <c r="T156" s="1">
        <v>831769</v>
      </c>
      <c r="U156" s="1">
        <v>3920350</v>
      </c>
      <c r="V156" s="1">
        <v>3746</v>
      </c>
      <c r="W156" s="1">
        <v>3824</v>
      </c>
      <c r="X156" s="1">
        <v>2.08</v>
      </c>
      <c r="Y156" s="1">
        <v>5702317</v>
      </c>
      <c r="Z156" s="1">
        <v>51797683</v>
      </c>
      <c r="AA156" s="1">
        <v>0.88991173601336604</v>
      </c>
      <c r="AB156" s="1">
        <v>0.90082926956521703</v>
      </c>
      <c r="AC156" s="33">
        <v>42571</v>
      </c>
    </row>
    <row r="157" spans="1:29" x14ac:dyDescent="0.35">
      <c r="A157" s="1" t="s">
        <v>606</v>
      </c>
      <c r="B157" s="1" t="s">
        <v>604</v>
      </c>
      <c r="C157" s="56">
        <v>42237.624247685198</v>
      </c>
      <c r="D157" s="56">
        <v>42132</v>
      </c>
      <c r="E157" s="56">
        <v>42138</v>
      </c>
      <c r="F157" s="1" t="s">
        <v>22</v>
      </c>
      <c r="G157" s="1" t="s">
        <v>126</v>
      </c>
      <c r="H157" s="1" t="s">
        <v>605</v>
      </c>
      <c r="I157" s="1" t="s">
        <v>126</v>
      </c>
      <c r="J157" s="1" t="s">
        <v>607</v>
      </c>
      <c r="K157" s="1">
        <v>0</v>
      </c>
      <c r="L157" s="1">
        <v>8.6800000000000002E-2</v>
      </c>
      <c r="M157" s="1">
        <v>8.6800000000000002E-2</v>
      </c>
      <c r="N157" s="1">
        <v>0.1166</v>
      </c>
      <c r="O157" s="1">
        <v>3590</v>
      </c>
      <c r="P157" s="1">
        <v>593925500</v>
      </c>
      <c r="Q157" s="1">
        <v>331800</v>
      </c>
      <c r="R157" s="1">
        <v>331800</v>
      </c>
      <c r="S157" s="1">
        <v>331800</v>
      </c>
      <c r="T157" s="1">
        <v>336600</v>
      </c>
      <c r="U157" s="1">
        <v>336600</v>
      </c>
      <c r="V157" s="1">
        <v>3746</v>
      </c>
      <c r="W157" s="1">
        <v>3824</v>
      </c>
      <c r="X157" s="1">
        <v>2.08</v>
      </c>
      <c r="Y157" s="1">
        <v>5702317</v>
      </c>
      <c r="Z157" s="1">
        <v>51797683</v>
      </c>
      <c r="AA157" s="1">
        <v>0.88991173601336604</v>
      </c>
      <c r="AB157" s="1">
        <v>0.90082926956521703</v>
      </c>
      <c r="AC157" s="33">
        <v>42570</v>
      </c>
    </row>
    <row r="158" spans="1:29" x14ac:dyDescent="0.35">
      <c r="A158" s="1" t="s">
        <v>614</v>
      </c>
      <c r="B158" s="1" t="s">
        <v>610</v>
      </c>
      <c r="C158" s="56">
        <v>41551.39875</v>
      </c>
      <c r="D158" s="56">
        <v>41145</v>
      </c>
      <c r="E158" s="56">
        <v>41149</v>
      </c>
      <c r="F158" s="1" t="s">
        <v>22</v>
      </c>
      <c r="G158" s="1" t="s">
        <v>611</v>
      </c>
      <c r="H158" s="1" t="s">
        <v>612</v>
      </c>
      <c r="I158" s="1" t="s">
        <v>613</v>
      </c>
      <c r="J158" s="1" t="s">
        <v>615</v>
      </c>
      <c r="K158" s="1">
        <v>324331</v>
      </c>
      <c r="L158" s="1">
        <v>0.20910000000000001</v>
      </c>
      <c r="M158" s="1">
        <v>0.19620000000000001</v>
      </c>
      <c r="N158" s="1">
        <v>0.19620000000000001</v>
      </c>
      <c r="O158" s="1">
        <v>3266.0479999999998</v>
      </c>
      <c r="P158" s="1">
        <v>784405239</v>
      </c>
      <c r="Q158" s="1">
        <v>323007</v>
      </c>
      <c r="R158" s="1">
        <v>323007</v>
      </c>
      <c r="S158" s="1">
        <v>323007</v>
      </c>
      <c r="T158" s="1">
        <v>305000</v>
      </c>
      <c r="U158" s="1">
        <v>305000</v>
      </c>
      <c r="V158" s="1">
        <v>3958</v>
      </c>
      <c r="W158" s="1">
        <v>3428</v>
      </c>
      <c r="X158" s="1">
        <v>-13.39</v>
      </c>
      <c r="Y158" s="1">
        <v>0</v>
      </c>
      <c r="Z158" s="1">
        <v>6790000</v>
      </c>
      <c r="AA158" s="1">
        <v>1</v>
      </c>
      <c r="AB158" s="1">
        <v>1</v>
      </c>
      <c r="AC158" s="33">
        <v>42572</v>
      </c>
    </row>
    <row r="159" spans="1:29" x14ac:dyDescent="0.35">
      <c r="A159" s="1" t="s">
        <v>619</v>
      </c>
      <c r="B159" s="1" t="s">
        <v>616</v>
      </c>
      <c r="C159" s="56">
        <v>42536.352407407401</v>
      </c>
      <c r="D159" s="56">
        <v>42443</v>
      </c>
      <c r="E159" s="56">
        <v>42450</v>
      </c>
      <c r="G159" s="1" t="s">
        <v>617</v>
      </c>
      <c r="H159" s="1" t="s">
        <v>618</v>
      </c>
      <c r="I159" s="1" t="s">
        <v>74</v>
      </c>
      <c r="J159" s="1" t="s">
        <v>620</v>
      </c>
      <c r="M159" s="1">
        <v>0.15939999999999999</v>
      </c>
      <c r="N159" s="1">
        <v>0.15939999999999999</v>
      </c>
      <c r="O159" s="1">
        <v>3620</v>
      </c>
      <c r="P159" s="1">
        <v>965908731</v>
      </c>
      <c r="Q159" s="1">
        <v>487552</v>
      </c>
      <c r="R159" s="1">
        <v>1526250</v>
      </c>
      <c r="S159" s="1">
        <v>1526250</v>
      </c>
      <c r="T159" s="1">
        <v>724750</v>
      </c>
      <c r="U159" s="1">
        <v>1985650</v>
      </c>
      <c r="V159" s="1">
        <v>3843</v>
      </c>
      <c r="W159" s="1">
        <v>4124</v>
      </c>
      <c r="X159" s="1">
        <v>7.31</v>
      </c>
      <c r="Y159" s="1">
        <v>0</v>
      </c>
      <c r="Z159" s="1">
        <v>35000000</v>
      </c>
      <c r="AA159" s="1">
        <v>1</v>
      </c>
      <c r="AB159" s="1">
        <v>1</v>
      </c>
      <c r="AC159" s="33">
        <v>42571</v>
      </c>
    </row>
    <row r="160" spans="1:29" x14ac:dyDescent="0.35">
      <c r="A160" s="1" t="s">
        <v>623</v>
      </c>
      <c r="B160" s="1" t="s">
        <v>621</v>
      </c>
      <c r="C160" s="56">
        <v>42263.389016203699</v>
      </c>
      <c r="D160" s="56">
        <v>42536</v>
      </c>
      <c r="E160" s="56">
        <v>42206</v>
      </c>
      <c r="G160" s="1" t="s">
        <v>194</v>
      </c>
      <c r="H160" s="1" t="s">
        <v>622</v>
      </c>
      <c r="I160" s="1" t="s">
        <v>126</v>
      </c>
      <c r="J160" s="1" t="s">
        <v>624</v>
      </c>
      <c r="M160" s="1">
        <v>0.1104</v>
      </c>
      <c r="N160" s="1">
        <v>0.32469999999999999</v>
      </c>
      <c r="O160" s="1">
        <v>4866.9139999999998</v>
      </c>
      <c r="P160" s="1">
        <v>1702836306</v>
      </c>
      <c r="Q160" s="1">
        <v>3570921</v>
      </c>
      <c r="R160" s="1">
        <v>3511950</v>
      </c>
      <c r="S160" s="1">
        <v>3570921</v>
      </c>
      <c r="T160" s="1">
        <v>3570921</v>
      </c>
      <c r="U160" s="1">
        <v>3511950</v>
      </c>
      <c r="V160" s="1">
        <v>4898</v>
      </c>
      <c r="W160" s="1">
        <v>5294</v>
      </c>
      <c r="X160" s="1">
        <v>8.08</v>
      </c>
      <c r="Y160" s="1">
        <v>18388259</v>
      </c>
      <c r="Z160" s="1">
        <v>59531741</v>
      </c>
      <c r="AA160" s="1">
        <v>0.69111840690162296</v>
      </c>
      <c r="AB160" s="1">
        <v>0.76401104979466095</v>
      </c>
      <c r="AC160" s="33">
        <v>42570</v>
      </c>
    </row>
    <row r="161" spans="1:29" x14ac:dyDescent="0.35">
      <c r="A161" s="1" t="s">
        <v>627</v>
      </c>
      <c r="B161" s="1" t="s">
        <v>625</v>
      </c>
      <c r="C161" s="56">
        <v>42263.389016203699</v>
      </c>
      <c r="D161" s="56">
        <v>42195</v>
      </c>
      <c r="E161" s="56">
        <v>42205</v>
      </c>
      <c r="F161" s="1" t="s">
        <v>22</v>
      </c>
      <c r="G161" s="1" t="s">
        <v>629</v>
      </c>
      <c r="H161" s="1" t="s">
        <v>630</v>
      </c>
      <c r="I161" s="1" t="s">
        <v>468</v>
      </c>
      <c r="J161" s="1" t="s">
        <v>631</v>
      </c>
      <c r="K161" s="1">
        <v>0</v>
      </c>
      <c r="L161" s="1">
        <v>7.1099999999999997E-2</v>
      </c>
      <c r="M161" s="1">
        <v>7.0999999999999994E-2</v>
      </c>
      <c r="N161" s="1">
        <v>0.11459999999999999</v>
      </c>
      <c r="O161" s="1">
        <v>1683.749</v>
      </c>
      <c r="P161" s="1">
        <v>416232474</v>
      </c>
      <c r="Q161" s="1">
        <v>81700</v>
      </c>
      <c r="R161" s="1">
        <v>81700</v>
      </c>
      <c r="S161" s="1">
        <v>81700</v>
      </c>
      <c r="T161" s="1">
        <v>102185</v>
      </c>
      <c r="U161" s="1">
        <v>102185</v>
      </c>
      <c r="V161" s="1">
        <v>2128</v>
      </c>
      <c r="W161" s="1">
        <v>1923</v>
      </c>
      <c r="X161" s="1">
        <v>-9.6300000000000008</v>
      </c>
      <c r="Y161" s="1">
        <v>1527000</v>
      </c>
      <c r="Z161" s="1">
        <v>5973000</v>
      </c>
      <c r="AA161" s="1">
        <v>0.74434957307885496</v>
      </c>
      <c r="AB161" s="1">
        <v>0.7964</v>
      </c>
      <c r="AC161" s="33">
        <v>42570</v>
      </c>
    </row>
    <row r="162" spans="1:29" x14ac:dyDescent="0.35">
      <c r="A162" s="1" t="s">
        <v>627</v>
      </c>
      <c r="B162" s="1" t="s">
        <v>625</v>
      </c>
      <c r="C162" s="56">
        <v>42263.389016203699</v>
      </c>
      <c r="D162" s="56">
        <v>42195</v>
      </c>
      <c r="E162" s="56">
        <v>42205</v>
      </c>
      <c r="F162" s="1" t="s">
        <v>304</v>
      </c>
      <c r="G162" s="1" t="s">
        <v>466</v>
      </c>
      <c r="H162" s="1" t="s">
        <v>626</v>
      </c>
      <c r="I162" s="1" t="s">
        <v>179</v>
      </c>
      <c r="J162" s="1" t="s">
        <v>628</v>
      </c>
      <c r="K162" s="1">
        <v>0</v>
      </c>
      <c r="L162" s="1">
        <v>7.1099999999999997E-2</v>
      </c>
      <c r="M162" s="1">
        <v>7.0999999999999994E-2</v>
      </c>
      <c r="N162" s="1">
        <v>0.11459999999999999</v>
      </c>
      <c r="O162" s="1">
        <v>1683.749</v>
      </c>
      <c r="P162" s="1">
        <v>416232474</v>
      </c>
      <c r="Q162" s="1">
        <v>178150</v>
      </c>
      <c r="R162" s="1">
        <v>178150</v>
      </c>
      <c r="S162" s="1">
        <v>178150</v>
      </c>
      <c r="T162" s="1">
        <v>200645</v>
      </c>
      <c r="U162" s="1">
        <v>200645</v>
      </c>
      <c r="V162" s="1">
        <v>2128</v>
      </c>
      <c r="W162" s="1">
        <v>1923</v>
      </c>
      <c r="X162" s="1">
        <v>-9.6300000000000008</v>
      </c>
      <c r="Y162" s="1">
        <v>1527000</v>
      </c>
      <c r="Z162" s="1">
        <v>5973000</v>
      </c>
      <c r="AA162" s="1">
        <v>0.74434957307885496</v>
      </c>
      <c r="AB162" s="1">
        <v>0.7964</v>
      </c>
      <c r="AC162" s="33">
        <v>42570</v>
      </c>
    </row>
    <row r="163" spans="1:29" x14ac:dyDescent="0.35">
      <c r="A163" s="1" t="s">
        <v>627</v>
      </c>
      <c r="B163" s="1" t="s">
        <v>751</v>
      </c>
      <c r="D163" s="56">
        <v>42529</v>
      </c>
      <c r="G163" s="1" t="s">
        <v>72</v>
      </c>
      <c r="H163" s="1">
        <v>1</v>
      </c>
      <c r="I163" s="1" t="s">
        <v>865</v>
      </c>
      <c r="T163" s="1">
        <v>0</v>
      </c>
      <c r="U163" s="1">
        <v>358600</v>
      </c>
      <c r="Y163" s="1">
        <v>1628800</v>
      </c>
      <c r="Z163" s="1">
        <v>6371200</v>
      </c>
      <c r="AA163" s="1">
        <v>0.74434957307885496</v>
      </c>
      <c r="AB163" s="1">
        <v>0.7964</v>
      </c>
      <c r="AC163" s="33">
        <v>42571</v>
      </c>
    </row>
    <row r="164" spans="1:29" x14ac:dyDescent="0.35">
      <c r="A164" s="1" t="s">
        <v>635</v>
      </c>
      <c r="B164" s="1" t="s">
        <v>632</v>
      </c>
      <c r="C164" s="56">
        <v>40909</v>
      </c>
      <c r="D164" s="56">
        <v>40598</v>
      </c>
      <c r="E164" s="56">
        <v>40597</v>
      </c>
      <c r="F164" s="1" t="s">
        <v>152</v>
      </c>
      <c r="G164" s="1" t="s">
        <v>633</v>
      </c>
      <c r="H164" s="1" t="s">
        <v>634</v>
      </c>
      <c r="I164" s="1" t="s">
        <v>52</v>
      </c>
      <c r="J164" s="1" t="s">
        <v>636</v>
      </c>
      <c r="K164" s="1">
        <v>1441590</v>
      </c>
      <c r="L164" s="1">
        <v>0.19470000000000001</v>
      </c>
      <c r="M164" s="1">
        <v>0.20019999999999999</v>
      </c>
      <c r="N164" s="1">
        <v>0.21079999999999999</v>
      </c>
      <c r="O164" s="1">
        <v>27222.870999999999</v>
      </c>
      <c r="P164" s="1">
        <v>9618203237</v>
      </c>
      <c r="Q164" s="1">
        <v>3481590</v>
      </c>
      <c r="R164" s="1">
        <v>1441590</v>
      </c>
      <c r="S164" s="1">
        <v>3481590</v>
      </c>
      <c r="T164" s="1">
        <v>3532388</v>
      </c>
      <c r="U164" s="1">
        <v>1492388</v>
      </c>
      <c r="V164" s="1">
        <v>28506</v>
      </c>
      <c r="W164" s="1">
        <v>28549</v>
      </c>
      <c r="X164" s="1">
        <v>0.15</v>
      </c>
      <c r="Y164" s="1">
        <v>0</v>
      </c>
      <c r="Z164" s="1">
        <v>45000000</v>
      </c>
      <c r="AA164" s="1">
        <v>1</v>
      </c>
      <c r="AB164" s="1">
        <v>1</v>
      </c>
      <c r="AC164" s="33">
        <v>42573</v>
      </c>
    </row>
    <row r="165" spans="1:29" x14ac:dyDescent="0.35">
      <c r="A165" s="1" t="s">
        <v>635</v>
      </c>
      <c r="B165" s="1" t="s">
        <v>632</v>
      </c>
      <c r="C165" s="56">
        <v>41222.4070138889</v>
      </c>
      <c r="D165" s="56">
        <v>41162</v>
      </c>
      <c r="E165" s="56">
        <v>41163</v>
      </c>
      <c r="F165" s="1" t="s">
        <v>152</v>
      </c>
      <c r="G165" s="1" t="s">
        <v>637</v>
      </c>
      <c r="H165" s="1" t="s">
        <v>638</v>
      </c>
      <c r="I165" s="1" t="s">
        <v>639</v>
      </c>
      <c r="J165" s="1" t="s">
        <v>640</v>
      </c>
      <c r="K165" s="1">
        <v>3938625</v>
      </c>
      <c r="L165" s="1">
        <v>0.19470000000000001</v>
      </c>
      <c r="M165" s="1">
        <v>0.20019999999999999</v>
      </c>
      <c r="N165" s="1">
        <v>0.21079999999999999</v>
      </c>
      <c r="O165" s="1">
        <v>27222.870999999999</v>
      </c>
      <c r="P165" s="1">
        <v>9618203237</v>
      </c>
      <c r="Q165" s="1">
        <v>3554500</v>
      </c>
      <c r="R165" s="1">
        <v>3938625</v>
      </c>
      <c r="S165" s="1">
        <v>3938625</v>
      </c>
      <c r="T165" s="1">
        <v>3762872</v>
      </c>
      <c r="U165" s="1">
        <v>4173522</v>
      </c>
      <c r="V165" s="1">
        <v>28506</v>
      </c>
      <c r="W165" s="1">
        <v>28549</v>
      </c>
      <c r="X165" s="1">
        <v>0.15</v>
      </c>
      <c r="Y165" s="1">
        <v>9000000</v>
      </c>
      <c r="Z165" s="1">
        <v>56000000</v>
      </c>
      <c r="AA165" s="1">
        <v>0.83928571428571397</v>
      </c>
      <c r="AB165" s="1">
        <v>0.86153846153846203</v>
      </c>
      <c r="AC165" s="33">
        <v>42572</v>
      </c>
    </row>
    <row r="166" spans="1:29" x14ac:dyDescent="0.35">
      <c r="A166" s="1" t="s">
        <v>643</v>
      </c>
      <c r="B166" s="1" t="s">
        <v>641</v>
      </c>
      <c r="C166" s="56">
        <v>42263.389016203699</v>
      </c>
      <c r="D166" s="56">
        <v>42177</v>
      </c>
      <c r="E166" s="56">
        <v>42199</v>
      </c>
      <c r="F166" s="1" t="s">
        <v>22</v>
      </c>
      <c r="G166" s="1" t="s">
        <v>194</v>
      </c>
      <c r="H166" s="1" t="s">
        <v>642</v>
      </c>
      <c r="I166" s="1" t="s">
        <v>126</v>
      </c>
      <c r="J166" s="1" t="s">
        <v>644</v>
      </c>
      <c r="K166" s="1">
        <v>0</v>
      </c>
      <c r="L166" s="1">
        <v>0.11360000000000001</v>
      </c>
      <c r="M166" s="1">
        <v>0.1145</v>
      </c>
      <c r="N166" s="1">
        <v>0.2651</v>
      </c>
      <c r="O166" s="1">
        <v>1167.818</v>
      </c>
      <c r="P166" s="1">
        <v>366868744</v>
      </c>
      <c r="Q166" s="1">
        <v>629888</v>
      </c>
      <c r="R166" s="1">
        <v>632262</v>
      </c>
      <c r="S166" s="1">
        <v>632262</v>
      </c>
      <c r="T166" s="1">
        <v>645194</v>
      </c>
      <c r="U166" s="1">
        <v>649751</v>
      </c>
      <c r="V166" s="1">
        <v>1269</v>
      </c>
      <c r="W166" s="1">
        <v>1244</v>
      </c>
      <c r="X166" s="1">
        <v>-1.97</v>
      </c>
      <c r="Y166" s="1">
        <v>0</v>
      </c>
      <c r="Z166" s="1">
        <v>14400000</v>
      </c>
      <c r="AA166" s="1">
        <v>1</v>
      </c>
      <c r="AB166" s="1">
        <v>1</v>
      </c>
      <c r="AC166" s="33">
        <v>42570</v>
      </c>
    </row>
    <row r="167" spans="1:29" x14ac:dyDescent="0.35">
      <c r="A167" s="1" t="s">
        <v>647</v>
      </c>
      <c r="B167" s="1" t="s">
        <v>645</v>
      </c>
      <c r="C167" s="56">
        <v>41927.558125000003</v>
      </c>
      <c r="D167" s="56">
        <v>41843</v>
      </c>
      <c r="E167" s="56">
        <v>41843</v>
      </c>
      <c r="F167" s="1" t="s">
        <v>152</v>
      </c>
      <c r="G167" s="1" t="s">
        <v>29</v>
      </c>
      <c r="H167" s="1" t="s">
        <v>646</v>
      </c>
      <c r="I167" s="1" t="s">
        <v>31</v>
      </c>
      <c r="J167" s="1" t="s">
        <v>648</v>
      </c>
      <c r="K167" s="1">
        <v>2124250</v>
      </c>
      <c r="L167" s="1">
        <v>0.4219</v>
      </c>
      <c r="M167" s="1">
        <v>0.28999999999999998</v>
      </c>
      <c r="N167" s="1">
        <v>0.44240000000000002</v>
      </c>
      <c r="O167" s="1">
        <v>9070.81</v>
      </c>
      <c r="P167" s="1">
        <v>3209657395</v>
      </c>
      <c r="Q167" s="1">
        <v>2977775</v>
      </c>
      <c r="R167" s="1">
        <v>2124250</v>
      </c>
      <c r="S167" s="1">
        <v>2977775</v>
      </c>
      <c r="T167" s="1">
        <v>3164038</v>
      </c>
      <c r="U167" s="1">
        <v>2316688</v>
      </c>
      <c r="V167" s="1">
        <v>7491</v>
      </c>
      <c r="W167" s="1">
        <v>9150</v>
      </c>
      <c r="X167" s="1">
        <v>22.15</v>
      </c>
      <c r="Y167" s="1">
        <v>0</v>
      </c>
      <c r="Z167" s="1">
        <v>45200000</v>
      </c>
      <c r="AA167" s="1">
        <v>1</v>
      </c>
      <c r="AB167" s="1">
        <v>1</v>
      </c>
      <c r="AC167" s="33">
        <v>42572</v>
      </c>
    </row>
    <row r="168" spans="1:29" x14ac:dyDescent="0.35">
      <c r="A168" s="1" t="s">
        <v>651</v>
      </c>
      <c r="B168" s="1" t="s">
        <v>649</v>
      </c>
      <c r="C168" s="56">
        <v>42536.352407407401</v>
      </c>
      <c r="D168" s="56">
        <v>42531</v>
      </c>
      <c r="E168" s="56">
        <v>42534</v>
      </c>
      <c r="G168" s="1" t="s">
        <v>72</v>
      </c>
      <c r="H168" s="1" t="s">
        <v>650</v>
      </c>
      <c r="I168" s="1" t="s">
        <v>74</v>
      </c>
      <c r="J168" s="1" t="s">
        <v>652</v>
      </c>
      <c r="M168" s="1">
        <v>7.7700000000000005E-2</v>
      </c>
      <c r="N168" s="1">
        <v>7.7700000000000005E-2</v>
      </c>
      <c r="O168" s="1">
        <v>2140.7809999999999</v>
      </c>
      <c r="P168" s="1">
        <v>889676550</v>
      </c>
      <c r="T168" s="1">
        <v>0</v>
      </c>
      <c r="U168" s="1">
        <v>256869</v>
      </c>
      <c r="V168" s="1">
        <v>2253</v>
      </c>
      <c r="W168" s="1">
        <v>2323</v>
      </c>
      <c r="X168" s="1">
        <v>3.11</v>
      </c>
      <c r="Y168" s="1">
        <v>840000</v>
      </c>
      <c r="Z168" s="1">
        <v>18960000</v>
      </c>
      <c r="AA168" s="1">
        <v>0.955696202531646</v>
      </c>
      <c r="AB168" s="1">
        <v>0.95757575757575797</v>
      </c>
      <c r="AC168" s="33">
        <v>42571</v>
      </c>
    </row>
    <row r="169" spans="1:29" x14ac:dyDescent="0.35">
      <c r="A169" s="1" t="s">
        <v>655</v>
      </c>
      <c r="B169" s="1" t="s">
        <v>653</v>
      </c>
      <c r="C169" s="56">
        <v>42453.6401736111</v>
      </c>
      <c r="D169" s="56">
        <v>42389</v>
      </c>
      <c r="E169" s="56">
        <v>42398</v>
      </c>
      <c r="G169" s="1" t="s">
        <v>74</v>
      </c>
      <c r="H169" s="1" t="s">
        <v>654</v>
      </c>
      <c r="I169" s="1" t="s">
        <v>74</v>
      </c>
      <c r="J169" s="1" t="s">
        <v>656</v>
      </c>
      <c r="M169" s="1">
        <v>0</v>
      </c>
      <c r="N169" s="1">
        <v>0</v>
      </c>
      <c r="O169" s="1">
        <v>630.59199999999998</v>
      </c>
      <c r="P169" s="1">
        <v>339498720</v>
      </c>
      <c r="R169" s="1">
        <v>310240</v>
      </c>
      <c r="S169" s="1">
        <v>310240</v>
      </c>
      <c r="T169" s="1">
        <v>0</v>
      </c>
      <c r="U169" s="1">
        <v>326302</v>
      </c>
      <c r="V169" s="1">
        <v>663</v>
      </c>
      <c r="W169" s="1">
        <v>651</v>
      </c>
      <c r="X169" s="1">
        <v>-1.81</v>
      </c>
      <c r="Y169" s="1">
        <v>0</v>
      </c>
      <c r="Z169" s="1">
        <v>4499529</v>
      </c>
      <c r="AA169" s="1">
        <v>1</v>
      </c>
      <c r="AB169" s="1">
        <v>1</v>
      </c>
      <c r="AC169" s="33">
        <v>42571</v>
      </c>
    </row>
    <row r="170" spans="1:29" x14ac:dyDescent="0.35">
      <c r="A170" s="1" t="s">
        <v>660</v>
      </c>
      <c r="B170" s="1" t="s">
        <v>657</v>
      </c>
      <c r="C170" s="56">
        <v>41522.484340277799</v>
      </c>
      <c r="D170" s="56">
        <v>41436</v>
      </c>
      <c r="E170" s="56">
        <v>41485</v>
      </c>
      <c r="F170" s="1" t="s">
        <v>22</v>
      </c>
      <c r="G170" s="1" t="s">
        <v>463</v>
      </c>
      <c r="H170" s="1" t="s">
        <v>658</v>
      </c>
      <c r="I170" s="1" t="s">
        <v>659</v>
      </c>
      <c r="J170" s="1" t="s">
        <v>661</v>
      </c>
      <c r="M170" s="1">
        <v>0.28449999999999998</v>
      </c>
      <c r="N170" s="1">
        <v>0.28449999999999998</v>
      </c>
      <c r="O170" s="1">
        <v>1385.127</v>
      </c>
      <c r="P170" s="1">
        <v>348852128</v>
      </c>
      <c r="Q170" s="1">
        <v>666825</v>
      </c>
      <c r="R170" s="1">
        <v>671175</v>
      </c>
      <c r="S170" s="1">
        <v>671175</v>
      </c>
      <c r="T170" s="1">
        <v>587447</v>
      </c>
      <c r="U170" s="1">
        <v>591847</v>
      </c>
      <c r="V170" s="1">
        <v>1321</v>
      </c>
      <c r="W170" s="1">
        <v>1397</v>
      </c>
      <c r="X170" s="1">
        <v>5.75</v>
      </c>
      <c r="Y170" s="1">
        <v>0</v>
      </c>
      <c r="Z170" s="1">
        <v>18500000</v>
      </c>
      <c r="AA170" s="1">
        <v>1</v>
      </c>
      <c r="AB170" s="1">
        <v>1</v>
      </c>
      <c r="AC170" s="33">
        <v>42572</v>
      </c>
    </row>
    <row r="171" spans="1:29" x14ac:dyDescent="0.35">
      <c r="A171" s="1" t="s">
        <v>664</v>
      </c>
      <c r="B171" s="1" t="s">
        <v>662</v>
      </c>
      <c r="C171" s="56">
        <v>40909</v>
      </c>
      <c r="D171" s="56">
        <v>40266</v>
      </c>
      <c r="E171" s="56">
        <v>40268</v>
      </c>
      <c r="G171" s="1" t="s">
        <v>67</v>
      </c>
      <c r="H171" s="1" t="s">
        <v>663</v>
      </c>
      <c r="I171" s="1" t="s">
        <v>239</v>
      </c>
      <c r="J171" s="1" t="s">
        <v>665</v>
      </c>
      <c r="M171" s="1">
        <v>0.24249999999999999</v>
      </c>
      <c r="N171" s="1">
        <v>0.24829999999999999</v>
      </c>
      <c r="O171" s="1">
        <v>651</v>
      </c>
      <c r="P171" s="1">
        <v>155244817</v>
      </c>
      <c r="Q171" s="1">
        <v>726744</v>
      </c>
      <c r="R171" s="1">
        <v>726744</v>
      </c>
      <c r="S171" s="1">
        <v>726744</v>
      </c>
      <c r="T171" s="1">
        <v>720481.26</v>
      </c>
      <c r="U171" s="1">
        <v>720481.26</v>
      </c>
      <c r="V171" s="1">
        <v>684</v>
      </c>
      <c r="W171" s="1">
        <v>673</v>
      </c>
      <c r="X171" s="1">
        <v>-1.61</v>
      </c>
      <c r="Y171" s="1">
        <v>0</v>
      </c>
      <c r="Z171" s="1">
        <v>11500000</v>
      </c>
      <c r="AA171" s="1">
        <v>1</v>
      </c>
      <c r="AB171" s="1">
        <v>1</v>
      </c>
      <c r="AC171" s="33">
        <v>42573</v>
      </c>
    </row>
    <row r="172" spans="1:29" x14ac:dyDescent="0.35">
      <c r="A172" s="1" t="s">
        <v>668</v>
      </c>
      <c r="B172" s="1" t="s">
        <v>666</v>
      </c>
      <c r="C172" s="56">
        <v>42536.352407407401</v>
      </c>
      <c r="D172" s="56">
        <v>42524</v>
      </c>
      <c r="E172" s="56">
        <v>42439</v>
      </c>
      <c r="G172" s="1" t="s">
        <v>72</v>
      </c>
      <c r="H172" s="1" t="s">
        <v>667</v>
      </c>
      <c r="I172" s="1" t="s">
        <v>78</v>
      </c>
      <c r="J172" s="1" t="s">
        <v>669</v>
      </c>
      <c r="M172" s="1">
        <v>0.15790000000000001</v>
      </c>
      <c r="N172" s="1">
        <v>0.15790000000000001</v>
      </c>
      <c r="O172" s="1">
        <v>4063.3</v>
      </c>
      <c r="P172" s="1">
        <v>1398768146</v>
      </c>
      <c r="Q172" s="1">
        <v>446722</v>
      </c>
      <c r="R172" s="1">
        <v>881275</v>
      </c>
      <c r="S172" s="1">
        <v>881275</v>
      </c>
      <c r="T172" s="1">
        <v>0</v>
      </c>
      <c r="U172" s="1">
        <v>3902188</v>
      </c>
      <c r="V172" s="1">
        <v>3475</v>
      </c>
      <c r="W172" s="1">
        <v>4454</v>
      </c>
      <c r="X172" s="1">
        <v>28.17</v>
      </c>
      <c r="Y172" s="1">
        <v>0</v>
      </c>
      <c r="Z172" s="1">
        <v>78000000</v>
      </c>
      <c r="AA172" s="1">
        <v>1</v>
      </c>
      <c r="AB172" s="1">
        <v>1</v>
      </c>
      <c r="AC172" s="33">
        <v>42571</v>
      </c>
    </row>
    <row r="173" spans="1:29" x14ac:dyDescent="0.35">
      <c r="A173" s="1" t="s">
        <v>672</v>
      </c>
      <c r="B173" s="1" t="s">
        <v>670</v>
      </c>
      <c r="C173" s="56">
        <v>41927.558125000003</v>
      </c>
      <c r="D173" s="56">
        <v>41821</v>
      </c>
      <c r="E173" s="56">
        <v>41834</v>
      </c>
      <c r="F173" s="1" t="s">
        <v>22</v>
      </c>
      <c r="G173" s="1" t="s">
        <v>29</v>
      </c>
      <c r="H173" s="1" t="s">
        <v>671</v>
      </c>
      <c r="I173" s="1" t="s">
        <v>31</v>
      </c>
      <c r="J173" s="1" t="s">
        <v>673</v>
      </c>
      <c r="K173" s="1">
        <v>361600</v>
      </c>
      <c r="L173" s="1">
        <v>0.20100000000000001</v>
      </c>
      <c r="M173" s="1">
        <v>0.16650000000000001</v>
      </c>
      <c r="N173" s="1">
        <v>0.17480000000000001</v>
      </c>
      <c r="O173" s="1">
        <v>1522.8920000000001</v>
      </c>
      <c r="P173" s="1">
        <v>311608957</v>
      </c>
      <c r="Q173" s="1">
        <v>365100</v>
      </c>
      <c r="R173" s="1">
        <v>361600</v>
      </c>
      <c r="S173" s="1">
        <v>365100</v>
      </c>
      <c r="T173" s="1">
        <v>1500000</v>
      </c>
      <c r="U173" s="1">
        <v>1500000</v>
      </c>
      <c r="V173" s="1">
        <v>1569</v>
      </c>
      <c r="W173" s="1">
        <v>1738</v>
      </c>
      <c r="X173" s="1">
        <v>10.77</v>
      </c>
      <c r="Y173" s="1">
        <v>0</v>
      </c>
      <c r="Z173" s="1">
        <v>5650000</v>
      </c>
      <c r="AA173" s="1">
        <v>1</v>
      </c>
      <c r="AB173" s="1">
        <v>1</v>
      </c>
      <c r="AC173" s="33">
        <v>42572</v>
      </c>
    </row>
    <row r="174" spans="1:29" x14ac:dyDescent="0.35">
      <c r="A174" s="1" t="s">
        <v>677</v>
      </c>
      <c r="B174" s="1" t="s">
        <v>674</v>
      </c>
      <c r="C174" s="56">
        <v>41522.484340277799</v>
      </c>
      <c r="D174" s="56">
        <v>41486</v>
      </c>
      <c r="E174" s="56">
        <v>41487</v>
      </c>
      <c r="F174" s="1" t="s">
        <v>22</v>
      </c>
      <c r="G174" s="1" t="s">
        <v>675</v>
      </c>
      <c r="H174" s="1" t="s">
        <v>676</v>
      </c>
      <c r="I174" s="1" t="s">
        <v>37</v>
      </c>
      <c r="J174" s="1" t="s">
        <v>678</v>
      </c>
      <c r="K174" s="1">
        <v>1706188</v>
      </c>
      <c r="L174" s="1">
        <v>0.43419999999999997</v>
      </c>
      <c r="M174" s="1">
        <v>0.28999999999999998</v>
      </c>
      <c r="N174" s="1">
        <v>0.54590000000000005</v>
      </c>
      <c r="O174" s="1">
        <v>910.23099999999999</v>
      </c>
      <c r="P174" s="1">
        <v>416509150</v>
      </c>
      <c r="Q174" s="1">
        <v>1708788</v>
      </c>
      <c r="R174" s="1">
        <v>1706188</v>
      </c>
      <c r="S174" s="1">
        <v>1708788</v>
      </c>
      <c r="T174" s="1">
        <v>1585200</v>
      </c>
      <c r="U174" s="1">
        <v>1583500</v>
      </c>
      <c r="V174" s="1">
        <v>1062</v>
      </c>
      <c r="W174" s="1">
        <v>975</v>
      </c>
      <c r="X174" s="1">
        <v>-8.19</v>
      </c>
      <c r="Y174" s="1">
        <v>3161600</v>
      </c>
      <c r="Z174" s="1">
        <v>26738400</v>
      </c>
      <c r="AA174" s="1">
        <v>0.88175807078957602</v>
      </c>
      <c r="AB174" s="1">
        <v>0.894260869565217</v>
      </c>
      <c r="AC174" s="33">
        <v>42572</v>
      </c>
    </row>
    <row r="175" spans="1:29" x14ac:dyDescent="0.35">
      <c r="A175" s="1" t="s">
        <v>681</v>
      </c>
      <c r="B175" s="1" t="s">
        <v>679</v>
      </c>
      <c r="C175" s="56">
        <v>41458.398553240702</v>
      </c>
      <c r="D175" s="56">
        <v>41346</v>
      </c>
      <c r="E175" s="56">
        <v>41389</v>
      </c>
      <c r="F175" s="1" t="s">
        <v>22</v>
      </c>
      <c r="G175" s="1" t="s">
        <v>350</v>
      </c>
      <c r="H175" s="1" t="s">
        <v>680</v>
      </c>
      <c r="I175" s="1" t="s">
        <v>37</v>
      </c>
      <c r="J175" s="1" t="s">
        <v>682</v>
      </c>
      <c r="K175" s="1">
        <v>741719</v>
      </c>
      <c r="L175" s="1">
        <v>0.16950000000000001</v>
      </c>
      <c r="M175" s="1">
        <v>0.1623</v>
      </c>
      <c r="N175" s="1">
        <v>0.16539999999999999</v>
      </c>
      <c r="O175" s="1">
        <v>3430</v>
      </c>
      <c r="P175" s="1">
        <v>534699540</v>
      </c>
      <c r="Q175" s="1">
        <v>740269</v>
      </c>
      <c r="R175" s="1">
        <v>741719</v>
      </c>
      <c r="S175" s="1">
        <v>741719</v>
      </c>
      <c r="T175" s="1">
        <v>883875</v>
      </c>
      <c r="U175" s="1">
        <v>882375</v>
      </c>
      <c r="V175" s="1">
        <v>3483</v>
      </c>
      <c r="W175" s="1">
        <v>3760</v>
      </c>
      <c r="X175" s="1">
        <v>7.95</v>
      </c>
      <c r="Y175" s="1">
        <v>2993953</v>
      </c>
      <c r="Z175" s="1">
        <v>10506047</v>
      </c>
      <c r="AA175" s="1">
        <v>0.71502573708265305</v>
      </c>
      <c r="AB175" s="1">
        <v>0.77822570370370403</v>
      </c>
      <c r="AC175" s="33">
        <v>42572</v>
      </c>
    </row>
    <row r="176" spans="1:29" x14ac:dyDescent="0.35">
      <c r="A176" s="1" t="s">
        <v>681</v>
      </c>
      <c r="B176" s="1" t="s">
        <v>679</v>
      </c>
      <c r="C176" s="56">
        <v>42536.352407407401</v>
      </c>
      <c r="D176" s="56">
        <v>42536</v>
      </c>
      <c r="E176" s="56">
        <v>42597</v>
      </c>
      <c r="G176" s="1" t="s">
        <v>72</v>
      </c>
      <c r="H176" s="1" t="s">
        <v>683</v>
      </c>
      <c r="I176" s="1" t="s">
        <v>74</v>
      </c>
      <c r="J176" s="1" t="s">
        <v>684</v>
      </c>
      <c r="M176" s="1">
        <v>0.1623</v>
      </c>
      <c r="N176" s="1">
        <v>0.16539999999999999</v>
      </c>
      <c r="O176" s="1">
        <v>3430</v>
      </c>
      <c r="P176" s="1">
        <v>534699540</v>
      </c>
      <c r="T176" s="1">
        <v>0</v>
      </c>
      <c r="U176" s="1">
        <v>2033000</v>
      </c>
      <c r="V176" s="1">
        <v>3483</v>
      </c>
      <c r="W176" s="1">
        <v>3760</v>
      </c>
      <c r="X176" s="1">
        <v>7.95</v>
      </c>
      <c r="Y176" s="1">
        <v>3610068</v>
      </c>
      <c r="Z176" s="1">
        <v>25989932</v>
      </c>
      <c r="AA176" s="1">
        <v>0.86109744342539996</v>
      </c>
      <c r="AB176" s="1">
        <v>0.86633106666666704</v>
      </c>
      <c r="AC176" s="33">
        <v>42571</v>
      </c>
    </row>
    <row r="177" spans="1:29" x14ac:dyDescent="0.35">
      <c r="A177" s="1" t="s">
        <v>687</v>
      </c>
      <c r="B177" s="1" t="s">
        <v>685</v>
      </c>
      <c r="C177" s="56">
        <v>41222.398356481499</v>
      </c>
      <c r="D177" s="56">
        <v>41093</v>
      </c>
      <c r="E177" s="56">
        <v>41101</v>
      </c>
      <c r="F177" s="1" t="s">
        <v>22</v>
      </c>
      <c r="G177" s="1" t="s">
        <v>45</v>
      </c>
      <c r="H177" s="1" t="s">
        <v>686</v>
      </c>
      <c r="I177" s="1" t="s">
        <v>25</v>
      </c>
      <c r="J177" s="1" t="s">
        <v>688</v>
      </c>
      <c r="K177" s="1">
        <v>1904550</v>
      </c>
      <c r="L177" s="1">
        <v>0.42670000000000002</v>
      </c>
      <c r="M177" s="1">
        <v>0.28999999999999998</v>
      </c>
      <c r="N177" s="1">
        <v>0.40450000000000003</v>
      </c>
      <c r="O177" s="1">
        <v>13653.763999999999</v>
      </c>
      <c r="P177" s="1">
        <v>3124909640</v>
      </c>
      <c r="Q177" s="1">
        <v>1904550</v>
      </c>
      <c r="R177" s="1">
        <v>1904550</v>
      </c>
      <c r="S177" s="1">
        <v>1904550</v>
      </c>
      <c r="T177" s="1">
        <v>4000000</v>
      </c>
      <c r="U177" s="1">
        <v>4000000</v>
      </c>
      <c r="V177" s="1">
        <v>10078</v>
      </c>
      <c r="W177" s="1">
        <v>13769</v>
      </c>
      <c r="X177" s="1">
        <v>36.619999999999997</v>
      </c>
      <c r="Y177" s="1">
        <v>0</v>
      </c>
      <c r="Z177" s="1">
        <v>55000000</v>
      </c>
      <c r="AA177" s="1">
        <v>1</v>
      </c>
      <c r="AB177" s="1">
        <v>1</v>
      </c>
      <c r="AC177" s="33">
        <v>42572</v>
      </c>
    </row>
    <row r="178" spans="1:29" x14ac:dyDescent="0.35">
      <c r="A178" s="1" t="s">
        <v>687</v>
      </c>
      <c r="B178" s="1" t="s">
        <v>685</v>
      </c>
      <c r="C178" s="56">
        <v>41522.484340277799</v>
      </c>
      <c r="D178" s="56">
        <v>41434</v>
      </c>
      <c r="E178" s="56">
        <v>41450.416666666701</v>
      </c>
      <c r="F178" s="1" t="s">
        <v>22</v>
      </c>
      <c r="G178" s="1" t="s">
        <v>35</v>
      </c>
      <c r="H178" s="1" t="s">
        <v>689</v>
      </c>
      <c r="I178" s="1" t="s">
        <v>37</v>
      </c>
      <c r="J178" s="1" t="s">
        <v>690</v>
      </c>
      <c r="M178" s="1">
        <v>0.28999999999999998</v>
      </c>
      <c r="N178" s="1">
        <v>0.40450000000000003</v>
      </c>
      <c r="O178" s="1">
        <v>13653.763999999999</v>
      </c>
      <c r="P178" s="1">
        <v>3124909640</v>
      </c>
      <c r="Q178" s="1">
        <v>2517575</v>
      </c>
      <c r="R178" s="1">
        <v>2417275</v>
      </c>
      <c r="S178" s="1">
        <v>2517575</v>
      </c>
      <c r="T178" s="1">
        <v>3000000</v>
      </c>
      <c r="U178" s="1">
        <v>3000000</v>
      </c>
      <c r="V178" s="1">
        <v>10078</v>
      </c>
      <c r="W178" s="1">
        <v>13769</v>
      </c>
      <c r="X178" s="1">
        <v>36.619999999999997</v>
      </c>
      <c r="Y178" s="1">
        <v>0</v>
      </c>
      <c r="Z178" s="1">
        <v>33000000</v>
      </c>
      <c r="AA178" s="1">
        <v>1</v>
      </c>
      <c r="AB178" s="1">
        <v>1</v>
      </c>
      <c r="AC178" s="33">
        <v>42572</v>
      </c>
    </row>
    <row r="179" spans="1:29" x14ac:dyDescent="0.35">
      <c r="A179" s="1" t="s">
        <v>687</v>
      </c>
      <c r="B179" s="1" t="s">
        <v>685</v>
      </c>
      <c r="C179" s="56">
        <v>41864.4977083333</v>
      </c>
      <c r="D179" s="56">
        <v>41813</v>
      </c>
      <c r="E179" s="56">
        <v>41816</v>
      </c>
      <c r="F179" s="1" t="s">
        <v>22</v>
      </c>
      <c r="G179" s="1" t="s">
        <v>29</v>
      </c>
      <c r="H179" s="1" t="s">
        <v>691</v>
      </c>
      <c r="I179" s="1" t="s">
        <v>31</v>
      </c>
      <c r="J179" s="1" t="s">
        <v>692</v>
      </c>
      <c r="K179" s="1">
        <v>403575</v>
      </c>
      <c r="L179" s="1">
        <v>0.42670000000000002</v>
      </c>
      <c r="M179" s="1">
        <v>0.28999999999999998</v>
      </c>
      <c r="N179" s="1">
        <v>0.40450000000000003</v>
      </c>
      <c r="O179" s="1">
        <v>13653.763999999999</v>
      </c>
      <c r="P179" s="1">
        <v>3124909640</v>
      </c>
      <c r="Q179" s="1">
        <v>306075</v>
      </c>
      <c r="R179" s="1">
        <v>403575</v>
      </c>
      <c r="S179" s="1">
        <v>403575</v>
      </c>
      <c r="T179" s="1">
        <v>1000000</v>
      </c>
      <c r="U179" s="1">
        <v>1000000</v>
      </c>
      <c r="V179" s="1">
        <v>10078</v>
      </c>
      <c r="W179" s="1">
        <v>13769</v>
      </c>
      <c r="X179" s="1">
        <v>36.619999999999997</v>
      </c>
      <c r="Y179" s="1">
        <v>0</v>
      </c>
      <c r="Z179" s="1">
        <v>9500000</v>
      </c>
      <c r="AA179" s="1">
        <v>1</v>
      </c>
      <c r="AB179" s="1">
        <v>1</v>
      </c>
      <c r="AC179" s="33">
        <v>42572</v>
      </c>
    </row>
    <row r="180" spans="1:29" x14ac:dyDescent="0.35">
      <c r="A180" s="1" t="s">
        <v>687</v>
      </c>
      <c r="B180" s="1" t="s">
        <v>685</v>
      </c>
      <c r="C180" s="56">
        <v>42263.389016203699</v>
      </c>
      <c r="D180" s="56">
        <v>42184</v>
      </c>
      <c r="E180" s="56">
        <v>42186</v>
      </c>
      <c r="F180" s="1" t="s">
        <v>22</v>
      </c>
      <c r="G180" s="1" t="s">
        <v>194</v>
      </c>
      <c r="H180" s="1" t="s">
        <v>693</v>
      </c>
      <c r="I180" s="1" t="s">
        <v>126</v>
      </c>
      <c r="J180" s="1" t="s">
        <v>694</v>
      </c>
      <c r="K180" s="1">
        <v>0</v>
      </c>
      <c r="L180" s="1">
        <v>0.42670000000000002</v>
      </c>
      <c r="M180" s="1">
        <v>0.28999999999999998</v>
      </c>
      <c r="N180" s="1">
        <v>0.40450000000000003</v>
      </c>
      <c r="O180" s="1">
        <v>13653.763999999999</v>
      </c>
      <c r="P180" s="1">
        <v>3124909640</v>
      </c>
      <c r="Q180" s="1">
        <v>4696400</v>
      </c>
      <c r="R180" s="1">
        <v>4158850</v>
      </c>
      <c r="S180" s="1">
        <v>4696400</v>
      </c>
      <c r="T180" s="1">
        <v>9500000</v>
      </c>
      <c r="U180" s="1">
        <v>9500000</v>
      </c>
      <c r="V180" s="1">
        <v>10078</v>
      </c>
      <c r="W180" s="1">
        <v>13769</v>
      </c>
      <c r="X180" s="1">
        <v>36.619999999999997</v>
      </c>
      <c r="Y180" s="1">
        <v>0</v>
      </c>
      <c r="Z180" s="1">
        <v>90000000</v>
      </c>
      <c r="AA180" s="1">
        <v>1</v>
      </c>
      <c r="AB180" s="1">
        <v>1</v>
      </c>
      <c r="AC180" s="33">
        <v>42570</v>
      </c>
    </row>
    <row r="181" spans="1:29" x14ac:dyDescent="0.35">
      <c r="A181" s="1" t="s">
        <v>699</v>
      </c>
      <c r="B181" s="1" t="s">
        <v>695</v>
      </c>
      <c r="C181" s="56">
        <v>41285.4848263889</v>
      </c>
      <c r="D181" s="56">
        <v>41123</v>
      </c>
      <c r="E181" s="56">
        <v>41141.4375</v>
      </c>
      <c r="F181" s="1" t="s">
        <v>22</v>
      </c>
      <c r="G181" s="1" t="s">
        <v>696</v>
      </c>
      <c r="H181" s="1" t="s">
        <v>697</v>
      </c>
      <c r="I181" s="1" t="s">
        <v>698</v>
      </c>
      <c r="J181" s="1" t="s">
        <v>700</v>
      </c>
      <c r="K181" s="1">
        <v>67975</v>
      </c>
      <c r="L181" s="1">
        <v>0.12189999999999999</v>
      </c>
      <c r="M181" s="1">
        <v>0.12239999999999999</v>
      </c>
      <c r="N181" s="1">
        <v>0.25380000000000003</v>
      </c>
      <c r="O181" s="1">
        <v>980.25099999999998</v>
      </c>
      <c r="P181" s="1">
        <v>830702498</v>
      </c>
      <c r="Q181" s="1">
        <v>67086</v>
      </c>
      <c r="R181" s="1">
        <v>67086</v>
      </c>
      <c r="S181" s="1">
        <v>67086</v>
      </c>
      <c r="T181" s="1">
        <v>600000</v>
      </c>
      <c r="U181" s="1">
        <v>600000</v>
      </c>
      <c r="V181" s="1">
        <v>1227</v>
      </c>
      <c r="W181" s="1">
        <v>1027</v>
      </c>
      <c r="X181" s="1">
        <v>-16.3</v>
      </c>
      <c r="Y181" s="1">
        <v>0</v>
      </c>
      <c r="Z181" s="1">
        <v>5469000</v>
      </c>
      <c r="AA181" s="1">
        <v>1</v>
      </c>
      <c r="AB181" s="1">
        <v>1</v>
      </c>
      <c r="AC181" s="33">
        <v>42572</v>
      </c>
    </row>
    <row r="182" spans="1:29" x14ac:dyDescent="0.35">
      <c r="A182" s="1" t="s">
        <v>703</v>
      </c>
      <c r="B182" s="1" t="s">
        <v>701</v>
      </c>
      <c r="C182" s="56">
        <v>41551.39875</v>
      </c>
      <c r="D182" s="56">
        <v>41488</v>
      </c>
      <c r="E182" s="56">
        <v>41494</v>
      </c>
      <c r="F182" s="1" t="s">
        <v>22</v>
      </c>
      <c r="G182" s="1" t="s">
        <v>35</v>
      </c>
      <c r="H182" s="1" t="s">
        <v>702</v>
      </c>
      <c r="I182" s="1" t="s">
        <v>37</v>
      </c>
      <c r="J182" s="1" t="s">
        <v>704</v>
      </c>
      <c r="K182" s="1">
        <v>402625</v>
      </c>
      <c r="L182" s="1">
        <v>0.25850000000000001</v>
      </c>
      <c r="M182" s="1">
        <v>0.2515</v>
      </c>
      <c r="N182" s="1">
        <v>0.64600000000000002</v>
      </c>
      <c r="O182" s="1">
        <v>460.16699999999997</v>
      </c>
      <c r="P182" s="1">
        <v>238020094</v>
      </c>
      <c r="Q182" s="1">
        <v>401950</v>
      </c>
      <c r="R182" s="1">
        <v>402625</v>
      </c>
      <c r="S182" s="1">
        <v>402625</v>
      </c>
      <c r="T182" s="1">
        <v>1000000</v>
      </c>
      <c r="U182" s="1">
        <v>1000000</v>
      </c>
      <c r="V182" s="1">
        <v>482</v>
      </c>
      <c r="W182" s="1">
        <v>522</v>
      </c>
      <c r="X182" s="1">
        <v>8.3000000000000007</v>
      </c>
      <c r="Y182" s="1">
        <v>0</v>
      </c>
      <c r="Z182" s="1">
        <v>7000000</v>
      </c>
      <c r="AA182" s="1">
        <v>1</v>
      </c>
      <c r="AB182" s="1">
        <v>1</v>
      </c>
      <c r="AC182" s="33">
        <v>42572</v>
      </c>
    </row>
    <row r="183" spans="1:29" x14ac:dyDescent="0.35">
      <c r="A183" s="1" t="s">
        <v>708</v>
      </c>
      <c r="B183" s="1" t="s">
        <v>705</v>
      </c>
      <c r="C183" s="56">
        <v>42111.427094907398</v>
      </c>
      <c r="D183" s="56">
        <v>42019</v>
      </c>
      <c r="E183" s="56">
        <v>42019</v>
      </c>
      <c r="F183" s="1" t="s">
        <v>152</v>
      </c>
      <c r="G183" s="1" t="s">
        <v>706</v>
      </c>
      <c r="H183" s="1" t="s">
        <v>707</v>
      </c>
      <c r="I183" s="1" t="s">
        <v>126</v>
      </c>
      <c r="J183" s="1" t="s">
        <v>709</v>
      </c>
      <c r="K183" s="1">
        <v>2056988</v>
      </c>
      <c r="L183" s="1">
        <v>0.19370000000000001</v>
      </c>
      <c r="M183" s="1">
        <v>0.1951</v>
      </c>
      <c r="N183" s="1">
        <v>0.26150000000000001</v>
      </c>
      <c r="O183" s="1">
        <v>5599</v>
      </c>
      <c r="P183" s="1">
        <v>1435793791</v>
      </c>
      <c r="Q183" s="1">
        <v>2056988</v>
      </c>
      <c r="R183" s="1">
        <v>2056988</v>
      </c>
      <c r="S183" s="1">
        <v>2056988</v>
      </c>
      <c r="T183" s="1">
        <v>3246250</v>
      </c>
      <c r="U183" s="1">
        <v>3246250</v>
      </c>
      <c r="V183" s="1">
        <v>5697</v>
      </c>
      <c r="W183" s="1">
        <v>5931</v>
      </c>
      <c r="X183" s="1">
        <v>4.1100000000000003</v>
      </c>
      <c r="Y183" s="1">
        <v>0</v>
      </c>
      <c r="Z183" s="1">
        <v>49673624</v>
      </c>
      <c r="AA183" s="1">
        <v>1</v>
      </c>
      <c r="AB183" s="1">
        <v>1</v>
      </c>
      <c r="AC183" s="33">
        <v>42570</v>
      </c>
    </row>
    <row r="184" spans="1:29" x14ac:dyDescent="0.35">
      <c r="A184" s="1" t="s">
        <v>714</v>
      </c>
      <c r="B184" s="1" t="s">
        <v>710</v>
      </c>
      <c r="C184" s="56">
        <v>41551.39875</v>
      </c>
      <c r="D184" s="56">
        <v>40529</v>
      </c>
      <c r="E184" s="56">
        <v>40532</v>
      </c>
      <c r="F184" s="1" t="s">
        <v>22</v>
      </c>
      <c r="G184" s="1" t="s">
        <v>711</v>
      </c>
      <c r="H184" s="1" t="s">
        <v>712</v>
      </c>
      <c r="I184" s="1" t="s">
        <v>713</v>
      </c>
      <c r="J184" s="1" t="s">
        <v>715</v>
      </c>
      <c r="K184" s="1">
        <v>3940387</v>
      </c>
      <c r="L184" s="1">
        <v>0.18310000000000001</v>
      </c>
      <c r="M184" s="1">
        <v>0.1827</v>
      </c>
      <c r="N184" s="1">
        <v>0.20069999999999999</v>
      </c>
      <c r="O184" s="1">
        <v>37060.631999999998</v>
      </c>
      <c r="P184" s="1">
        <v>14041443510</v>
      </c>
      <c r="Q184" s="1">
        <v>3930179</v>
      </c>
      <c r="R184" s="1">
        <v>3930179</v>
      </c>
      <c r="S184" s="1">
        <v>3930179</v>
      </c>
      <c r="T184" s="1">
        <v>5413668</v>
      </c>
      <c r="U184" s="1">
        <v>5413668</v>
      </c>
      <c r="V184" s="1">
        <v>38226</v>
      </c>
      <c r="W184" s="1">
        <v>38423</v>
      </c>
      <c r="X184" s="1">
        <v>0.52</v>
      </c>
      <c r="Y184" s="1">
        <v>2710800</v>
      </c>
      <c r="Z184" s="1">
        <v>110776018</v>
      </c>
      <c r="AA184" s="1">
        <v>0.97552899942657301</v>
      </c>
      <c r="AB184" s="1">
        <v>0.97611352536115703</v>
      </c>
      <c r="AC184" s="33">
        <v>42573</v>
      </c>
    </row>
    <row r="185" spans="1:29" x14ac:dyDescent="0.35">
      <c r="A185" s="1" t="s">
        <v>714</v>
      </c>
      <c r="B185" s="1" t="s">
        <v>710</v>
      </c>
      <c r="C185" s="56">
        <v>42017.432453703703</v>
      </c>
      <c r="D185" s="56">
        <v>40862</v>
      </c>
      <c r="E185" s="56">
        <v>40861</v>
      </c>
      <c r="F185" s="1" t="s">
        <v>22</v>
      </c>
      <c r="G185" s="1" t="s">
        <v>716</v>
      </c>
      <c r="H185" s="1" t="s">
        <v>717</v>
      </c>
      <c r="I185" s="1" t="s">
        <v>718</v>
      </c>
      <c r="J185" s="1" t="s">
        <v>719</v>
      </c>
      <c r="K185" s="1">
        <v>1746212</v>
      </c>
      <c r="L185" s="1">
        <v>0.18310000000000001</v>
      </c>
      <c r="M185" s="1">
        <v>0.1827</v>
      </c>
      <c r="N185" s="1">
        <v>0.20069999999999999</v>
      </c>
      <c r="O185" s="1">
        <v>37060.631999999998</v>
      </c>
      <c r="P185" s="1">
        <v>14041443510</v>
      </c>
      <c r="Q185" s="1">
        <v>1740650</v>
      </c>
      <c r="R185" s="1">
        <v>1740650</v>
      </c>
      <c r="S185" s="1">
        <v>1740650</v>
      </c>
      <c r="T185" s="1">
        <v>1665000</v>
      </c>
      <c r="U185" s="1">
        <v>1665000</v>
      </c>
      <c r="V185" s="1">
        <v>38226</v>
      </c>
      <c r="W185" s="1">
        <v>38423</v>
      </c>
      <c r="X185" s="1">
        <v>0.52</v>
      </c>
      <c r="Y185" s="1">
        <v>0</v>
      </c>
      <c r="Z185" s="1">
        <v>25000000</v>
      </c>
      <c r="AA185" s="1">
        <v>1</v>
      </c>
      <c r="AB185" s="1">
        <v>1</v>
      </c>
      <c r="AC185" s="33">
        <v>42573</v>
      </c>
    </row>
    <row r="186" spans="1:29" x14ac:dyDescent="0.35">
      <c r="A186" s="1" t="s">
        <v>893</v>
      </c>
      <c r="B186" s="1" t="s">
        <v>748</v>
      </c>
      <c r="D186" s="56">
        <v>42527</v>
      </c>
      <c r="E186" s="56">
        <v>42527</v>
      </c>
      <c r="G186" s="1" t="s">
        <v>86</v>
      </c>
      <c r="H186" s="1" t="s">
        <v>805</v>
      </c>
      <c r="I186" s="1" t="s">
        <v>86</v>
      </c>
      <c r="T186" s="1">
        <v>0</v>
      </c>
      <c r="U186" s="1">
        <v>635575</v>
      </c>
      <c r="Y186" s="1">
        <v>6210000</v>
      </c>
      <c r="Z186" s="1">
        <v>46201963</v>
      </c>
      <c r="AA186" s="1">
        <v>0.86559012654938505</v>
      </c>
      <c r="AB186" s="1">
        <v>0.88151559978778105</v>
      </c>
      <c r="AC186" s="33">
        <v>42571</v>
      </c>
    </row>
    <row r="187" spans="1:29" x14ac:dyDescent="0.35">
      <c r="A187" s="1" t="s">
        <v>722</v>
      </c>
      <c r="B187" s="1" t="s">
        <v>720</v>
      </c>
      <c r="C187" s="56">
        <v>41733.4191782407</v>
      </c>
      <c r="D187" s="56">
        <v>41674</v>
      </c>
      <c r="E187" s="56">
        <v>41683</v>
      </c>
      <c r="F187" s="1" t="s">
        <v>22</v>
      </c>
      <c r="G187" s="1" t="s">
        <v>29</v>
      </c>
      <c r="H187" s="1" t="s">
        <v>721</v>
      </c>
      <c r="I187" s="1" t="s">
        <v>31</v>
      </c>
      <c r="J187" s="1" t="s">
        <v>723</v>
      </c>
      <c r="K187" s="1">
        <v>1231750</v>
      </c>
      <c r="L187" s="1">
        <v>0.29249999999999998</v>
      </c>
      <c r="M187" s="1">
        <v>0.28999999999999998</v>
      </c>
      <c r="N187" s="1">
        <v>0.30740000000000001</v>
      </c>
      <c r="O187" s="1">
        <v>3052.9780000000001</v>
      </c>
      <c r="P187" s="1">
        <v>739873274</v>
      </c>
      <c r="Q187" s="1">
        <v>1232850</v>
      </c>
      <c r="R187" s="1">
        <v>1231750</v>
      </c>
      <c r="S187" s="1">
        <v>1232850</v>
      </c>
      <c r="T187" s="1">
        <v>1286470</v>
      </c>
      <c r="U187" s="1">
        <v>1286470</v>
      </c>
      <c r="V187" s="1">
        <v>3560</v>
      </c>
      <c r="W187" s="1">
        <v>3195</v>
      </c>
      <c r="X187" s="1">
        <v>-10.25</v>
      </c>
      <c r="Y187" s="1">
        <v>1000000</v>
      </c>
      <c r="Z187" s="1">
        <v>24000000</v>
      </c>
      <c r="AA187" s="1">
        <v>0.95833333333333304</v>
      </c>
      <c r="AB187" s="1">
        <v>0.96</v>
      </c>
      <c r="AC187" s="33">
        <v>42572</v>
      </c>
    </row>
    <row r="188" spans="1:29" x14ac:dyDescent="0.35">
      <c r="A188" s="1" t="s">
        <v>894</v>
      </c>
      <c r="B188" s="1" t="s">
        <v>739</v>
      </c>
      <c r="D188" s="56">
        <v>42200</v>
      </c>
      <c r="E188" s="56">
        <v>42212</v>
      </c>
      <c r="G188" s="1" t="s">
        <v>194</v>
      </c>
      <c r="H188" s="1" t="s">
        <v>806</v>
      </c>
      <c r="I188" s="1" t="s">
        <v>126</v>
      </c>
      <c r="T188" s="1">
        <v>6600000</v>
      </c>
      <c r="U188" s="1">
        <v>3200000</v>
      </c>
      <c r="Y188" s="1">
        <v>0</v>
      </c>
      <c r="Z188" s="1">
        <v>9750000</v>
      </c>
      <c r="AA188" s="1">
        <v>1</v>
      </c>
      <c r="AB188" s="1">
        <v>1</v>
      </c>
      <c r="AC188" s="33">
        <v>42570</v>
      </c>
    </row>
    <row r="189" spans="1:29" x14ac:dyDescent="0.35">
      <c r="A189" s="1" t="s">
        <v>895</v>
      </c>
      <c r="B189" s="1" t="s">
        <v>728</v>
      </c>
      <c r="D189" s="56">
        <v>42180</v>
      </c>
      <c r="E189" s="56">
        <v>42180</v>
      </c>
      <c r="G189" s="1" t="s">
        <v>96</v>
      </c>
      <c r="H189" s="1" t="s">
        <v>807</v>
      </c>
      <c r="I189" s="1" t="s">
        <v>126</v>
      </c>
      <c r="T189" s="1">
        <v>4321723</v>
      </c>
      <c r="U189" s="1">
        <v>4161250</v>
      </c>
      <c r="Y189" s="1">
        <v>0</v>
      </c>
      <c r="Z189" s="1">
        <v>74900000</v>
      </c>
      <c r="AA189" s="1">
        <v>1</v>
      </c>
      <c r="AB189" s="1">
        <v>1</v>
      </c>
      <c r="AC189" s="33">
        <v>42570</v>
      </c>
    </row>
    <row r="190" spans="1:29" x14ac:dyDescent="0.35">
      <c r="A190" s="1" t="s">
        <v>896</v>
      </c>
      <c r="B190" s="1" t="s">
        <v>762</v>
      </c>
      <c r="D190" s="56">
        <v>41834</v>
      </c>
      <c r="E190" s="56">
        <v>41835</v>
      </c>
      <c r="G190" s="1" t="s">
        <v>763</v>
      </c>
      <c r="H190" s="1" t="s">
        <v>808</v>
      </c>
      <c r="I190" s="1" t="s">
        <v>809</v>
      </c>
      <c r="T190" s="1">
        <v>219537.5</v>
      </c>
      <c r="U190" s="1">
        <v>219537.5</v>
      </c>
      <c r="Y190" s="1">
        <v>815000</v>
      </c>
      <c r="Z190" s="1">
        <v>5000000</v>
      </c>
      <c r="AA190" s="1">
        <v>0.83699999999999997</v>
      </c>
      <c r="AB190" s="1">
        <v>0.85984522785898498</v>
      </c>
      <c r="AC190" s="33">
        <v>42572</v>
      </c>
    </row>
    <row r="191" spans="1:29" x14ac:dyDescent="0.35">
      <c r="A191" s="1" t="s">
        <v>897</v>
      </c>
      <c r="B191" s="1" t="s">
        <v>749</v>
      </c>
      <c r="D191" s="56">
        <v>42531</v>
      </c>
      <c r="G191" s="1" t="s">
        <v>72</v>
      </c>
      <c r="H191" s="1">
        <v>2</v>
      </c>
      <c r="I191" s="1" t="s">
        <v>865</v>
      </c>
      <c r="T191" s="1">
        <v>0</v>
      </c>
      <c r="U191" s="1">
        <v>196013</v>
      </c>
      <c r="Y191" s="1">
        <v>900000</v>
      </c>
      <c r="Z191" s="1">
        <v>2100000</v>
      </c>
      <c r="AA191" s="1">
        <v>0.57142857142857095</v>
      </c>
      <c r="AB191" s="1">
        <v>0.7</v>
      </c>
      <c r="AC191" s="33">
        <v>42572</v>
      </c>
    </row>
    <row r="192" spans="1:29" x14ac:dyDescent="0.35">
      <c r="A192" s="1" t="s">
        <v>898</v>
      </c>
      <c r="B192" s="1" t="s">
        <v>776</v>
      </c>
      <c r="D192" s="56">
        <v>41008</v>
      </c>
      <c r="E192" s="56">
        <v>41015</v>
      </c>
      <c r="G192" s="1" t="s">
        <v>23</v>
      </c>
      <c r="H192" s="1" t="s">
        <v>810</v>
      </c>
      <c r="I192" s="1" t="s">
        <v>25</v>
      </c>
      <c r="U192" s="1">
        <v>320000</v>
      </c>
      <c r="V192" s="1">
        <v>320000</v>
      </c>
      <c r="Y192" s="1">
        <v>0</v>
      </c>
      <c r="Z192" s="1">
        <v>2500000</v>
      </c>
      <c r="AA192" s="1">
        <v>1</v>
      </c>
      <c r="AB192" s="1">
        <v>1</v>
      </c>
      <c r="AC192" s="33">
        <v>42572</v>
      </c>
    </row>
    <row r="193" spans="1:29" x14ac:dyDescent="0.35">
      <c r="A193" s="1" t="s">
        <v>899</v>
      </c>
      <c r="B193" s="1" t="s">
        <v>734</v>
      </c>
      <c r="D193" s="56">
        <v>41458</v>
      </c>
      <c r="E193" s="56">
        <v>41465</v>
      </c>
      <c r="G193" s="1" t="s">
        <v>37</v>
      </c>
      <c r="H193" s="1" t="s">
        <v>811</v>
      </c>
      <c r="I193" s="1" t="s">
        <v>37</v>
      </c>
      <c r="T193" s="1">
        <v>4000000</v>
      </c>
      <c r="U193" s="1">
        <v>4000000</v>
      </c>
      <c r="Y193" s="1">
        <v>0</v>
      </c>
      <c r="Z193" s="1">
        <v>60000000</v>
      </c>
      <c r="AA193" s="1">
        <v>1</v>
      </c>
      <c r="AB193" s="1">
        <v>1</v>
      </c>
      <c r="AC193" s="33">
        <v>42572</v>
      </c>
    </row>
    <row r="194" spans="1:29" x14ac:dyDescent="0.35">
      <c r="A194" s="1" t="s">
        <v>899</v>
      </c>
      <c r="B194" s="1" t="s">
        <v>734</v>
      </c>
      <c r="D194" s="56">
        <v>42109</v>
      </c>
      <c r="E194" s="56">
        <v>42115</v>
      </c>
      <c r="G194" s="1" t="s">
        <v>126</v>
      </c>
      <c r="H194" s="1" t="s">
        <v>812</v>
      </c>
      <c r="I194" s="1" t="s">
        <v>126</v>
      </c>
      <c r="T194" s="1">
        <v>2500000</v>
      </c>
      <c r="U194" s="1">
        <v>2500000</v>
      </c>
      <c r="Y194" s="1">
        <v>0</v>
      </c>
      <c r="Z194" s="1">
        <v>23450000</v>
      </c>
      <c r="AA194" s="1">
        <v>1</v>
      </c>
      <c r="AB194" s="1">
        <v>1</v>
      </c>
      <c r="AC194" s="33">
        <v>42570</v>
      </c>
    </row>
    <row r="195" spans="1:29" x14ac:dyDescent="0.35">
      <c r="A195" s="1" t="s">
        <v>900</v>
      </c>
      <c r="B195" s="1" t="s">
        <v>774</v>
      </c>
      <c r="D195" s="56">
        <v>40967</v>
      </c>
      <c r="E195" s="56">
        <v>40967</v>
      </c>
      <c r="G195" s="1" t="s">
        <v>45</v>
      </c>
      <c r="H195" s="1" t="s">
        <v>815</v>
      </c>
      <c r="I195" s="1" t="s">
        <v>25</v>
      </c>
      <c r="T195" s="1">
        <v>555000</v>
      </c>
      <c r="U195" s="1">
        <v>555000</v>
      </c>
      <c r="Y195" s="1">
        <v>0</v>
      </c>
      <c r="Z195" s="1">
        <v>12000000</v>
      </c>
      <c r="AA195" s="1">
        <v>1</v>
      </c>
      <c r="AB195" s="1">
        <v>1</v>
      </c>
      <c r="AC195" s="33">
        <v>42572</v>
      </c>
    </row>
    <row r="196" spans="1:29" x14ac:dyDescent="0.35">
      <c r="A196" s="1" t="s">
        <v>901</v>
      </c>
      <c r="B196" s="1" t="s">
        <v>727</v>
      </c>
      <c r="D196" s="56">
        <v>42198</v>
      </c>
      <c r="E196" s="56">
        <v>42198</v>
      </c>
      <c r="G196" s="1" t="s">
        <v>194</v>
      </c>
      <c r="H196" s="1" t="s">
        <v>816</v>
      </c>
      <c r="I196" s="1" t="s">
        <v>126</v>
      </c>
      <c r="T196" s="1">
        <v>260500</v>
      </c>
      <c r="U196" s="1">
        <v>260500</v>
      </c>
      <c r="Y196" s="1">
        <v>0</v>
      </c>
      <c r="Z196" s="1">
        <v>7000000</v>
      </c>
      <c r="AA196" s="1">
        <v>1</v>
      </c>
      <c r="AB196" s="1">
        <v>1</v>
      </c>
      <c r="AC196" s="33">
        <v>42570</v>
      </c>
    </row>
    <row r="197" spans="1:29" x14ac:dyDescent="0.35">
      <c r="A197" s="1" t="s">
        <v>902</v>
      </c>
      <c r="B197" s="1" t="s">
        <v>768</v>
      </c>
      <c r="D197" s="56">
        <v>41467</v>
      </c>
      <c r="E197" s="56">
        <v>41499</v>
      </c>
      <c r="G197" s="1" t="s">
        <v>769</v>
      </c>
      <c r="H197" s="1" t="s">
        <v>818</v>
      </c>
      <c r="I197" s="1" t="s">
        <v>819</v>
      </c>
      <c r="T197" s="1">
        <v>1000000</v>
      </c>
      <c r="U197" s="1">
        <v>1000000</v>
      </c>
      <c r="Y197" s="1">
        <v>0</v>
      </c>
      <c r="Z197" s="1">
        <v>6490000</v>
      </c>
      <c r="AA197" s="1">
        <v>1</v>
      </c>
      <c r="AB197" s="1">
        <v>1</v>
      </c>
      <c r="AC197" s="33">
        <v>42572</v>
      </c>
    </row>
    <row r="198" spans="1:29" x14ac:dyDescent="0.35">
      <c r="A198" s="1" t="s">
        <v>902</v>
      </c>
      <c r="B198" s="1" t="s">
        <v>768</v>
      </c>
      <c r="D198" s="56">
        <v>41467</v>
      </c>
      <c r="E198" s="56">
        <v>41499</v>
      </c>
      <c r="G198" s="1" t="s">
        <v>35</v>
      </c>
      <c r="H198" s="1" t="s">
        <v>817</v>
      </c>
      <c r="I198" s="1" t="s">
        <v>37</v>
      </c>
      <c r="T198" s="1">
        <v>2000000</v>
      </c>
      <c r="U198" s="1">
        <v>2000000</v>
      </c>
      <c r="Y198" s="1">
        <v>0</v>
      </c>
      <c r="Z198" s="1">
        <v>20510000</v>
      </c>
      <c r="AA198" s="1">
        <v>1</v>
      </c>
      <c r="AB198" s="1">
        <v>1</v>
      </c>
      <c r="AC198" s="33">
        <v>42572</v>
      </c>
    </row>
    <row r="199" spans="1:29" x14ac:dyDescent="0.35">
      <c r="A199" s="1" t="s">
        <v>903</v>
      </c>
      <c r="B199" s="1" t="s">
        <v>780</v>
      </c>
      <c r="D199" s="56">
        <v>40723</v>
      </c>
      <c r="E199" s="56">
        <v>40736</v>
      </c>
      <c r="G199" s="1" t="s">
        <v>513</v>
      </c>
      <c r="H199" s="1" t="s">
        <v>821</v>
      </c>
      <c r="I199" s="1" t="s">
        <v>822</v>
      </c>
      <c r="T199" s="1">
        <v>1000000</v>
      </c>
      <c r="U199" s="1">
        <v>1000000</v>
      </c>
      <c r="Y199" s="1">
        <v>0</v>
      </c>
      <c r="Z199" s="1">
        <v>5115000</v>
      </c>
      <c r="AA199" s="1">
        <v>1</v>
      </c>
      <c r="AB199" s="1">
        <v>1</v>
      </c>
      <c r="AC199" s="33">
        <v>42573</v>
      </c>
    </row>
    <row r="200" spans="1:29" x14ac:dyDescent="0.35">
      <c r="A200" s="1" t="s">
        <v>903</v>
      </c>
      <c r="B200" s="1" t="s">
        <v>780</v>
      </c>
      <c r="D200" s="56">
        <v>40723</v>
      </c>
      <c r="E200" s="56">
        <v>40736</v>
      </c>
      <c r="G200" s="1" t="s">
        <v>50</v>
      </c>
      <c r="H200" s="1" t="s">
        <v>820</v>
      </c>
      <c r="I200" s="1" t="s">
        <v>52</v>
      </c>
      <c r="T200" s="1">
        <v>800000</v>
      </c>
      <c r="U200" s="1">
        <v>800000</v>
      </c>
      <c r="Y200" s="1">
        <v>0</v>
      </c>
      <c r="Z200" s="1">
        <v>2385000</v>
      </c>
      <c r="AA200" s="1">
        <v>1</v>
      </c>
      <c r="AB200" s="1">
        <v>1</v>
      </c>
      <c r="AC200" s="33">
        <v>42573</v>
      </c>
    </row>
    <row r="201" spans="1:29" x14ac:dyDescent="0.35">
      <c r="A201" s="1" t="s">
        <v>904</v>
      </c>
      <c r="B201" s="1" t="s">
        <v>775</v>
      </c>
      <c r="D201" s="56">
        <v>40933</v>
      </c>
      <c r="E201" s="56">
        <v>40931</v>
      </c>
      <c r="G201" s="1" t="s">
        <v>347</v>
      </c>
      <c r="H201" s="1" t="s">
        <v>823</v>
      </c>
      <c r="I201" s="1" t="s">
        <v>25</v>
      </c>
      <c r="U201" s="1">
        <v>1200000</v>
      </c>
      <c r="V201" s="1">
        <v>1200000</v>
      </c>
      <c r="Y201" s="1">
        <v>0</v>
      </c>
      <c r="Z201" s="1">
        <v>15000000</v>
      </c>
      <c r="AA201" s="1">
        <v>1</v>
      </c>
      <c r="AB201" s="1">
        <v>1</v>
      </c>
      <c r="AC201" s="33">
        <v>42572</v>
      </c>
    </row>
    <row r="202" spans="1:29" x14ac:dyDescent="0.35">
      <c r="A202" s="1" t="s">
        <v>905</v>
      </c>
      <c r="B202" s="1" t="s">
        <v>764</v>
      </c>
      <c r="D202" s="56">
        <v>40779</v>
      </c>
      <c r="E202" s="56">
        <v>40780</v>
      </c>
      <c r="G202" s="1" t="s">
        <v>50</v>
      </c>
      <c r="H202" s="1" t="s">
        <v>826</v>
      </c>
      <c r="I202" s="1" t="s">
        <v>822</v>
      </c>
      <c r="T202" s="1">
        <v>1000000</v>
      </c>
      <c r="U202" s="1">
        <v>1000000</v>
      </c>
      <c r="Y202" s="1">
        <v>0</v>
      </c>
      <c r="Z202" s="1">
        <v>5230000</v>
      </c>
      <c r="AA202" s="1">
        <v>1</v>
      </c>
      <c r="AB202" s="1">
        <v>1</v>
      </c>
      <c r="AC202" s="33">
        <v>42572</v>
      </c>
    </row>
    <row r="203" spans="1:29" x14ac:dyDescent="0.35">
      <c r="A203" s="1" t="s">
        <v>905</v>
      </c>
      <c r="B203" s="1" t="s">
        <v>764</v>
      </c>
      <c r="D203" s="56">
        <v>41038</v>
      </c>
      <c r="E203" s="56">
        <v>41046</v>
      </c>
      <c r="G203" s="1" t="s">
        <v>45</v>
      </c>
      <c r="H203" s="1" t="s">
        <v>824</v>
      </c>
      <c r="I203" s="1" t="s">
        <v>25</v>
      </c>
      <c r="T203" s="1">
        <v>200000</v>
      </c>
      <c r="U203" s="1">
        <v>200000</v>
      </c>
      <c r="Y203" s="1">
        <v>0</v>
      </c>
      <c r="Z203" s="1">
        <v>3770000</v>
      </c>
      <c r="AA203" s="1">
        <v>1</v>
      </c>
      <c r="AB203" s="1">
        <v>1</v>
      </c>
      <c r="AC203" s="33">
        <v>42572</v>
      </c>
    </row>
    <row r="204" spans="1:29" x14ac:dyDescent="0.35">
      <c r="A204" s="1" t="s">
        <v>905</v>
      </c>
      <c r="B204" s="1" t="s">
        <v>764</v>
      </c>
      <c r="D204" s="56">
        <v>41262</v>
      </c>
      <c r="E204" s="56">
        <v>41291</v>
      </c>
      <c r="G204" s="1" t="s">
        <v>35</v>
      </c>
      <c r="H204" s="1" t="s">
        <v>825</v>
      </c>
      <c r="I204" s="1" t="s">
        <v>37</v>
      </c>
      <c r="T204" s="1">
        <v>2000000</v>
      </c>
      <c r="U204" s="1">
        <v>2000000</v>
      </c>
      <c r="Y204" s="1">
        <v>0</v>
      </c>
      <c r="Z204" s="1">
        <v>5000000</v>
      </c>
      <c r="AA204" s="1">
        <v>1</v>
      </c>
      <c r="AB204" s="1">
        <v>1</v>
      </c>
      <c r="AC204" s="33">
        <v>42572</v>
      </c>
    </row>
    <row r="205" spans="1:29" x14ac:dyDescent="0.35">
      <c r="A205" s="1" t="s">
        <v>906</v>
      </c>
      <c r="B205" s="1" t="s">
        <v>755</v>
      </c>
      <c r="D205" s="56">
        <v>42536</v>
      </c>
      <c r="E205" s="56">
        <v>42565</v>
      </c>
      <c r="G205" s="1" t="s">
        <v>74</v>
      </c>
      <c r="H205" s="1" t="s">
        <v>827</v>
      </c>
      <c r="I205" s="1" t="s">
        <v>74</v>
      </c>
      <c r="T205" s="1">
        <v>0</v>
      </c>
      <c r="U205" s="1">
        <v>0</v>
      </c>
      <c r="Y205" s="1">
        <v>6200000</v>
      </c>
      <c r="Z205" s="1">
        <v>11700000</v>
      </c>
      <c r="AA205" s="1">
        <v>0.47008547008547003</v>
      </c>
      <c r="AB205" s="1">
        <v>0.65363128491620104</v>
      </c>
      <c r="AC205" s="33">
        <v>42571</v>
      </c>
    </row>
    <row r="206" spans="1:29" x14ac:dyDescent="0.35">
      <c r="A206" s="1" t="s">
        <v>907</v>
      </c>
      <c r="B206" s="1" t="s">
        <v>738</v>
      </c>
      <c r="D206" s="56">
        <v>42223</v>
      </c>
      <c r="E206" s="56">
        <v>42226</v>
      </c>
      <c r="G206" s="1" t="s">
        <v>194</v>
      </c>
      <c r="H206" s="1" t="s">
        <v>828</v>
      </c>
      <c r="I206" s="1" t="s">
        <v>126</v>
      </c>
      <c r="T206" s="1">
        <v>1112453.33</v>
      </c>
      <c r="U206" s="1">
        <v>1176300</v>
      </c>
      <c r="Y206" s="1">
        <v>0</v>
      </c>
      <c r="Z206" s="1">
        <v>24500000</v>
      </c>
      <c r="AA206" s="1">
        <v>1</v>
      </c>
      <c r="AB206" s="1">
        <v>1</v>
      </c>
      <c r="AC206" s="33">
        <v>42570</v>
      </c>
    </row>
    <row r="207" spans="1:29" x14ac:dyDescent="0.35">
      <c r="A207" s="1" t="s">
        <v>908</v>
      </c>
      <c r="B207" s="1" t="s">
        <v>730</v>
      </c>
      <c r="D207" s="56">
        <v>42499</v>
      </c>
      <c r="E207" s="56">
        <v>42061</v>
      </c>
      <c r="G207" s="1" t="s">
        <v>194</v>
      </c>
      <c r="H207" s="1" t="s">
        <v>829</v>
      </c>
      <c r="I207" s="1" t="s">
        <v>126</v>
      </c>
      <c r="T207" s="1">
        <v>156452</v>
      </c>
      <c r="U207" s="1">
        <v>155900</v>
      </c>
      <c r="Y207" s="1">
        <v>81645</v>
      </c>
      <c r="Z207" s="1">
        <v>2588355</v>
      </c>
      <c r="AA207" s="1">
        <v>0.96845679978210097</v>
      </c>
      <c r="AB207" s="1">
        <v>0.96942134831460702</v>
      </c>
      <c r="AC207" s="33">
        <v>42570</v>
      </c>
    </row>
    <row r="208" spans="1:29" x14ac:dyDescent="0.35">
      <c r="A208" s="1" t="s">
        <v>909</v>
      </c>
      <c r="B208" s="1" t="s">
        <v>741</v>
      </c>
      <c r="D208" s="56">
        <v>42030</v>
      </c>
      <c r="E208" s="56">
        <v>42044</v>
      </c>
      <c r="G208" s="1" t="s">
        <v>126</v>
      </c>
      <c r="H208" s="1" t="s">
        <v>830</v>
      </c>
      <c r="I208" s="1" t="s">
        <v>126</v>
      </c>
      <c r="T208" s="1">
        <v>4000000</v>
      </c>
      <c r="U208" s="1">
        <v>4000000</v>
      </c>
      <c r="Y208" s="1">
        <v>0</v>
      </c>
      <c r="Z208" s="1">
        <v>11610000</v>
      </c>
      <c r="AA208" s="1">
        <v>1</v>
      </c>
      <c r="AB208" s="1">
        <v>1</v>
      </c>
      <c r="AC208" s="33">
        <v>42570</v>
      </c>
    </row>
    <row r="209" spans="1:39" x14ac:dyDescent="0.35">
      <c r="A209" s="1" t="s">
        <v>909</v>
      </c>
      <c r="B209" s="1" t="s">
        <v>741</v>
      </c>
      <c r="D209" s="56">
        <v>42444</v>
      </c>
      <c r="E209" s="56">
        <v>42450</v>
      </c>
      <c r="G209" s="1" t="s">
        <v>74</v>
      </c>
      <c r="H209" s="1" t="s">
        <v>831</v>
      </c>
      <c r="I209" s="1" t="s">
        <v>74</v>
      </c>
      <c r="T209" s="1">
        <v>50000</v>
      </c>
      <c r="U209" s="1">
        <v>800000</v>
      </c>
      <c r="Y209" s="1">
        <v>0</v>
      </c>
      <c r="Z209" s="1">
        <v>2010000</v>
      </c>
      <c r="AA209" s="1">
        <v>1</v>
      </c>
      <c r="AB209" s="1">
        <v>1</v>
      </c>
      <c r="AC209" s="33">
        <v>42571</v>
      </c>
    </row>
    <row r="210" spans="1:39" x14ac:dyDescent="0.35">
      <c r="A210" s="1" t="s">
        <v>910</v>
      </c>
      <c r="B210" s="1" t="s">
        <v>742</v>
      </c>
      <c r="D210" s="56">
        <v>42205</v>
      </c>
      <c r="E210" s="56">
        <v>42213</v>
      </c>
      <c r="G210" s="1" t="s">
        <v>194</v>
      </c>
      <c r="H210" s="1" t="s">
        <v>832</v>
      </c>
      <c r="I210" s="1" t="s">
        <v>98</v>
      </c>
      <c r="T210" s="1">
        <v>5000000</v>
      </c>
      <c r="U210" s="1">
        <v>5000000</v>
      </c>
      <c r="Y210" s="1">
        <v>0</v>
      </c>
      <c r="Z210" s="1">
        <v>40000000</v>
      </c>
      <c r="AA210" s="1">
        <v>1</v>
      </c>
      <c r="AB210" s="1">
        <v>1</v>
      </c>
      <c r="AC210" s="33">
        <v>42570</v>
      </c>
    </row>
    <row r="211" spans="1:39" x14ac:dyDescent="0.35">
      <c r="A211" s="1" t="s">
        <v>911</v>
      </c>
      <c r="B211" s="1" t="s">
        <v>785</v>
      </c>
      <c r="D211" s="56">
        <v>40450</v>
      </c>
      <c r="E211" s="56">
        <v>40492</v>
      </c>
      <c r="G211" s="1" t="s">
        <v>786</v>
      </c>
      <c r="H211" s="1" t="s">
        <v>833</v>
      </c>
      <c r="I211" s="1" t="s">
        <v>375</v>
      </c>
      <c r="T211" s="1">
        <v>0</v>
      </c>
      <c r="U211" s="1">
        <v>0</v>
      </c>
      <c r="Y211" s="1">
        <v>2690315</v>
      </c>
      <c r="Z211" s="1">
        <v>24799009</v>
      </c>
      <c r="AA211" s="1">
        <v>0.89151522143485695</v>
      </c>
      <c r="AB211" s="1">
        <v>9.0345987372536199E-2</v>
      </c>
      <c r="AC211" s="33">
        <v>42573</v>
      </c>
    </row>
    <row r="212" spans="1:39" x14ac:dyDescent="0.35">
      <c r="A212" s="1" t="s">
        <v>912</v>
      </c>
      <c r="B212" s="1" t="s">
        <v>747</v>
      </c>
      <c r="D212" s="56">
        <v>42535</v>
      </c>
      <c r="E212" s="56">
        <v>42569</v>
      </c>
      <c r="G212" s="1" t="s">
        <v>72</v>
      </c>
      <c r="H212" s="1" t="s">
        <v>834</v>
      </c>
      <c r="I212" s="1" t="s">
        <v>74</v>
      </c>
      <c r="T212" s="1">
        <v>0</v>
      </c>
      <c r="U212" s="1">
        <v>1619535</v>
      </c>
      <c r="Y212" s="1">
        <v>0</v>
      </c>
      <c r="Z212" s="1">
        <v>25000000</v>
      </c>
      <c r="AA212" s="1">
        <v>1</v>
      </c>
      <c r="AB212" s="1">
        <v>1</v>
      </c>
      <c r="AC212" s="33">
        <v>42572</v>
      </c>
    </row>
    <row r="213" spans="1:39" x14ac:dyDescent="0.35">
      <c r="A213" s="1" t="s">
        <v>835</v>
      </c>
      <c r="B213" s="1" t="s">
        <v>726</v>
      </c>
      <c r="D213" s="56">
        <v>40939</v>
      </c>
      <c r="E213" s="56">
        <v>40941</v>
      </c>
      <c r="G213" s="1" t="s">
        <v>25</v>
      </c>
      <c r="H213" s="1" t="s">
        <v>836</v>
      </c>
      <c r="I213" s="1" t="s">
        <v>25</v>
      </c>
      <c r="T213" s="1">
        <v>1785646</v>
      </c>
      <c r="U213" s="1">
        <v>12035221</v>
      </c>
      <c r="Y213" s="1">
        <v>16917294</v>
      </c>
      <c r="Z213" s="1">
        <v>10712706</v>
      </c>
      <c r="AA213" s="1">
        <v>-0.57918027433964903</v>
      </c>
      <c r="AB213" s="1">
        <v>0.38772008686210602</v>
      </c>
      <c r="AC213" s="33">
        <v>42572</v>
      </c>
    </row>
    <row r="214" spans="1:39" x14ac:dyDescent="0.35">
      <c r="A214" s="1" t="s">
        <v>835</v>
      </c>
      <c r="B214" s="1" t="s">
        <v>726</v>
      </c>
      <c r="D214" s="56">
        <v>41311</v>
      </c>
      <c r="E214" s="56">
        <v>41417</v>
      </c>
      <c r="G214" s="1" t="s">
        <v>37</v>
      </c>
      <c r="H214" s="1" t="s">
        <v>839</v>
      </c>
      <c r="I214" s="1" t="s">
        <v>37</v>
      </c>
      <c r="T214" s="1">
        <v>1365788</v>
      </c>
      <c r="U214" s="1">
        <v>1363213</v>
      </c>
      <c r="Y214" s="1">
        <v>14200000</v>
      </c>
      <c r="Z214" s="1">
        <v>4800000</v>
      </c>
      <c r="AA214" s="1">
        <v>-1.9583333333333299</v>
      </c>
      <c r="AB214" s="1">
        <v>0.25263157894736799</v>
      </c>
      <c r="AC214" s="33">
        <v>42572</v>
      </c>
    </row>
    <row r="215" spans="1:39" x14ac:dyDescent="0.35">
      <c r="A215" s="1" t="s">
        <v>835</v>
      </c>
      <c r="B215" s="1" t="s">
        <v>726</v>
      </c>
      <c r="D215" s="56">
        <v>41697</v>
      </c>
      <c r="E215" s="56">
        <v>41683</v>
      </c>
      <c r="G215" s="1" t="s">
        <v>31</v>
      </c>
      <c r="H215" s="1" t="s">
        <v>838</v>
      </c>
      <c r="I215" s="1" t="s">
        <v>31</v>
      </c>
      <c r="T215" s="1">
        <v>3368638</v>
      </c>
      <c r="U215" s="1">
        <v>3368319</v>
      </c>
      <c r="Y215" s="1">
        <v>13994497</v>
      </c>
      <c r="Z215" s="1">
        <v>3615503</v>
      </c>
      <c r="AA215" s="1">
        <v>-2.8706915745886499</v>
      </c>
      <c r="AB215" s="1">
        <v>0.205309653605906</v>
      </c>
      <c r="AC215" s="33">
        <v>42572</v>
      </c>
    </row>
    <row r="216" spans="1:39" x14ac:dyDescent="0.35">
      <c r="A216" s="1" t="s">
        <v>835</v>
      </c>
      <c r="B216" s="1" t="s">
        <v>726</v>
      </c>
      <c r="D216" s="56">
        <v>42167</v>
      </c>
      <c r="E216" s="56">
        <v>42180</v>
      </c>
      <c r="G216" s="1" t="s">
        <v>126</v>
      </c>
      <c r="H216" s="1" t="s">
        <v>837</v>
      </c>
      <c r="I216" s="1" t="s">
        <v>126</v>
      </c>
      <c r="T216" s="1">
        <v>10492638</v>
      </c>
      <c r="U216" s="1">
        <v>10859513</v>
      </c>
      <c r="Y216" s="1">
        <v>113644954</v>
      </c>
      <c r="Z216" s="1">
        <v>119610046</v>
      </c>
      <c r="AA216" s="1">
        <v>4.9871162159740301E-2</v>
      </c>
      <c r="AB216" s="1">
        <v>0.51278663265524904</v>
      </c>
      <c r="AC216" s="33">
        <v>42570</v>
      </c>
    </row>
    <row r="217" spans="1:39" x14ac:dyDescent="0.35">
      <c r="A217" s="1" t="s">
        <v>913</v>
      </c>
      <c r="B217" s="1" t="s">
        <v>754</v>
      </c>
      <c r="D217" s="56">
        <v>42536</v>
      </c>
      <c r="E217" s="56">
        <v>42593</v>
      </c>
      <c r="G217" s="1" t="s">
        <v>72</v>
      </c>
      <c r="H217" s="1" t="s">
        <v>840</v>
      </c>
      <c r="I217" s="1" t="s">
        <v>74</v>
      </c>
      <c r="T217" s="1">
        <v>0</v>
      </c>
      <c r="U217" s="1">
        <v>1861074.41</v>
      </c>
      <c r="Y217" s="1">
        <v>0</v>
      </c>
      <c r="Z217" s="1">
        <v>49200000</v>
      </c>
      <c r="AA217" s="1">
        <v>1</v>
      </c>
      <c r="AB217" s="1">
        <v>1</v>
      </c>
      <c r="AC217" s="33">
        <v>42571</v>
      </c>
    </row>
    <row r="218" spans="1:39" x14ac:dyDescent="0.35">
      <c r="A218" s="1" t="s">
        <v>914</v>
      </c>
      <c r="B218" s="1" t="s">
        <v>733</v>
      </c>
      <c r="D218" s="56">
        <v>42186</v>
      </c>
      <c r="E218" s="56">
        <v>42186</v>
      </c>
      <c r="G218" s="1" t="s">
        <v>743</v>
      </c>
      <c r="H218" s="1" t="s">
        <v>842</v>
      </c>
      <c r="I218" s="1" t="s">
        <v>98</v>
      </c>
      <c r="T218" s="1">
        <v>1500000</v>
      </c>
      <c r="U218" s="1">
        <v>1500000</v>
      </c>
      <c r="Y218" s="1">
        <v>0</v>
      </c>
      <c r="Z218" s="1">
        <v>5000000</v>
      </c>
      <c r="AA218" s="1">
        <v>1</v>
      </c>
      <c r="AB218" s="1">
        <v>1</v>
      </c>
      <c r="AC218" s="33">
        <v>42570</v>
      </c>
    </row>
    <row r="219" spans="1:39" x14ac:dyDescent="0.35">
      <c r="A219" s="1" t="s">
        <v>914</v>
      </c>
      <c r="B219" s="1" t="s">
        <v>733</v>
      </c>
      <c r="D219" s="56">
        <v>42353</v>
      </c>
      <c r="E219" s="56">
        <v>42353</v>
      </c>
      <c r="G219" s="1" t="s">
        <v>102</v>
      </c>
      <c r="H219" s="1" t="s">
        <v>843</v>
      </c>
      <c r="I219" s="1" t="s">
        <v>86</v>
      </c>
      <c r="T219" s="1">
        <v>1000000</v>
      </c>
      <c r="U219" s="1">
        <v>1500000</v>
      </c>
      <c r="Y219" s="1">
        <v>0</v>
      </c>
      <c r="Z219" s="1">
        <v>4500000</v>
      </c>
      <c r="AA219" s="1">
        <v>1</v>
      </c>
      <c r="AB219" s="1">
        <v>1</v>
      </c>
      <c r="AC219" s="33">
        <v>42571</v>
      </c>
    </row>
    <row r="220" spans="1:39" x14ac:dyDescent="0.35">
      <c r="A220" s="1" t="s">
        <v>914</v>
      </c>
      <c r="B220" s="1" t="s">
        <v>733</v>
      </c>
      <c r="D220" s="56">
        <v>41458</v>
      </c>
      <c r="E220" s="56">
        <v>41470</v>
      </c>
      <c r="G220" s="1" t="s">
        <v>35</v>
      </c>
      <c r="H220" s="1" t="s">
        <v>841</v>
      </c>
      <c r="I220" s="1" t="s">
        <v>37</v>
      </c>
      <c r="T220" s="1">
        <v>2500000</v>
      </c>
      <c r="U220" s="1">
        <v>2500000</v>
      </c>
      <c r="Y220" s="1">
        <v>0</v>
      </c>
      <c r="Z220" s="1">
        <v>30500000</v>
      </c>
      <c r="AA220" s="1">
        <v>1</v>
      </c>
      <c r="AB220" s="1">
        <v>1</v>
      </c>
      <c r="AC220" s="33">
        <v>42572</v>
      </c>
      <c r="AM220" s="1" t="s">
        <v>891</v>
      </c>
    </row>
    <row r="221" spans="1:39" x14ac:dyDescent="0.35">
      <c r="A221" s="1" t="s">
        <v>800</v>
      </c>
      <c r="B221" s="1" t="s">
        <v>725</v>
      </c>
      <c r="D221" s="56">
        <v>42012</v>
      </c>
      <c r="E221" s="56">
        <v>42011</v>
      </c>
      <c r="G221" s="1" t="s">
        <v>225</v>
      </c>
      <c r="H221" s="1" t="s">
        <v>844</v>
      </c>
      <c r="I221" s="1" t="s">
        <v>126</v>
      </c>
      <c r="T221" s="1">
        <v>9712114</v>
      </c>
      <c r="U221" s="1">
        <v>9692394</v>
      </c>
      <c r="Y221" s="1">
        <v>0</v>
      </c>
      <c r="Z221" s="1">
        <v>169500000</v>
      </c>
      <c r="AA221" s="1">
        <v>1</v>
      </c>
      <c r="AB221" s="1">
        <v>1</v>
      </c>
      <c r="AC221" s="33">
        <v>42570</v>
      </c>
    </row>
    <row r="222" spans="1:39" x14ac:dyDescent="0.35">
      <c r="A222" s="1" t="s">
        <v>915</v>
      </c>
      <c r="B222" s="1" t="s">
        <v>736</v>
      </c>
      <c r="D222" s="56">
        <v>41975</v>
      </c>
      <c r="E222" s="56">
        <v>41975</v>
      </c>
      <c r="G222" s="1" t="s">
        <v>29</v>
      </c>
      <c r="H222" s="1" t="s">
        <v>847</v>
      </c>
      <c r="I222" s="1" t="s">
        <v>31</v>
      </c>
      <c r="T222" s="1">
        <v>2500000</v>
      </c>
      <c r="U222" s="1">
        <v>2500000</v>
      </c>
      <c r="Y222" s="1">
        <v>0</v>
      </c>
      <c r="Z222" s="1">
        <v>50000000</v>
      </c>
      <c r="AA222" s="1">
        <v>1</v>
      </c>
      <c r="AB222" s="1">
        <v>1</v>
      </c>
      <c r="AC222" s="33">
        <v>42572</v>
      </c>
    </row>
    <row r="223" spans="1:39" x14ac:dyDescent="0.35">
      <c r="A223" s="1" t="s">
        <v>915</v>
      </c>
      <c r="B223" s="1" t="s">
        <v>736</v>
      </c>
      <c r="D223" s="56">
        <v>42213</v>
      </c>
      <c r="E223" s="56">
        <v>42214</v>
      </c>
      <c r="G223" s="1" t="s">
        <v>194</v>
      </c>
      <c r="H223" s="1" t="s">
        <v>916</v>
      </c>
      <c r="I223" s="1" t="s">
        <v>126</v>
      </c>
      <c r="T223" s="1">
        <v>2755000</v>
      </c>
      <c r="U223" s="1">
        <v>2755000</v>
      </c>
      <c r="Y223" s="1">
        <v>0</v>
      </c>
      <c r="Z223" s="1">
        <v>48530000</v>
      </c>
      <c r="AA223" s="1">
        <v>1</v>
      </c>
      <c r="AB223" s="1">
        <v>1</v>
      </c>
      <c r="AC223" s="33">
        <v>42570</v>
      </c>
    </row>
    <row r="224" spans="1:39" x14ac:dyDescent="0.35">
      <c r="A224" s="1" t="s">
        <v>915</v>
      </c>
      <c r="B224" s="1" t="s">
        <v>736</v>
      </c>
      <c r="D224" s="56">
        <v>40961</v>
      </c>
      <c r="E224" s="56">
        <v>40967</v>
      </c>
      <c r="G224" s="1" t="s">
        <v>773</v>
      </c>
      <c r="H224" s="1" t="s">
        <v>845</v>
      </c>
      <c r="I224" s="1" t="s">
        <v>846</v>
      </c>
      <c r="T224" s="1">
        <v>3000000</v>
      </c>
      <c r="U224" s="1">
        <v>3000000</v>
      </c>
      <c r="Y224" s="1">
        <v>0</v>
      </c>
      <c r="Z224" s="1">
        <v>50000000</v>
      </c>
      <c r="AA224" s="1">
        <v>1</v>
      </c>
      <c r="AB224" s="1">
        <v>1</v>
      </c>
      <c r="AC224" s="33">
        <v>42572</v>
      </c>
    </row>
    <row r="225" spans="1:29" x14ac:dyDescent="0.35">
      <c r="A225" s="1" t="s">
        <v>917</v>
      </c>
      <c r="B225" s="1" t="s">
        <v>737</v>
      </c>
      <c r="D225" s="56">
        <v>40483</v>
      </c>
      <c r="E225" s="56">
        <v>40484</v>
      </c>
      <c r="G225" s="1" t="s">
        <v>67</v>
      </c>
      <c r="H225" s="1" t="s">
        <v>848</v>
      </c>
      <c r="I225" s="1" t="s">
        <v>239</v>
      </c>
      <c r="T225" s="1">
        <v>449820</v>
      </c>
      <c r="U225" s="1">
        <v>449818</v>
      </c>
      <c r="Y225" s="1">
        <v>0</v>
      </c>
      <c r="Z225" s="1">
        <v>5000000</v>
      </c>
      <c r="AA225" s="1">
        <v>1</v>
      </c>
      <c r="AB225" s="1">
        <v>1</v>
      </c>
      <c r="AC225" s="33">
        <v>42573</v>
      </c>
    </row>
    <row r="226" spans="1:29" x14ac:dyDescent="0.35">
      <c r="A226" s="1" t="s">
        <v>917</v>
      </c>
      <c r="B226" s="1" t="s">
        <v>737</v>
      </c>
      <c r="D226" s="56">
        <v>42222</v>
      </c>
      <c r="E226" s="56">
        <v>42223</v>
      </c>
      <c r="G226" s="1" t="s">
        <v>194</v>
      </c>
      <c r="H226" s="1" t="s">
        <v>849</v>
      </c>
      <c r="I226" s="1" t="s">
        <v>126</v>
      </c>
      <c r="T226" s="1">
        <v>1613591</v>
      </c>
      <c r="U226" s="1">
        <v>1739200</v>
      </c>
      <c r="Y226" s="1">
        <v>0</v>
      </c>
      <c r="Z226" s="1">
        <v>35000000</v>
      </c>
      <c r="AA226" s="1">
        <v>1</v>
      </c>
      <c r="AB226" s="1">
        <v>1</v>
      </c>
      <c r="AC226" s="33">
        <v>42570</v>
      </c>
    </row>
    <row r="227" spans="1:29" x14ac:dyDescent="0.35">
      <c r="A227" s="1" t="s">
        <v>918</v>
      </c>
      <c r="B227" s="1" t="s">
        <v>779</v>
      </c>
      <c r="D227" s="56">
        <v>40702</v>
      </c>
      <c r="E227" s="56">
        <v>40710</v>
      </c>
      <c r="G227" s="1" t="s">
        <v>50</v>
      </c>
      <c r="H227" s="1" t="s">
        <v>850</v>
      </c>
      <c r="I227" s="1" t="s">
        <v>851</v>
      </c>
      <c r="T227" s="1">
        <v>0</v>
      </c>
      <c r="U227" s="1">
        <v>0</v>
      </c>
      <c r="Y227" s="1">
        <v>0</v>
      </c>
      <c r="Z227" s="1">
        <v>55000000</v>
      </c>
      <c r="AA227" s="1">
        <v>1</v>
      </c>
      <c r="AB227" s="1">
        <v>1</v>
      </c>
      <c r="AC227" s="33">
        <v>42563</v>
      </c>
    </row>
    <row r="228" spans="1:29" s="57" customFormat="1" x14ac:dyDescent="0.35">
      <c r="A228" s="57" t="s">
        <v>919</v>
      </c>
      <c r="B228" s="57" t="s">
        <v>761</v>
      </c>
      <c r="C228" s="59"/>
      <c r="D228" s="59">
        <v>41668</v>
      </c>
      <c r="E228" s="58">
        <v>41680</v>
      </c>
      <c r="G228" s="57" t="s">
        <v>29</v>
      </c>
      <c r="H228" s="57" t="s">
        <v>852</v>
      </c>
      <c r="I228" s="57" t="s">
        <v>31</v>
      </c>
      <c r="T228" s="57">
        <v>3541054</v>
      </c>
      <c r="U228" s="57">
        <v>3543098</v>
      </c>
      <c r="Y228" s="57">
        <v>16648000</v>
      </c>
      <c r="Z228" s="57">
        <v>71032000</v>
      </c>
      <c r="AA228" s="57">
        <v>0.76562675977024397</v>
      </c>
      <c r="AB228" s="57">
        <v>0.81012773722627696</v>
      </c>
      <c r="AC228" s="60">
        <v>42572</v>
      </c>
    </row>
    <row r="229" spans="1:29" x14ac:dyDescent="0.35">
      <c r="A229" s="1" t="s">
        <v>920</v>
      </c>
      <c r="B229" s="1" t="s">
        <v>211</v>
      </c>
      <c r="D229" s="56">
        <v>42185</v>
      </c>
      <c r="E229" s="56">
        <v>42198</v>
      </c>
      <c r="G229" s="1" t="s">
        <v>96</v>
      </c>
      <c r="H229" s="1" t="s">
        <v>853</v>
      </c>
      <c r="I229" s="1" t="s">
        <v>126</v>
      </c>
      <c r="T229" s="1">
        <v>1736450</v>
      </c>
      <c r="U229" s="1">
        <v>1735225</v>
      </c>
      <c r="Y229" s="1">
        <v>10000000</v>
      </c>
      <c r="Z229" s="1">
        <v>5000000</v>
      </c>
      <c r="AA229" s="1">
        <v>-1</v>
      </c>
      <c r="AB229" s="1">
        <v>0.33333333333333298</v>
      </c>
      <c r="AC229" s="33">
        <v>42570</v>
      </c>
    </row>
    <row r="230" spans="1:29" x14ac:dyDescent="0.35">
      <c r="A230" s="1" t="s">
        <v>921</v>
      </c>
      <c r="B230" s="1" t="s">
        <v>744</v>
      </c>
      <c r="D230" s="56">
        <v>42524</v>
      </c>
      <c r="E230" s="56">
        <v>42597</v>
      </c>
      <c r="G230" s="1" t="s">
        <v>745</v>
      </c>
      <c r="H230" s="1" t="s">
        <v>854</v>
      </c>
      <c r="I230" s="1" t="s">
        <v>74</v>
      </c>
      <c r="T230" s="1">
        <v>0</v>
      </c>
      <c r="U230" s="1">
        <v>99250</v>
      </c>
      <c r="Y230" s="1">
        <v>0</v>
      </c>
      <c r="Z230" s="1">
        <v>1500000</v>
      </c>
      <c r="AA230" s="1">
        <v>1</v>
      </c>
      <c r="AB230" s="1">
        <v>1</v>
      </c>
      <c r="AC230" s="33">
        <v>42571</v>
      </c>
    </row>
    <row r="231" spans="1:29" x14ac:dyDescent="0.35">
      <c r="A231" s="1" t="s">
        <v>922</v>
      </c>
      <c r="B231" s="1" t="s">
        <v>746</v>
      </c>
      <c r="D231" s="56">
        <v>42402</v>
      </c>
      <c r="E231" s="56">
        <v>42418</v>
      </c>
      <c r="G231" s="1" t="s">
        <v>72</v>
      </c>
      <c r="H231" s="1" t="s">
        <v>855</v>
      </c>
      <c r="I231" s="1" t="s">
        <v>74</v>
      </c>
      <c r="T231" s="1">
        <v>877698.26</v>
      </c>
      <c r="U231" s="1">
        <v>2038525</v>
      </c>
      <c r="Y231" s="1">
        <v>5084720</v>
      </c>
      <c r="Z231" s="1">
        <v>42105280</v>
      </c>
      <c r="AA231" s="1">
        <v>0.87923794830482105</v>
      </c>
      <c r="AB231" s="1">
        <v>0.89395498938428897</v>
      </c>
      <c r="AC231" s="33">
        <v>42571</v>
      </c>
    </row>
    <row r="232" spans="1:29" x14ac:dyDescent="0.35">
      <c r="A232" s="1" t="s">
        <v>923</v>
      </c>
      <c r="B232" s="1" t="s">
        <v>772</v>
      </c>
      <c r="D232" s="56">
        <v>41117</v>
      </c>
      <c r="E232" s="56">
        <v>41122</v>
      </c>
      <c r="G232" s="1" t="s">
        <v>45</v>
      </c>
      <c r="H232" s="1" t="s">
        <v>856</v>
      </c>
      <c r="I232" s="1" t="s">
        <v>25</v>
      </c>
      <c r="T232" s="1">
        <v>873175</v>
      </c>
      <c r="U232" s="1">
        <v>871775</v>
      </c>
      <c r="Y232" s="1">
        <v>11147000</v>
      </c>
      <c r="Z232" s="1">
        <v>3553000</v>
      </c>
      <c r="AA232" s="1">
        <v>-2.1373487193920599</v>
      </c>
      <c r="AB232" s="1">
        <v>0.241700680272109</v>
      </c>
      <c r="AC232" s="33">
        <v>42572</v>
      </c>
    </row>
    <row r="233" spans="1:29" x14ac:dyDescent="0.35">
      <c r="A233" s="1" t="s">
        <v>924</v>
      </c>
      <c r="B233" s="1" t="s">
        <v>752</v>
      </c>
      <c r="D233" s="56">
        <v>42535</v>
      </c>
      <c r="E233" s="56">
        <v>42556</v>
      </c>
      <c r="G233" s="1" t="s">
        <v>72</v>
      </c>
      <c r="H233" s="1" t="s">
        <v>857</v>
      </c>
      <c r="I233" s="1" t="s">
        <v>74</v>
      </c>
      <c r="T233" s="1">
        <v>0</v>
      </c>
      <c r="U233" s="1">
        <v>199700</v>
      </c>
      <c r="Y233" s="1">
        <v>0</v>
      </c>
      <c r="Z233" s="1">
        <v>3000000</v>
      </c>
      <c r="AA233" s="1">
        <v>1</v>
      </c>
      <c r="AB233" s="1">
        <v>1</v>
      </c>
      <c r="AC233" s="33">
        <v>42571</v>
      </c>
    </row>
    <row r="234" spans="1:29" x14ac:dyDescent="0.35">
      <c r="A234" s="1" t="s">
        <v>925</v>
      </c>
      <c r="B234" s="1" t="s">
        <v>778</v>
      </c>
      <c r="D234" s="56">
        <v>40562</v>
      </c>
      <c r="E234" s="56">
        <v>40563</v>
      </c>
      <c r="G234" s="1" t="s">
        <v>332</v>
      </c>
      <c r="H234" s="1" t="s">
        <v>858</v>
      </c>
      <c r="I234" s="1" t="s">
        <v>334</v>
      </c>
      <c r="T234" s="1">
        <v>6288000</v>
      </c>
      <c r="U234" s="1">
        <v>6368000</v>
      </c>
      <c r="Y234" s="1">
        <v>11236000</v>
      </c>
      <c r="Z234" s="1">
        <v>74344000</v>
      </c>
      <c r="AA234" s="1">
        <v>0.84886473689874098</v>
      </c>
      <c r="AB234" s="1">
        <v>0.86870764197242301</v>
      </c>
      <c r="AC234" s="33">
        <v>42572</v>
      </c>
    </row>
    <row r="235" spans="1:29" x14ac:dyDescent="0.35">
      <c r="A235" s="1" t="s">
        <v>926</v>
      </c>
      <c r="B235" s="1" t="s">
        <v>756</v>
      </c>
      <c r="D235" s="56">
        <v>42536</v>
      </c>
      <c r="G235" s="1" t="s">
        <v>757</v>
      </c>
      <c r="H235" s="1">
        <v>3</v>
      </c>
      <c r="I235" s="1" t="s">
        <v>865</v>
      </c>
      <c r="T235" s="1">
        <v>0</v>
      </c>
      <c r="U235" s="1">
        <v>268000</v>
      </c>
      <c r="Y235" s="1">
        <v>2750000</v>
      </c>
      <c r="Z235" s="1">
        <v>14022000</v>
      </c>
      <c r="AA235" s="1">
        <v>0.80387961774354599</v>
      </c>
      <c r="AB235" s="1">
        <v>0.83603625089434797</v>
      </c>
      <c r="AC235" s="33">
        <v>42571</v>
      </c>
    </row>
    <row r="236" spans="1:29" x14ac:dyDescent="0.35">
      <c r="A236" s="1" t="s">
        <v>927</v>
      </c>
      <c r="B236" s="1" t="s">
        <v>783</v>
      </c>
      <c r="D236" s="56">
        <v>40564</v>
      </c>
      <c r="E236" s="56">
        <v>40567</v>
      </c>
      <c r="G236" s="1" t="s">
        <v>784</v>
      </c>
      <c r="H236" s="1" t="s">
        <v>859</v>
      </c>
      <c r="I236" s="1" t="s">
        <v>860</v>
      </c>
      <c r="T236" s="1">
        <v>350000</v>
      </c>
      <c r="U236" s="1">
        <v>348750</v>
      </c>
      <c r="Y236" s="1">
        <v>0</v>
      </c>
      <c r="Z236" s="1">
        <v>50400000</v>
      </c>
      <c r="AA236" s="1">
        <v>1</v>
      </c>
      <c r="AB236" s="1">
        <v>1</v>
      </c>
      <c r="AC236" s="33">
        <v>42573</v>
      </c>
    </row>
    <row r="237" spans="1:29" x14ac:dyDescent="0.35">
      <c r="A237" s="1" t="s">
        <v>928</v>
      </c>
      <c r="B237" s="1" t="s">
        <v>765</v>
      </c>
      <c r="D237" s="56">
        <v>41465</v>
      </c>
      <c r="E237" s="56">
        <v>41491</v>
      </c>
      <c r="G237" s="1" t="s">
        <v>35</v>
      </c>
      <c r="H237" s="1" t="s">
        <v>861</v>
      </c>
      <c r="I237" s="1" t="s">
        <v>37</v>
      </c>
      <c r="T237" s="1">
        <v>1500000</v>
      </c>
      <c r="U237" s="1">
        <v>1000000</v>
      </c>
      <c r="Y237" s="1">
        <v>0</v>
      </c>
      <c r="Z237" s="1">
        <v>9500000</v>
      </c>
      <c r="AA237" s="1">
        <v>1</v>
      </c>
      <c r="AB237" s="1">
        <v>1</v>
      </c>
      <c r="AC237" s="33">
        <v>42572</v>
      </c>
    </row>
    <row r="238" spans="1:29" x14ac:dyDescent="0.35">
      <c r="A238" s="1" t="s">
        <v>929</v>
      </c>
      <c r="B238" s="1" t="s">
        <v>740</v>
      </c>
      <c r="D238" s="56">
        <v>42339</v>
      </c>
      <c r="E238" s="56">
        <v>42345</v>
      </c>
      <c r="G238" s="1" t="s">
        <v>194</v>
      </c>
      <c r="H238" s="1" t="s">
        <v>862</v>
      </c>
      <c r="I238" s="1" t="s">
        <v>126</v>
      </c>
      <c r="T238" s="1">
        <v>0</v>
      </c>
      <c r="U238" s="1">
        <v>300000</v>
      </c>
      <c r="Y238" s="1">
        <v>0</v>
      </c>
      <c r="Z238" s="1">
        <v>10000000</v>
      </c>
      <c r="AA238" s="1">
        <v>1</v>
      </c>
      <c r="AB238" s="1">
        <v>1</v>
      </c>
      <c r="AC238" s="33">
        <v>42570</v>
      </c>
    </row>
    <row r="239" spans="1:29" x14ac:dyDescent="0.35">
      <c r="A239" s="1" t="s">
        <v>929</v>
      </c>
      <c r="B239" s="1" t="s">
        <v>740</v>
      </c>
      <c r="D239" s="56">
        <v>42376</v>
      </c>
      <c r="E239" s="56">
        <v>42380</v>
      </c>
      <c r="G239" s="1" t="s">
        <v>72</v>
      </c>
      <c r="H239" s="1" t="s">
        <v>863</v>
      </c>
      <c r="I239" s="1" t="s">
        <v>74</v>
      </c>
      <c r="T239" s="1">
        <v>0</v>
      </c>
      <c r="U239" s="1">
        <v>800000</v>
      </c>
      <c r="Y239" s="1">
        <v>0</v>
      </c>
      <c r="Z239" s="1">
        <v>9500000</v>
      </c>
      <c r="AA239" s="1">
        <v>1</v>
      </c>
      <c r="AB239" s="1">
        <v>1</v>
      </c>
      <c r="AC239" s="33">
        <v>42571</v>
      </c>
    </row>
    <row r="240" spans="1:29" x14ac:dyDescent="0.35">
      <c r="A240" s="1" t="s">
        <v>930</v>
      </c>
      <c r="B240" s="1" t="s">
        <v>787</v>
      </c>
      <c r="D240" s="56">
        <v>40525</v>
      </c>
      <c r="E240" s="56">
        <v>40527</v>
      </c>
      <c r="G240" s="1" t="s">
        <v>67</v>
      </c>
      <c r="H240" s="1" t="s">
        <v>864</v>
      </c>
      <c r="I240" s="1" t="s">
        <v>239</v>
      </c>
      <c r="T240" s="1">
        <v>2056037.5</v>
      </c>
      <c r="U240" s="1">
        <v>2058837.5</v>
      </c>
      <c r="Y240" s="1">
        <v>0</v>
      </c>
      <c r="Z240" s="1">
        <v>28000000</v>
      </c>
      <c r="AA240" s="1">
        <v>1</v>
      </c>
      <c r="AB240" s="1">
        <v>1</v>
      </c>
      <c r="AC240" s="33">
        <v>42573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918"/>
  <sheetViews>
    <sheetView tabSelected="1" workbookViewId="0">
      <pane xSplit="2" ySplit="1" topLeftCell="C20" activePane="bottomRight" state="frozen"/>
      <selection activeCell="B18" sqref="B18"/>
      <selection pane="topRight" activeCell="B18" sqref="B18"/>
      <selection pane="bottomLeft" activeCell="B18" sqref="B18"/>
      <selection pane="bottomRight" activeCell="D45" sqref="D45"/>
    </sheetView>
  </sheetViews>
  <sheetFormatPr defaultColWidth="9.140625" defaultRowHeight="15.75" x14ac:dyDescent="0.25"/>
  <cols>
    <col min="1" max="1" width="10.28515625" style="113" bestFit="1" customWidth="1"/>
    <col min="2" max="2" width="40.28515625" style="114" bestFit="1" customWidth="1"/>
    <col min="3" max="3" width="19.7109375" style="114" bestFit="1" customWidth="1"/>
    <col min="4" max="4" width="103.85546875" style="114" bestFit="1" customWidth="1"/>
    <col min="5" max="5" width="14.140625" style="115" customWidth="1"/>
    <col min="6" max="6" width="14.140625" style="114" customWidth="1"/>
    <col min="7" max="7" width="13.140625" style="115" customWidth="1"/>
    <col min="8" max="8" width="18" style="115" customWidth="1"/>
    <col min="9" max="9" width="12.7109375" style="116" customWidth="1"/>
    <col min="10" max="10" width="11.28515625" style="114" bestFit="1" customWidth="1"/>
    <col min="11" max="11" width="12.42578125" style="115" bestFit="1" customWidth="1"/>
    <col min="12" max="12" width="13.28515625" style="115" customWidth="1"/>
    <col min="13" max="13" width="14.5703125" style="115" bestFit="1" customWidth="1"/>
    <col min="14" max="14" width="10.28515625" style="117" bestFit="1" customWidth="1"/>
    <col min="15" max="15" width="13.7109375" style="116" customWidth="1"/>
    <col min="16" max="16" width="11.42578125" style="115" bestFit="1" customWidth="1"/>
    <col min="17" max="17" width="12.42578125" style="115" bestFit="1" customWidth="1"/>
    <col min="18" max="16384" width="9.140625" style="104"/>
  </cols>
  <sheetData>
    <row r="1" spans="1:124" s="138" customFormat="1" ht="90" x14ac:dyDescent="0.25">
      <c r="A1" s="145" t="s">
        <v>1253</v>
      </c>
      <c r="B1" s="146" t="s">
        <v>1217</v>
      </c>
      <c r="C1" s="146" t="s">
        <v>971</v>
      </c>
      <c r="D1" s="146" t="s">
        <v>1252</v>
      </c>
      <c r="E1" s="147" t="s">
        <v>1254</v>
      </c>
      <c r="F1" s="146" t="s">
        <v>1255</v>
      </c>
      <c r="G1" s="147" t="s">
        <v>1256</v>
      </c>
      <c r="H1" s="149" t="s">
        <v>1250</v>
      </c>
      <c r="I1" s="148" t="s">
        <v>1213</v>
      </c>
      <c r="J1" s="146" t="s">
        <v>1083</v>
      </c>
      <c r="K1" s="147" t="s">
        <v>970</v>
      </c>
      <c r="L1" s="147" t="s">
        <v>1258</v>
      </c>
      <c r="M1" s="147" t="s">
        <v>1257</v>
      </c>
      <c r="N1" s="146" t="s">
        <v>1245</v>
      </c>
      <c r="O1" s="148" t="s">
        <v>969</v>
      </c>
      <c r="P1" s="147" t="s">
        <v>1246</v>
      </c>
      <c r="Q1" s="147" t="s">
        <v>1247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</row>
    <row r="2" spans="1:124" s="119" customFormat="1" ht="16.899999999999999" customHeight="1" x14ac:dyDescent="0.25">
      <c r="A2" s="118" t="s">
        <v>341</v>
      </c>
      <c r="B2" s="119" t="s">
        <v>339</v>
      </c>
      <c r="C2" s="120" t="s">
        <v>1063</v>
      </c>
      <c r="D2" s="119" t="s">
        <v>72</v>
      </c>
      <c r="E2" s="121">
        <v>55584.904154357486</v>
      </c>
      <c r="F2" s="121">
        <v>55584.904154357486</v>
      </c>
      <c r="G2" s="121">
        <v>55584.904154357486</v>
      </c>
      <c r="H2" s="121">
        <v>262640</v>
      </c>
      <c r="I2" s="122">
        <v>0.56000000000000005</v>
      </c>
      <c r="J2" s="123" t="b">
        <v>0</v>
      </c>
      <c r="K2" s="121">
        <v>147078.40000000002</v>
      </c>
      <c r="L2" s="121">
        <v>278755.50000000006</v>
      </c>
      <c r="M2" s="121">
        <v>147078.40000000002</v>
      </c>
      <c r="N2" s="124"/>
      <c r="O2" s="122">
        <v>0.84118598813040713</v>
      </c>
      <c r="P2" s="121">
        <v>123720.28923663929</v>
      </c>
      <c r="Q2" s="121">
        <v>123720.28923663929</v>
      </c>
    </row>
    <row r="3" spans="1:124" s="119" customFormat="1" ht="15" x14ac:dyDescent="0.25">
      <c r="A3" s="118" t="s">
        <v>119</v>
      </c>
      <c r="B3" s="119" t="s">
        <v>116</v>
      </c>
      <c r="C3" s="120" t="s">
        <v>1070</v>
      </c>
      <c r="D3" s="119" t="s">
        <v>72</v>
      </c>
      <c r="E3" s="121">
        <v>63908.196966720003</v>
      </c>
      <c r="F3" s="121">
        <v>63908.196966720003</v>
      </c>
      <c r="G3" s="121">
        <v>63908.196966720003</v>
      </c>
      <c r="H3" s="121">
        <v>374350</v>
      </c>
      <c r="I3" s="122">
        <v>1</v>
      </c>
      <c r="J3" s="123" t="b">
        <v>0</v>
      </c>
      <c r="K3" s="121">
        <v>374350</v>
      </c>
      <c r="L3" s="121">
        <v>160321.5</v>
      </c>
      <c r="M3" s="121">
        <v>160321.5</v>
      </c>
      <c r="N3" s="124" t="s">
        <v>1263</v>
      </c>
      <c r="O3" s="122">
        <v>0.81740515152365711</v>
      </c>
      <c r="P3" s="121">
        <v>131047.62</v>
      </c>
      <c r="Q3" s="121">
        <v>254767.90923663927</v>
      </c>
    </row>
    <row r="4" spans="1:124" s="119" customFormat="1" ht="15" x14ac:dyDescent="0.25">
      <c r="A4" s="118" t="s">
        <v>912</v>
      </c>
      <c r="B4" s="119" t="s">
        <v>950</v>
      </c>
      <c r="C4" s="120" t="s">
        <v>1068</v>
      </c>
      <c r="D4" s="119" t="s">
        <v>72</v>
      </c>
      <c r="E4" s="121">
        <v>78962.329549592876</v>
      </c>
      <c r="F4" s="121">
        <v>78962.329549592876</v>
      </c>
      <c r="G4" s="121">
        <v>78962.329549592876</v>
      </c>
      <c r="H4" s="121">
        <v>1318001</v>
      </c>
      <c r="I4" s="122">
        <v>1</v>
      </c>
      <c r="J4" s="123" t="b">
        <v>0</v>
      </c>
      <c r="K4" s="121">
        <v>1318001</v>
      </c>
      <c r="L4" s="121">
        <v>1503406.5</v>
      </c>
      <c r="M4" s="121">
        <v>1318001</v>
      </c>
      <c r="N4" s="124" t="s">
        <v>1251</v>
      </c>
      <c r="O4" s="122">
        <v>0.77439334414402039</v>
      </c>
      <c r="P4" s="121">
        <v>1020651.2019751631</v>
      </c>
      <c r="Q4" s="121">
        <v>1275419.1112118023</v>
      </c>
    </row>
    <row r="5" spans="1:124" s="119" customFormat="1" ht="15" x14ac:dyDescent="0.25">
      <c r="A5" s="118" t="s">
        <v>61</v>
      </c>
      <c r="B5" s="119" t="s">
        <v>59</v>
      </c>
      <c r="C5" s="120" t="s">
        <v>1202</v>
      </c>
      <c r="D5" s="119" t="s">
        <v>60</v>
      </c>
      <c r="E5" s="121">
        <v>94865.060631602435</v>
      </c>
      <c r="F5" s="121">
        <v>94865.060631602435</v>
      </c>
      <c r="G5" s="121">
        <v>94865.060631602435</v>
      </c>
      <c r="H5" s="121">
        <v>1221412</v>
      </c>
      <c r="I5" s="122">
        <v>1</v>
      </c>
      <c r="J5" s="123" t="b">
        <v>0</v>
      </c>
      <c r="K5" s="121">
        <v>1221412</v>
      </c>
      <c r="L5" s="121">
        <v>3397279.5</v>
      </c>
      <c r="M5" s="121">
        <v>1221412</v>
      </c>
      <c r="N5" s="124" t="s">
        <v>1251</v>
      </c>
      <c r="O5" s="122">
        <v>0.72895696962399303</v>
      </c>
      <c r="P5" s="121">
        <v>890356.79018238059</v>
      </c>
      <c r="Q5" s="121">
        <v>2165775.9013941828</v>
      </c>
    </row>
    <row r="6" spans="1:124" s="119" customFormat="1" ht="15" x14ac:dyDescent="0.25">
      <c r="A6" s="118" t="s">
        <v>61</v>
      </c>
      <c r="B6" s="119" t="s">
        <v>59</v>
      </c>
      <c r="C6" s="120" t="s">
        <v>1203</v>
      </c>
      <c r="D6" s="119" t="s">
        <v>63</v>
      </c>
      <c r="E6" s="121">
        <v>94865.060631602435</v>
      </c>
      <c r="F6" s="121">
        <v>94865.060631602435</v>
      </c>
      <c r="G6" s="121">
        <v>94865.060631602435</v>
      </c>
      <c r="H6" s="121">
        <v>1216400</v>
      </c>
      <c r="I6" s="122">
        <v>1</v>
      </c>
      <c r="J6" s="123" t="b">
        <v>0</v>
      </c>
      <c r="K6" s="121">
        <v>1216400</v>
      </c>
      <c r="L6" s="121">
        <v>3397279.5</v>
      </c>
      <c r="M6" s="121">
        <v>1216400</v>
      </c>
      <c r="N6" s="124" t="s">
        <v>1251</v>
      </c>
      <c r="O6" s="122">
        <v>0.72895696962399303</v>
      </c>
      <c r="P6" s="121">
        <v>886703.25785062509</v>
      </c>
      <c r="Q6" s="121">
        <v>3052479.1592448079</v>
      </c>
    </row>
    <row r="7" spans="1:124" s="119" customFormat="1" ht="15" x14ac:dyDescent="0.25">
      <c r="A7" s="118" t="s">
        <v>921</v>
      </c>
      <c r="B7" s="119" t="s">
        <v>959</v>
      </c>
      <c r="C7" s="120" t="s">
        <v>1061</v>
      </c>
      <c r="D7" s="119" t="s">
        <v>745</v>
      </c>
      <c r="E7" s="121">
        <v>119080.83749999999</v>
      </c>
      <c r="F7" s="121">
        <v>119080.83749999999</v>
      </c>
      <c r="G7" s="121">
        <v>119080.83749999999</v>
      </c>
      <c r="H7" s="121">
        <v>81458</v>
      </c>
      <c r="I7" s="122">
        <v>1</v>
      </c>
      <c r="J7" s="123" t="b">
        <v>0</v>
      </c>
      <c r="K7" s="121">
        <v>81458</v>
      </c>
      <c r="L7" s="121">
        <v>100000</v>
      </c>
      <c r="M7" s="121">
        <v>81458</v>
      </c>
      <c r="N7" s="124" t="s">
        <v>1251</v>
      </c>
      <c r="O7" s="122">
        <v>0.6597690357142858</v>
      </c>
      <c r="P7" s="121">
        <v>53743.466111214293</v>
      </c>
      <c r="Q7" s="121">
        <v>3106222.6253560223</v>
      </c>
    </row>
    <row r="8" spans="1:124" s="119" customFormat="1" ht="15" x14ac:dyDescent="0.25">
      <c r="A8" s="127" t="s">
        <v>114</v>
      </c>
      <c r="B8" s="128" t="s">
        <v>111</v>
      </c>
      <c r="C8" s="120" t="s">
        <v>972</v>
      </c>
      <c r="D8" s="128" t="s">
        <v>72</v>
      </c>
      <c r="E8" s="132">
        <v>127817.31050300183</v>
      </c>
      <c r="F8" s="132">
        <v>127817.31050300183</v>
      </c>
      <c r="G8" s="132">
        <v>127817.31050300183</v>
      </c>
      <c r="H8" s="121">
        <v>720000</v>
      </c>
      <c r="I8" s="129">
        <v>1</v>
      </c>
      <c r="J8" s="123" t="b">
        <v>0</v>
      </c>
      <c r="K8" s="121">
        <v>720000</v>
      </c>
      <c r="L8" s="121">
        <v>489203</v>
      </c>
      <c r="M8" s="121">
        <v>489203</v>
      </c>
      <c r="N8" s="124" t="s">
        <v>1263</v>
      </c>
      <c r="O8" s="129">
        <v>0.63480768427713763</v>
      </c>
      <c r="P8" s="121">
        <v>310549.82357142854</v>
      </c>
      <c r="Q8" s="121">
        <v>3416772.4489274509</v>
      </c>
    </row>
    <row r="9" spans="1:124" s="119" customFormat="1" ht="15" x14ac:dyDescent="0.25">
      <c r="A9" s="118" t="s">
        <v>588</v>
      </c>
      <c r="B9" s="119" t="s">
        <v>586</v>
      </c>
      <c r="C9" s="120" t="s">
        <v>1081</v>
      </c>
      <c r="D9" s="119" t="s">
        <v>72</v>
      </c>
      <c r="E9" s="121">
        <v>136949.45835857349</v>
      </c>
      <c r="F9" s="121">
        <v>136949.45835857349</v>
      </c>
      <c r="G9" s="121">
        <v>136949.45835857349</v>
      </c>
      <c r="H9" s="121">
        <v>907080</v>
      </c>
      <c r="I9" s="122">
        <v>0.66493333333333338</v>
      </c>
      <c r="J9" s="123" t="b">
        <v>0</v>
      </c>
      <c r="K9" s="121">
        <v>603147.728</v>
      </c>
      <c r="L9" s="121">
        <v>475845.25</v>
      </c>
      <c r="M9" s="121">
        <v>475845.25</v>
      </c>
      <c r="N9" s="124" t="s">
        <v>1263</v>
      </c>
      <c r="O9" s="122">
        <v>0.60871583326121859</v>
      </c>
      <c r="P9" s="121">
        <v>289654.53785714286</v>
      </c>
      <c r="Q9" s="121">
        <v>3706426.9867845937</v>
      </c>
    </row>
    <row r="10" spans="1:124" s="119" customFormat="1" ht="15" x14ac:dyDescent="0.25">
      <c r="A10" s="127" t="s">
        <v>47</v>
      </c>
      <c r="B10" s="128" t="s">
        <v>44</v>
      </c>
      <c r="C10" s="120" t="s">
        <v>1141</v>
      </c>
      <c r="D10" s="119" t="s">
        <v>45</v>
      </c>
      <c r="E10" s="132">
        <v>142969.18508208171</v>
      </c>
      <c r="F10" s="132">
        <v>142969.18508208171</v>
      </c>
      <c r="G10" s="132">
        <v>142969.18508208171</v>
      </c>
      <c r="H10" s="121">
        <v>1347375</v>
      </c>
      <c r="I10" s="129">
        <v>1</v>
      </c>
      <c r="J10" s="123" t="b">
        <v>0</v>
      </c>
      <c r="K10" s="121">
        <v>1347375</v>
      </c>
      <c r="L10" s="121">
        <v>410231.5</v>
      </c>
      <c r="M10" s="121">
        <v>410231.5</v>
      </c>
      <c r="N10" s="124" t="s">
        <v>1263</v>
      </c>
      <c r="O10" s="129">
        <v>0.59151661405119516</v>
      </c>
      <c r="P10" s="121">
        <v>242658.74785714285</v>
      </c>
      <c r="Q10" s="121">
        <v>3949085.7346417364</v>
      </c>
    </row>
    <row r="11" spans="1:124" s="119" customFormat="1" ht="15" x14ac:dyDescent="0.25">
      <c r="A11" s="118" t="s">
        <v>681</v>
      </c>
      <c r="B11" s="119" t="s">
        <v>679</v>
      </c>
      <c r="C11" s="120" t="s">
        <v>1080</v>
      </c>
      <c r="D11" s="119" t="s">
        <v>1220</v>
      </c>
      <c r="E11" s="121">
        <v>152720.41942598551</v>
      </c>
      <c r="F11" s="121">
        <v>152720.41942598551</v>
      </c>
      <c r="G11" s="121">
        <v>152720.41942598551</v>
      </c>
      <c r="H11" s="121">
        <v>2097949</v>
      </c>
      <c r="I11" s="122">
        <v>0.87966440000000001</v>
      </c>
      <c r="J11" s="123" t="b">
        <v>0</v>
      </c>
      <c r="K11" s="121">
        <v>1845491.0483156</v>
      </c>
      <c r="L11" s="121">
        <v>875291.5</v>
      </c>
      <c r="M11" s="121">
        <v>875291.5</v>
      </c>
      <c r="N11" s="124" t="s">
        <v>1263</v>
      </c>
      <c r="O11" s="122">
        <v>0.56365594449718426</v>
      </c>
      <c r="P11" s="121">
        <v>493363.25714285718</v>
      </c>
      <c r="Q11" s="121">
        <v>4442448.9917845931</v>
      </c>
    </row>
    <row r="12" spans="1:124" s="119" customFormat="1" ht="15" x14ac:dyDescent="0.25">
      <c r="A12" s="118" t="s">
        <v>592</v>
      </c>
      <c r="B12" s="119" t="s">
        <v>590</v>
      </c>
      <c r="C12" s="120" t="s">
        <v>1100</v>
      </c>
      <c r="D12" s="119" t="s">
        <v>67</v>
      </c>
      <c r="E12" s="121">
        <v>174823.8786061116</v>
      </c>
      <c r="F12" s="121">
        <v>157341.49074550043</v>
      </c>
      <c r="G12" s="121">
        <v>157341.49074550043</v>
      </c>
      <c r="H12" s="121">
        <v>345000</v>
      </c>
      <c r="I12" s="122">
        <v>0.65</v>
      </c>
      <c r="J12" s="123" t="b">
        <v>0</v>
      </c>
      <c r="K12" s="121">
        <v>224250</v>
      </c>
      <c r="L12" s="121">
        <v>822397.25</v>
      </c>
      <c r="M12" s="121">
        <v>224250</v>
      </c>
      <c r="N12" s="124" t="s">
        <v>1251</v>
      </c>
      <c r="O12" s="122">
        <v>0.50050320398253834</v>
      </c>
      <c r="P12" s="121">
        <v>112237.84349308422</v>
      </c>
      <c r="Q12" s="121">
        <v>4554686.8352776775</v>
      </c>
    </row>
    <row r="13" spans="1:124" s="119" customFormat="1" ht="15" x14ac:dyDescent="0.25">
      <c r="A13" s="118" t="s">
        <v>592</v>
      </c>
      <c r="B13" s="119" t="s">
        <v>590</v>
      </c>
      <c r="C13" s="120" t="s">
        <v>1057</v>
      </c>
      <c r="D13" s="119" t="s">
        <v>1236</v>
      </c>
      <c r="E13" s="121">
        <v>174823.8786061116</v>
      </c>
      <c r="F13" s="121">
        <v>157341.49074550043</v>
      </c>
      <c r="G13" s="121">
        <v>157341.49074550043</v>
      </c>
      <c r="H13" s="121">
        <v>1001824</v>
      </c>
      <c r="I13" s="122">
        <v>1</v>
      </c>
      <c r="J13" s="123" t="b">
        <v>0</v>
      </c>
      <c r="K13" s="121">
        <v>1001824</v>
      </c>
      <c r="L13" s="121">
        <v>822397.25</v>
      </c>
      <c r="M13" s="121">
        <v>598147.25</v>
      </c>
      <c r="N13" s="124" t="s">
        <v>1263</v>
      </c>
      <c r="O13" s="122">
        <v>0.50050320398253834</v>
      </c>
      <c r="P13" s="121">
        <v>299374.61507834436</v>
      </c>
      <c r="Q13" s="121">
        <v>4854061.4503560215</v>
      </c>
    </row>
    <row r="14" spans="1:124" s="119" customFormat="1" ht="15" x14ac:dyDescent="0.25">
      <c r="A14" s="118" t="s">
        <v>283</v>
      </c>
      <c r="B14" s="119" t="s">
        <v>279</v>
      </c>
      <c r="C14" s="120" t="s">
        <v>1188</v>
      </c>
      <c r="D14" s="119" t="s">
        <v>280</v>
      </c>
      <c r="E14" s="121">
        <v>158573.85202208938</v>
      </c>
      <c r="F14" s="121">
        <v>158573.85202208938</v>
      </c>
      <c r="G14" s="121">
        <v>158573.85202208938</v>
      </c>
      <c r="H14" s="121">
        <v>3437000</v>
      </c>
      <c r="I14" s="122">
        <v>0.9</v>
      </c>
      <c r="J14" s="123" t="b">
        <v>0</v>
      </c>
      <c r="K14" s="121">
        <v>3093300</v>
      </c>
      <c r="L14" s="121">
        <v>9685378</v>
      </c>
      <c r="M14" s="121">
        <v>3093300</v>
      </c>
      <c r="N14" s="124" t="s">
        <v>1251</v>
      </c>
      <c r="O14" s="122">
        <v>0.54693185136545885</v>
      </c>
      <c r="P14" s="121">
        <v>1691824.2958287739</v>
      </c>
      <c r="Q14" s="121">
        <v>6545885.7461847952</v>
      </c>
    </row>
    <row r="15" spans="1:124" s="119" customFormat="1" ht="15" x14ac:dyDescent="0.25">
      <c r="A15" s="118" t="s">
        <v>199</v>
      </c>
      <c r="B15" s="119" t="s">
        <v>197</v>
      </c>
      <c r="C15" s="120" t="s">
        <v>1096</v>
      </c>
      <c r="D15" s="119" t="s">
        <v>194</v>
      </c>
      <c r="E15" s="121">
        <v>176598.5635960545</v>
      </c>
      <c r="F15" s="121">
        <v>158938.70723644906</v>
      </c>
      <c r="G15" s="121">
        <v>158938.70723644906</v>
      </c>
      <c r="H15" s="121">
        <v>2139300</v>
      </c>
      <c r="I15" s="122">
        <v>1</v>
      </c>
      <c r="J15" s="130" t="b">
        <v>0</v>
      </c>
      <c r="K15" s="121">
        <v>2139300</v>
      </c>
      <c r="L15" s="121">
        <v>903924.00000000023</v>
      </c>
      <c r="M15" s="121">
        <v>903924.00000000023</v>
      </c>
      <c r="N15" s="124" t="s">
        <v>1263</v>
      </c>
      <c r="O15" s="129">
        <v>0.49543267543984426</v>
      </c>
      <c r="P15" s="121">
        <v>447833.48571428593</v>
      </c>
      <c r="Q15" s="121">
        <v>6993719.2318990808</v>
      </c>
    </row>
    <row r="16" spans="1:124" s="119" customFormat="1" ht="15" x14ac:dyDescent="0.25">
      <c r="A16" s="119" t="s">
        <v>199</v>
      </c>
      <c r="B16" s="128" t="s">
        <v>197</v>
      </c>
      <c r="C16" s="120" t="s">
        <v>1214</v>
      </c>
      <c r="D16" s="128" t="s">
        <v>35</v>
      </c>
      <c r="E16" s="132">
        <v>176598.5635960545</v>
      </c>
      <c r="F16" s="132">
        <v>158938.70723644906</v>
      </c>
      <c r="G16" s="132">
        <v>158938.70723644906</v>
      </c>
      <c r="H16" s="121">
        <v>474500</v>
      </c>
      <c r="I16" s="129">
        <v>1</v>
      </c>
      <c r="J16" s="123" t="b">
        <v>0</v>
      </c>
      <c r="K16" s="121">
        <v>474500</v>
      </c>
      <c r="L16" s="121">
        <v>903924.00000000023</v>
      </c>
      <c r="M16" s="121">
        <v>0</v>
      </c>
      <c r="N16" s="124" t="s">
        <v>1263</v>
      </c>
      <c r="O16" s="129">
        <v>0.49543267543984426</v>
      </c>
      <c r="P16" s="121">
        <v>0</v>
      </c>
      <c r="Q16" s="121">
        <v>6993719.2318990808</v>
      </c>
    </row>
    <row r="17" spans="1:17" s="119" customFormat="1" ht="15" x14ac:dyDescent="0.25">
      <c r="A17" s="118" t="s">
        <v>199</v>
      </c>
      <c r="B17" s="119" t="s">
        <v>197</v>
      </c>
      <c r="C17" s="120" t="s">
        <v>1079</v>
      </c>
      <c r="D17" s="119" t="s">
        <v>72</v>
      </c>
      <c r="E17" s="121">
        <v>176598.5635960545</v>
      </c>
      <c r="F17" s="121">
        <v>158938.70723644906</v>
      </c>
      <c r="G17" s="121">
        <v>158938.70723644906</v>
      </c>
      <c r="H17" s="121">
        <v>1116000</v>
      </c>
      <c r="I17" s="122">
        <v>1</v>
      </c>
      <c r="J17" s="123" t="b">
        <v>0</v>
      </c>
      <c r="K17" s="121">
        <v>1116000</v>
      </c>
      <c r="L17" s="121">
        <v>903924.00000000023</v>
      </c>
      <c r="M17" s="121">
        <v>0</v>
      </c>
      <c r="N17" s="124" t="s">
        <v>1263</v>
      </c>
      <c r="O17" s="122">
        <v>0.49543267543984426</v>
      </c>
      <c r="P17" s="121">
        <v>0</v>
      </c>
      <c r="Q17" s="121">
        <v>6993719.2318990808</v>
      </c>
    </row>
    <row r="18" spans="1:17" s="119" customFormat="1" ht="15" x14ac:dyDescent="0.25">
      <c r="A18" s="118" t="s">
        <v>606</v>
      </c>
      <c r="B18" s="119" t="s">
        <v>604</v>
      </c>
      <c r="C18" s="120" t="s">
        <v>1049</v>
      </c>
      <c r="D18" s="119" t="s">
        <v>86</v>
      </c>
      <c r="E18" s="121">
        <v>165842.70108436758</v>
      </c>
      <c r="F18" s="121">
        <v>165842.70108436758</v>
      </c>
      <c r="G18" s="121">
        <v>165842.70108436758</v>
      </c>
      <c r="H18" s="121">
        <v>3775369</v>
      </c>
      <c r="I18" s="122">
        <v>0.90082926956521736</v>
      </c>
      <c r="J18" s="123" t="b">
        <v>0</v>
      </c>
      <c r="K18" s="121">
        <v>3400962.8986091651</v>
      </c>
      <c r="L18" s="121">
        <v>895314.5</v>
      </c>
      <c r="M18" s="121">
        <v>895314.5</v>
      </c>
      <c r="N18" s="124" t="s">
        <v>1263</v>
      </c>
      <c r="O18" s="122">
        <v>0.52616371118752125</v>
      </c>
      <c r="P18" s="121">
        <v>471082</v>
      </c>
      <c r="Q18" s="121">
        <v>7464801.2318990808</v>
      </c>
    </row>
    <row r="19" spans="1:17" s="119" customFormat="1" ht="15" x14ac:dyDescent="0.25">
      <c r="A19" s="118" t="s">
        <v>329</v>
      </c>
      <c r="B19" s="119" t="s">
        <v>327</v>
      </c>
      <c r="C19" s="120" t="s">
        <v>1039</v>
      </c>
      <c r="D19" s="119" t="s">
        <v>74</v>
      </c>
      <c r="E19" s="121">
        <v>171713.56080372611</v>
      </c>
      <c r="F19" s="121">
        <v>171713.56080372611</v>
      </c>
      <c r="G19" s="121">
        <v>171713.56080372611</v>
      </c>
      <c r="H19" s="121">
        <v>10780000</v>
      </c>
      <c r="I19" s="122">
        <v>0.91963879199999998</v>
      </c>
      <c r="J19" s="123" t="b">
        <v>0</v>
      </c>
      <c r="K19" s="121">
        <v>9913706.1777599994</v>
      </c>
      <c r="L19" s="121">
        <v>9805840.2500000019</v>
      </c>
      <c r="M19" s="121">
        <v>9805840.2500000019</v>
      </c>
      <c r="N19" s="124" t="s">
        <v>1263</v>
      </c>
      <c r="O19" s="122">
        <v>0.50938982627506824</v>
      </c>
      <c r="P19" s="121">
        <v>4994995.2614285722</v>
      </c>
      <c r="Q19" s="121">
        <v>12459796.493327653</v>
      </c>
    </row>
    <row r="20" spans="1:17" s="119" customFormat="1" ht="15" x14ac:dyDescent="0.25">
      <c r="A20" s="118" t="s">
        <v>266</v>
      </c>
      <c r="B20" s="119" t="s">
        <v>264</v>
      </c>
      <c r="C20" s="120" t="s">
        <v>1043</v>
      </c>
      <c r="D20" s="119" t="s">
        <v>74</v>
      </c>
      <c r="E20" s="121">
        <v>185880.35195793197</v>
      </c>
      <c r="F20" s="121">
        <v>176586.33436003537</v>
      </c>
      <c r="G20" s="121">
        <v>176586.33436003537</v>
      </c>
      <c r="H20" s="121">
        <v>5384850</v>
      </c>
      <c r="I20" s="122">
        <v>1</v>
      </c>
      <c r="J20" s="123" t="b">
        <v>0</v>
      </c>
      <c r="K20" s="121">
        <v>5384850</v>
      </c>
      <c r="L20" s="121">
        <v>6774360.75</v>
      </c>
      <c r="M20" s="121">
        <v>5384850</v>
      </c>
      <c r="N20" s="124" t="s">
        <v>1251</v>
      </c>
      <c r="O20" s="122">
        <v>0.4689132801201944</v>
      </c>
      <c r="P20" s="121">
        <v>2525027.6764552286</v>
      </c>
      <c r="Q20" s="121">
        <v>14984824.169782881</v>
      </c>
    </row>
    <row r="21" spans="1:17" s="119" customFormat="1" ht="15" x14ac:dyDescent="0.25">
      <c r="A21" s="118" t="s">
        <v>266</v>
      </c>
      <c r="B21" s="119" t="s">
        <v>264</v>
      </c>
      <c r="C21" s="120" t="s">
        <v>1146</v>
      </c>
      <c r="D21" s="119" t="s">
        <v>35</v>
      </c>
      <c r="E21" s="121">
        <v>185880.35195793197</v>
      </c>
      <c r="F21" s="121">
        <v>176586.33436003537</v>
      </c>
      <c r="G21" s="121">
        <v>176586.33436003537</v>
      </c>
      <c r="H21" s="121">
        <v>1071200</v>
      </c>
      <c r="I21" s="122">
        <v>1</v>
      </c>
      <c r="J21" s="123" t="b">
        <v>0</v>
      </c>
      <c r="K21" s="121">
        <v>1071200</v>
      </c>
      <c r="L21" s="121">
        <v>6774360.75</v>
      </c>
      <c r="M21" s="121">
        <v>1071200</v>
      </c>
      <c r="N21" s="124" t="s">
        <v>1251</v>
      </c>
      <c r="O21" s="122">
        <v>0.4689132801201944</v>
      </c>
      <c r="P21" s="121">
        <v>502299.90566475224</v>
      </c>
      <c r="Q21" s="121">
        <v>15487124.075447634</v>
      </c>
    </row>
    <row r="22" spans="1:17" s="119" customFormat="1" ht="15" x14ac:dyDescent="0.25">
      <c r="A22" s="118" t="s">
        <v>266</v>
      </c>
      <c r="B22" s="119" t="s">
        <v>264</v>
      </c>
      <c r="C22" s="120" t="s">
        <v>1145</v>
      </c>
      <c r="D22" s="119" t="s">
        <v>23</v>
      </c>
      <c r="E22" s="121">
        <v>185880.35195793197</v>
      </c>
      <c r="F22" s="121">
        <v>176586.33436003537</v>
      </c>
      <c r="G22" s="121">
        <v>176586.33436003537</v>
      </c>
      <c r="H22" s="121">
        <v>688925</v>
      </c>
      <c r="I22" s="122">
        <v>1</v>
      </c>
      <c r="J22" s="123" t="b">
        <v>0</v>
      </c>
      <c r="K22" s="121">
        <v>688925</v>
      </c>
      <c r="L22" s="121">
        <v>6774360.75</v>
      </c>
      <c r="M22" s="121">
        <v>318310.75</v>
      </c>
      <c r="N22" s="124" t="s">
        <v>1263</v>
      </c>
      <c r="O22" s="122">
        <v>0.4689132801201944</v>
      </c>
      <c r="P22" s="121">
        <v>149260.13788001917</v>
      </c>
      <c r="Q22" s="121">
        <v>15636384.213327654</v>
      </c>
    </row>
    <row r="23" spans="1:17" s="119" customFormat="1" ht="15" x14ac:dyDescent="0.25">
      <c r="A23" s="118" t="s">
        <v>266</v>
      </c>
      <c r="B23" s="119" t="s">
        <v>264</v>
      </c>
      <c r="C23" s="120" t="s">
        <v>1118</v>
      </c>
      <c r="D23" s="119" t="s">
        <v>50</v>
      </c>
      <c r="E23" s="121">
        <v>185880.35195793197</v>
      </c>
      <c r="F23" s="121">
        <v>176586.33436003537</v>
      </c>
      <c r="G23" s="121">
        <v>176586.33436003537</v>
      </c>
      <c r="H23" s="121">
        <v>5277788</v>
      </c>
      <c r="I23" s="122">
        <v>1</v>
      </c>
      <c r="J23" s="123" t="b">
        <v>0</v>
      </c>
      <c r="K23" s="121">
        <v>5277788</v>
      </c>
      <c r="L23" s="121">
        <v>6774360.75</v>
      </c>
      <c r="M23" s="121">
        <v>0</v>
      </c>
      <c r="N23" s="124" t="s">
        <v>1263</v>
      </c>
      <c r="O23" s="122">
        <v>0.4689132801201944</v>
      </c>
      <c r="P23" s="121">
        <v>0</v>
      </c>
      <c r="Q23" s="121">
        <v>15636384.213327654</v>
      </c>
    </row>
    <row r="24" spans="1:17" s="119" customFormat="1" ht="15" x14ac:dyDescent="0.25">
      <c r="A24" s="118" t="s">
        <v>914</v>
      </c>
      <c r="B24" s="119" t="s">
        <v>953</v>
      </c>
      <c r="C24" s="120" t="s">
        <v>1002</v>
      </c>
      <c r="D24" s="119" t="s">
        <v>35</v>
      </c>
      <c r="E24" s="121">
        <v>199341.45408497477</v>
      </c>
      <c r="F24" s="121">
        <v>189374.38138072603</v>
      </c>
      <c r="G24" s="121">
        <v>189374.38138072603</v>
      </c>
      <c r="H24" s="121">
        <v>2053251</v>
      </c>
      <c r="I24" s="122">
        <v>1</v>
      </c>
      <c r="J24" s="123" t="b">
        <v>0</v>
      </c>
      <c r="K24" s="121">
        <v>2053251</v>
      </c>
      <c r="L24" s="121">
        <v>1307134.7500000002</v>
      </c>
      <c r="M24" s="121">
        <v>1307134.7500000002</v>
      </c>
      <c r="N24" s="124" t="s">
        <v>1263</v>
      </c>
      <c r="O24" s="122">
        <v>0.43045298832864354</v>
      </c>
      <c r="P24" s="121">
        <v>562660.05928571452</v>
      </c>
      <c r="Q24" s="121">
        <v>16199044.272613369</v>
      </c>
    </row>
    <row r="25" spans="1:17" s="119" customFormat="1" ht="15" x14ac:dyDescent="0.25">
      <c r="A25" s="118" t="s">
        <v>914</v>
      </c>
      <c r="B25" s="119" t="s">
        <v>953</v>
      </c>
      <c r="C25" s="120" t="s">
        <v>1020</v>
      </c>
      <c r="D25" s="119" t="s">
        <v>743</v>
      </c>
      <c r="E25" s="121">
        <v>199341.45408497477</v>
      </c>
      <c r="F25" s="121">
        <v>189374.38138072603</v>
      </c>
      <c r="G25" s="121">
        <v>189374.38138072603</v>
      </c>
      <c r="H25" s="121">
        <v>769575</v>
      </c>
      <c r="I25" s="122">
        <v>1</v>
      </c>
      <c r="J25" s="123" t="b">
        <v>0</v>
      </c>
      <c r="K25" s="121">
        <v>769575</v>
      </c>
      <c r="L25" s="121">
        <v>1307134.7500000002</v>
      </c>
      <c r="M25" s="121">
        <v>0</v>
      </c>
      <c r="N25" s="124" t="s">
        <v>1263</v>
      </c>
      <c r="O25" s="122">
        <v>0.43045298832864354</v>
      </c>
      <c r="P25" s="121">
        <v>0</v>
      </c>
      <c r="Q25" s="121">
        <v>16199044.272613369</v>
      </c>
    </row>
    <row r="26" spans="1:17" s="119" customFormat="1" ht="15" x14ac:dyDescent="0.25">
      <c r="A26" s="118" t="s">
        <v>914</v>
      </c>
      <c r="B26" s="119" t="s">
        <v>953</v>
      </c>
      <c r="C26" s="120" t="s">
        <v>1036</v>
      </c>
      <c r="D26" s="119" t="s">
        <v>102</v>
      </c>
      <c r="E26" s="121">
        <v>199341.45408497477</v>
      </c>
      <c r="F26" s="121">
        <v>189374.38138072603</v>
      </c>
      <c r="G26" s="121">
        <v>189374.38138072603</v>
      </c>
      <c r="H26" s="121">
        <v>428700</v>
      </c>
      <c r="I26" s="122">
        <v>1</v>
      </c>
      <c r="J26" s="123" t="b">
        <v>0</v>
      </c>
      <c r="K26" s="121">
        <v>428700</v>
      </c>
      <c r="L26" s="121">
        <v>1307134.7500000002</v>
      </c>
      <c r="M26" s="121">
        <v>0</v>
      </c>
      <c r="N26" s="124" t="s">
        <v>1263</v>
      </c>
      <c r="O26" s="122">
        <v>0.43045298832864354</v>
      </c>
      <c r="P26" s="121">
        <v>0</v>
      </c>
      <c r="Q26" s="121">
        <v>16199044.272613369</v>
      </c>
    </row>
    <row r="27" spans="1:17" s="119" customFormat="1" ht="15" x14ac:dyDescent="0.25">
      <c r="A27" s="118" t="s">
        <v>571</v>
      </c>
      <c r="B27" s="119" t="s">
        <v>569</v>
      </c>
      <c r="C27" s="120" t="s">
        <v>1174</v>
      </c>
      <c r="D27" s="119" t="s">
        <v>29</v>
      </c>
      <c r="E27" s="121">
        <v>189580.95836646738</v>
      </c>
      <c r="F27" s="121">
        <v>189580.95836646738</v>
      </c>
      <c r="G27" s="121">
        <v>189580.95836646738</v>
      </c>
      <c r="H27" s="121">
        <v>234612</v>
      </c>
      <c r="I27" s="122">
        <v>1</v>
      </c>
      <c r="J27" s="123" t="b">
        <v>0</v>
      </c>
      <c r="K27" s="121">
        <v>234612</v>
      </c>
      <c r="L27" s="121">
        <v>175423.50000000006</v>
      </c>
      <c r="M27" s="121">
        <v>175423.50000000006</v>
      </c>
      <c r="N27" s="124" t="s">
        <v>1263</v>
      </c>
      <c r="O27" s="122">
        <v>0.45834011895295035</v>
      </c>
      <c r="P27" s="121">
        <v>80403.627857142914</v>
      </c>
      <c r="Q27" s="121">
        <v>16279447.900470512</v>
      </c>
    </row>
    <row r="28" spans="1:17" s="119" customFormat="1" ht="15" x14ac:dyDescent="0.25">
      <c r="A28" s="118" t="s">
        <v>903</v>
      </c>
      <c r="B28" s="119" t="s">
        <v>942</v>
      </c>
      <c r="C28" s="120" t="s">
        <v>987</v>
      </c>
      <c r="D28" s="119" t="s">
        <v>50</v>
      </c>
      <c r="E28" s="121">
        <v>205631.92497686564</v>
      </c>
      <c r="F28" s="121">
        <v>205631.92497686564</v>
      </c>
      <c r="G28" s="121">
        <v>205631.92497686564</v>
      </c>
      <c r="H28" s="121">
        <v>94075</v>
      </c>
      <c r="I28" s="122">
        <v>1</v>
      </c>
      <c r="J28" s="123" t="b">
        <v>0</v>
      </c>
      <c r="K28" s="121">
        <v>94075</v>
      </c>
      <c r="L28" s="121">
        <v>146968.00000000006</v>
      </c>
      <c r="M28" s="121">
        <v>94075</v>
      </c>
      <c r="N28" s="124" t="s">
        <v>1251</v>
      </c>
      <c r="O28" s="122">
        <v>0.41248021435181248</v>
      </c>
      <c r="P28" s="121">
        <v>38804.076165146762</v>
      </c>
      <c r="Q28" s="121">
        <v>16318251.976635659</v>
      </c>
    </row>
    <row r="29" spans="1:17" s="119" customFormat="1" ht="15" x14ac:dyDescent="0.25">
      <c r="A29" s="118" t="s">
        <v>903</v>
      </c>
      <c r="B29" s="119" t="s">
        <v>942</v>
      </c>
      <c r="C29" s="120" t="s">
        <v>988</v>
      </c>
      <c r="D29" s="119" t="s">
        <v>513</v>
      </c>
      <c r="E29" s="121">
        <v>205631.92497686564</v>
      </c>
      <c r="F29" s="121">
        <v>205631.92497686564</v>
      </c>
      <c r="G29" s="121">
        <v>205631.92497686564</v>
      </c>
      <c r="H29" s="121">
        <v>390459</v>
      </c>
      <c r="I29" s="122">
        <v>1</v>
      </c>
      <c r="J29" s="123" t="b">
        <v>0</v>
      </c>
      <c r="K29" s="121">
        <v>390459</v>
      </c>
      <c r="L29" s="121">
        <v>146968.00000000006</v>
      </c>
      <c r="M29" s="121">
        <v>52893.000000000058</v>
      </c>
      <c r="N29" s="124" t="s">
        <v>1263</v>
      </c>
      <c r="O29" s="122">
        <v>0.41248021435181248</v>
      </c>
      <c r="P29" s="121">
        <v>21817.315977710441</v>
      </c>
      <c r="Q29" s="121">
        <v>16340069.29261337</v>
      </c>
    </row>
    <row r="30" spans="1:17" s="119" customFormat="1" ht="15" x14ac:dyDescent="0.25">
      <c r="A30" s="118" t="s">
        <v>137</v>
      </c>
      <c r="B30" s="119" t="s">
        <v>135</v>
      </c>
      <c r="C30" s="120" t="s">
        <v>1034</v>
      </c>
      <c r="D30" s="119" t="s">
        <v>74</v>
      </c>
      <c r="E30" s="121">
        <v>205854.07853599131</v>
      </c>
      <c r="F30" s="121">
        <v>205854.07853599131</v>
      </c>
      <c r="G30" s="121">
        <v>205854.07853599131</v>
      </c>
      <c r="H30" s="121">
        <v>364488</v>
      </c>
      <c r="I30" s="122">
        <v>1</v>
      </c>
      <c r="J30" s="123" t="b">
        <v>0</v>
      </c>
      <c r="K30" s="121">
        <v>364488</v>
      </c>
      <c r="L30" s="121">
        <v>337921.50000000006</v>
      </c>
      <c r="M30" s="121">
        <v>337921.50000000006</v>
      </c>
      <c r="N30" s="124" t="s">
        <v>1263</v>
      </c>
      <c r="O30" s="122">
        <v>0.41184548989716763</v>
      </c>
      <c r="P30" s="121">
        <v>139171.44571428574</v>
      </c>
      <c r="Q30" s="121">
        <v>16479240.738327656</v>
      </c>
    </row>
    <row r="31" spans="1:17" s="119" customFormat="1" ht="15" x14ac:dyDescent="0.25">
      <c r="A31" s="118" t="s">
        <v>687</v>
      </c>
      <c r="B31" s="119" t="s">
        <v>685</v>
      </c>
      <c r="C31" s="120" t="s">
        <v>1191</v>
      </c>
      <c r="D31" s="119" t="s">
        <v>194</v>
      </c>
      <c r="E31" s="121">
        <v>243134.08423703263</v>
      </c>
      <c r="F31" s="121">
        <v>206663.97160147774</v>
      </c>
      <c r="G31" s="121">
        <v>206663.97160147774</v>
      </c>
      <c r="H31" s="121">
        <v>4696400</v>
      </c>
      <c r="I31" s="122">
        <v>1</v>
      </c>
      <c r="J31" s="123" t="b">
        <v>0</v>
      </c>
      <c r="K31" s="121">
        <v>4696400</v>
      </c>
      <c r="L31" s="121">
        <v>3206980.25</v>
      </c>
      <c r="M31" s="121">
        <v>3206980.25</v>
      </c>
      <c r="N31" s="124" t="s">
        <v>1263</v>
      </c>
      <c r="O31" s="122">
        <v>0.30533118789419245</v>
      </c>
      <c r="P31" s="121">
        <v>979191.08928571432</v>
      </c>
      <c r="Q31" s="121">
        <v>17458431.827613369</v>
      </c>
    </row>
    <row r="32" spans="1:17" s="119" customFormat="1" ht="15" x14ac:dyDescent="0.25">
      <c r="A32" s="118" t="s">
        <v>687</v>
      </c>
      <c r="B32" s="119" t="s">
        <v>685</v>
      </c>
      <c r="C32" s="120" t="s">
        <v>1168</v>
      </c>
      <c r="D32" s="119" t="s">
        <v>29</v>
      </c>
      <c r="E32" s="121">
        <v>243134.08423703263</v>
      </c>
      <c r="F32" s="121">
        <v>206663.97160147774</v>
      </c>
      <c r="G32" s="121">
        <v>206663.97160147774</v>
      </c>
      <c r="H32" s="121">
        <v>403575</v>
      </c>
      <c r="I32" s="122">
        <v>1</v>
      </c>
      <c r="J32" s="123" t="b">
        <v>0</v>
      </c>
      <c r="K32" s="121">
        <v>403575</v>
      </c>
      <c r="L32" s="121">
        <v>3206980.25</v>
      </c>
      <c r="M32" s="121">
        <v>0</v>
      </c>
      <c r="N32" s="124" t="s">
        <v>1263</v>
      </c>
      <c r="O32" s="122">
        <v>0.30533118789419245</v>
      </c>
      <c r="P32" s="121">
        <v>0</v>
      </c>
      <c r="Q32" s="121">
        <v>17458431.827613369</v>
      </c>
    </row>
    <row r="33" spans="1:17" s="119" customFormat="1" ht="15" x14ac:dyDescent="0.25">
      <c r="A33" s="118" t="s">
        <v>687</v>
      </c>
      <c r="B33" s="119" t="s">
        <v>685</v>
      </c>
      <c r="C33" s="120" t="s">
        <v>1152</v>
      </c>
      <c r="D33" s="119" t="s">
        <v>35</v>
      </c>
      <c r="E33" s="121">
        <v>243134.08423703263</v>
      </c>
      <c r="F33" s="121">
        <v>206663.97160147774</v>
      </c>
      <c r="G33" s="121">
        <v>206663.97160147774</v>
      </c>
      <c r="H33" s="121">
        <v>2517575</v>
      </c>
      <c r="I33" s="122">
        <v>1</v>
      </c>
      <c r="J33" s="123" t="b">
        <v>0</v>
      </c>
      <c r="K33" s="121">
        <v>2517575</v>
      </c>
      <c r="L33" s="121">
        <v>3206980.25</v>
      </c>
      <c r="M33" s="121">
        <v>0</v>
      </c>
      <c r="N33" s="124" t="s">
        <v>1263</v>
      </c>
      <c r="O33" s="122">
        <v>0.30533118789419245</v>
      </c>
      <c r="P33" s="121">
        <v>0</v>
      </c>
      <c r="Q33" s="121">
        <v>17458431.827613369</v>
      </c>
    </row>
    <row r="34" spans="1:17" s="119" customFormat="1" ht="15" x14ac:dyDescent="0.25">
      <c r="A34" s="118" t="s">
        <v>687</v>
      </c>
      <c r="B34" s="125" t="s">
        <v>685</v>
      </c>
      <c r="C34" s="120" t="s">
        <v>1136</v>
      </c>
      <c r="D34" s="125" t="s">
        <v>45</v>
      </c>
      <c r="E34" s="133">
        <v>243134.08423703263</v>
      </c>
      <c r="F34" s="134">
        <v>206663.97160147774</v>
      </c>
      <c r="G34" s="133">
        <v>206663.97160147774</v>
      </c>
      <c r="H34" s="121">
        <v>1904550</v>
      </c>
      <c r="I34" s="122">
        <v>1</v>
      </c>
      <c r="J34" s="123" t="b">
        <v>0</v>
      </c>
      <c r="K34" s="121">
        <v>1904550</v>
      </c>
      <c r="L34" s="121">
        <v>3206980.25</v>
      </c>
      <c r="M34" s="121">
        <v>0</v>
      </c>
      <c r="N34" s="124" t="s">
        <v>1263</v>
      </c>
      <c r="O34" s="126">
        <v>0.30533118789419245</v>
      </c>
      <c r="P34" s="121">
        <v>0</v>
      </c>
      <c r="Q34" s="121">
        <v>17458431.827613369</v>
      </c>
    </row>
    <row r="35" spans="1:17" s="119" customFormat="1" ht="15" x14ac:dyDescent="0.25">
      <c r="A35" s="127" t="s">
        <v>109</v>
      </c>
      <c r="B35" s="125" t="s">
        <v>106</v>
      </c>
      <c r="C35" s="120" t="s">
        <v>1071</v>
      </c>
      <c r="D35" s="125" t="s">
        <v>182</v>
      </c>
      <c r="E35" s="133">
        <v>206758</v>
      </c>
      <c r="F35" s="134">
        <v>206758</v>
      </c>
      <c r="G35" s="133">
        <v>206758</v>
      </c>
      <c r="H35" s="121">
        <v>3826350</v>
      </c>
      <c r="I35" s="135">
        <v>0.80555295999999998</v>
      </c>
      <c r="J35" s="123" t="b">
        <v>0</v>
      </c>
      <c r="K35" s="121">
        <v>3082327.568496</v>
      </c>
      <c r="L35" s="121">
        <v>5204166.5</v>
      </c>
      <c r="M35" s="121">
        <v>3082327.568496</v>
      </c>
      <c r="N35" s="124" t="s">
        <v>1251</v>
      </c>
      <c r="O35" s="129">
        <v>0.4093</v>
      </c>
      <c r="P35" s="121">
        <v>1261596.6737854127</v>
      </c>
      <c r="Q35" s="121">
        <v>18720028.501398779</v>
      </c>
    </row>
    <row r="36" spans="1:17" s="119" customFormat="1" ht="15" x14ac:dyDescent="0.25">
      <c r="A36" s="118" t="s">
        <v>109</v>
      </c>
      <c r="B36" s="119" t="s">
        <v>106</v>
      </c>
      <c r="C36" s="120" t="s">
        <v>1205</v>
      </c>
      <c r="D36" s="119" t="s">
        <v>72</v>
      </c>
      <c r="E36" s="121">
        <v>206758</v>
      </c>
      <c r="F36" s="121">
        <v>206758</v>
      </c>
      <c r="G36" s="121">
        <v>206758</v>
      </c>
      <c r="H36" s="121">
        <v>5987150</v>
      </c>
      <c r="I36" s="122">
        <v>0.68155511227630228</v>
      </c>
      <c r="J36" s="123" t="b">
        <v>0</v>
      </c>
      <c r="K36" s="121">
        <v>4080572.6904650633</v>
      </c>
      <c r="L36" s="121">
        <v>5204166.5</v>
      </c>
      <c r="M36" s="121">
        <v>2121838.931504</v>
      </c>
      <c r="N36" s="124" t="s">
        <v>1263</v>
      </c>
      <c r="O36" s="122">
        <v>0.36027000989083879</v>
      </c>
      <c r="P36" s="121">
        <v>764434.93283971294</v>
      </c>
      <c r="Q36" s="121">
        <v>19484463.434238493</v>
      </c>
    </row>
    <row r="37" spans="1:17" s="119" customFormat="1" ht="15" x14ac:dyDescent="0.25">
      <c r="A37" s="118" t="s">
        <v>924</v>
      </c>
      <c r="B37" s="119" t="s">
        <v>962</v>
      </c>
      <c r="C37" s="120" t="s">
        <v>1069</v>
      </c>
      <c r="D37" s="119" t="s">
        <v>72</v>
      </c>
      <c r="E37" s="121">
        <v>206758.39499999999</v>
      </c>
      <c r="F37" s="121">
        <v>206758.39499999999</v>
      </c>
      <c r="G37" s="121">
        <v>206758.39499999999</v>
      </c>
      <c r="H37" s="121">
        <v>205096</v>
      </c>
      <c r="I37" s="122">
        <v>1</v>
      </c>
      <c r="J37" s="123" t="b">
        <v>0</v>
      </c>
      <c r="K37" s="121">
        <v>205096</v>
      </c>
      <c r="L37" s="121">
        <v>100000</v>
      </c>
      <c r="M37" s="121">
        <v>100000</v>
      </c>
      <c r="N37" s="124" t="s">
        <v>1263</v>
      </c>
      <c r="O37" s="122">
        <v>0.40926172857142862</v>
      </c>
      <c r="P37" s="121">
        <v>40926.172857142861</v>
      </c>
      <c r="Q37" s="121">
        <v>19525389.607095636</v>
      </c>
    </row>
    <row r="38" spans="1:17" s="119" customFormat="1" ht="15" x14ac:dyDescent="0.25">
      <c r="A38" s="118" t="s">
        <v>84</v>
      </c>
      <c r="B38" s="119" t="s">
        <v>81</v>
      </c>
      <c r="C38" s="120" t="s">
        <v>1066</v>
      </c>
      <c r="D38" s="119" t="s">
        <v>1262</v>
      </c>
      <c r="E38" s="121">
        <v>231270.72285441303</v>
      </c>
      <c r="F38" s="121">
        <v>208143.65056897173</v>
      </c>
      <c r="G38" s="121">
        <v>208143.65056897173</v>
      </c>
      <c r="H38" s="121">
        <v>2713814</v>
      </c>
      <c r="I38" s="122">
        <v>0.94</v>
      </c>
      <c r="J38" s="123" t="b">
        <v>0</v>
      </c>
      <c r="K38" s="121">
        <v>2550985.1599999997</v>
      </c>
      <c r="L38" s="121">
        <v>3165008</v>
      </c>
      <c r="M38" s="121">
        <v>2550985.1599999997</v>
      </c>
      <c r="N38" s="124" t="s">
        <v>1251</v>
      </c>
      <c r="O38" s="122">
        <v>0.33922650613024852</v>
      </c>
      <c r="P38" s="121">
        <v>865361.78301691287</v>
      </c>
      <c r="Q38" s="121">
        <v>20390751.390112549</v>
      </c>
    </row>
    <row r="39" spans="1:17" s="119" customFormat="1" ht="15" x14ac:dyDescent="0.25">
      <c r="A39" s="118" t="s">
        <v>158</v>
      </c>
      <c r="B39" s="119" t="s">
        <v>156</v>
      </c>
      <c r="C39" s="120" t="s">
        <v>1139</v>
      </c>
      <c r="D39" s="119" t="s">
        <v>23</v>
      </c>
      <c r="E39" s="121">
        <v>246733.40313920789</v>
      </c>
      <c r="F39" s="121">
        <v>209723.39266832671</v>
      </c>
      <c r="G39" s="121">
        <v>209723.39266832671</v>
      </c>
      <c r="H39" s="121">
        <v>107088</v>
      </c>
      <c r="I39" s="122">
        <v>1</v>
      </c>
      <c r="J39" s="123" t="b">
        <v>0</v>
      </c>
      <c r="K39" s="121">
        <v>107088</v>
      </c>
      <c r="L39" s="121">
        <v>729403.75</v>
      </c>
      <c r="M39" s="121">
        <v>107088</v>
      </c>
      <c r="N39" s="124" t="s">
        <v>1251</v>
      </c>
      <c r="O39" s="122">
        <v>0.29504741960226322</v>
      </c>
      <c r="P39" s="121">
        <v>31596.038070367162</v>
      </c>
      <c r="Q39" s="121">
        <v>20422347.428182915</v>
      </c>
    </row>
    <row r="40" spans="1:17" s="119" customFormat="1" ht="15" x14ac:dyDescent="0.25">
      <c r="A40" s="118" t="s">
        <v>158</v>
      </c>
      <c r="B40" s="119" t="s">
        <v>156</v>
      </c>
      <c r="C40" s="120" t="s">
        <v>984</v>
      </c>
      <c r="D40" s="119" t="s">
        <v>50</v>
      </c>
      <c r="E40" s="121">
        <v>246733.40313920789</v>
      </c>
      <c r="F40" s="121">
        <v>209723.39266832671</v>
      </c>
      <c r="G40" s="121">
        <v>209723.39266832671</v>
      </c>
      <c r="H40" s="121">
        <v>156800</v>
      </c>
      <c r="I40" s="122">
        <v>1</v>
      </c>
      <c r="J40" s="123" t="b">
        <v>0</v>
      </c>
      <c r="K40" s="121">
        <v>156800</v>
      </c>
      <c r="L40" s="121">
        <v>729403.75</v>
      </c>
      <c r="M40" s="121">
        <v>156800</v>
      </c>
      <c r="N40" s="124" t="s">
        <v>1251</v>
      </c>
      <c r="O40" s="122">
        <v>0.29504741960226322</v>
      </c>
      <c r="P40" s="121">
        <v>46263.435393634871</v>
      </c>
      <c r="Q40" s="121">
        <v>20468610.86357655</v>
      </c>
    </row>
    <row r="41" spans="1:17" s="119" customFormat="1" ht="15" x14ac:dyDescent="0.25">
      <c r="A41" s="118" t="s">
        <v>158</v>
      </c>
      <c r="B41" s="119" t="s">
        <v>156</v>
      </c>
      <c r="C41" s="120" t="s">
        <v>1035</v>
      </c>
      <c r="D41" s="119" t="s">
        <v>74</v>
      </c>
      <c r="E41" s="121">
        <v>246733.40313920789</v>
      </c>
      <c r="F41" s="121">
        <v>209723.39266832671</v>
      </c>
      <c r="G41" s="121">
        <v>209723.39266832671</v>
      </c>
      <c r="H41" s="121">
        <v>628950</v>
      </c>
      <c r="I41" s="122">
        <v>1</v>
      </c>
      <c r="J41" s="123" t="b">
        <v>0</v>
      </c>
      <c r="K41" s="121">
        <v>628950</v>
      </c>
      <c r="L41" s="121">
        <v>729403.75</v>
      </c>
      <c r="M41" s="121">
        <v>465515.75</v>
      </c>
      <c r="N41" s="124" t="s">
        <v>1263</v>
      </c>
      <c r="O41" s="122">
        <v>0.29504741960226322</v>
      </c>
      <c r="P41" s="121">
        <v>137349.22082171225</v>
      </c>
      <c r="Q41" s="121">
        <v>20605960.084398262</v>
      </c>
    </row>
    <row r="42" spans="1:17" s="119" customFormat="1" ht="15" x14ac:dyDescent="0.25">
      <c r="A42" s="118" t="s">
        <v>142</v>
      </c>
      <c r="B42" s="119" t="s">
        <v>139</v>
      </c>
      <c r="C42" s="120" t="s">
        <v>1108</v>
      </c>
      <c r="D42" s="119" t="s">
        <v>140</v>
      </c>
      <c r="E42" s="121">
        <v>216184.20191910956</v>
      </c>
      <c r="F42" s="121">
        <v>216184.20191910956</v>
      </c>
      <c r="G42" s="121">
        <v>216184.20191910956</v>
      </c>
      <c r="H42" s="121">
        <v>2637906</v>
      </c>
      <c r="I42" s="122">
        <v>1</v>
      </c>
      <c r="J42" s="123" t="b">
        <v>0</v>
      </c>
      <c r="K42" s="121">
        <v>2637906</v>
      </c>
      <c r="L42" s="121">
        <v>1145765.75</v>
      </c>
      <c r="M42" s="121">
        <v>1145765.75</v>
      </c>
      <c r="N42" s="124" t="s">
        <v>1263</v>
      </c>
      <c r="O42" s="122">
        <v>0.38233085165968694</v>
      </c>
      <c r="P42" s="121">
        <v>438061.59499999997</v>
      </c>
      <c r="Q42" s="121">
        <v>21044021.679398261</v>
      </c>
    </row>
    <row r="43" spans="1:17" s="119" customFormat="1" ht="15" x14ac:dyDescent="0.25">
      <c r="A43" s="118" t="s">
        <v>142</v>
      </c>
      <c r="B43" s="119" t="s">
        <v>139</v>
      </c>
      <c r="C43" s="120" t="s">
        <v>1114</v>
      </c>
      <c r="D43" s="119" t="s">
        <v>144</v>
      </c>
      <c r="E43" s="121">
        <v>216184.20191910956</v>
      </c>
      <c r="F43" s="121">
        <v>216184.20191910956</v>
      </c>
      <c r="G43" s="121">
        <v>216184.20191910956</v>
      </c>
      <c r="H43" s="121">
        <v>541859</v>
      </c>
      <c r="I43" s="122">
        <v>1</v>
      </c>
      <c r="J43" s="123" t="b">
        <v>0</v>
      </c>
      <c r="K43" s="121">
        <v>541859</v>
      </c>
      <c r="L43" s="121">
        <v>1145765.75</v>
      </c>
      <c r="M43" s="121">
        <v>0</v>
      </c>
      <c r="N43" s="124" t="s">
        <v>1263</v>
      </c>
      <c r="O43" s="122">
        <v>0.38233085165968694</v>
      </c>
      <c r="P43" s="121">
        <v>0</v>
      </c>
      <c r="Q43" s="121">
        <v>21044021.679398261</v>
      </c>
    </row>
    <row r="44" spans="1:17" s="119" customFormat="1" ht="15" x14ac:dyDescent="0.25">
      <c r="A44" s="118" t="s">
        <v>142</v>
      </c>
      <c r="B44" s="119" t="s">
        <v>139</v>
      </c>
      <c r="C44" s="120" t="s">
        <v>1163</v>
      </c>
      <c r="D44" s="119" t="s">
        <v>148</v>
      </c>
      <c r="E44" s="121">
        <v>216184.20191910956</v>
      </c>
      <c r="F44" s="121">
        <v>216184.20191910956</v>
      </c>
      <c r="G44" s="121">
        <v>216184.20191910956</v>
      </c>
      <c r="H44" s="121">
        <v>1495775</v>
      </c>
      <c r="I44" s="122">
        <v>1</v>
      </c>
      <c r="J44" s="123" t="b">
        <v>0</v>
      </c>
      <c r="K44" s="121">
        <v>1495775</v>
      </c>
      <c r="L44" s="121">
        <v>1145765.75</v>
      </c>
      <c r="M44" s="121">
        <v>0</v>
      </c>
      <c r="N44" s="124" t="s">
        <v>1263</v>
      </c>
      <c r="O44" s="122">
        <v>0.38233085165968694</v>
      </c>
      <c r="P44" s="121">
        <v>0</v>
      </c>
      <c r="Q44" s="121">
        <v>21044021.679398261</v>
      </c>
    </row>
    <row r="45" spans="1:17" s="119" customFormat="1" ht="15" x14ac:dyDescent="0.25">
      <c r="A45" s="127" t="s">
        <v>567</v>
      </c>
      <c r="B45" s="127" t="s">
        <v>565</v>
      </c>
      <c r="C45" s="120" t="s">
        <v>1058</v>
      </c>
      <c r="D45" s="130" t="s">
        <v>750</v>
      </c>
      <c r="E45" s="121">
        <v>219892.83405405874</v>
      </c>
      <c r="F45" s="121">
        <v>219892.83405405874</v>
      </c>
      <c r="G45" s="121">
        <v>219892.83405405874</v>
      </c>
      <c r="H45" s="132">
        <v>391650</v>
      </c>
      <c r="I45" s="122">
        <v>1</v>
      </c>
      <c r="J45" s="123" t="b">
        <v>0</v>
      </c>
      <c r="K45" s="121">
        <v>391650</v>
      </c>
      <c r="L45" s="121">
        <v>144241.25</v>
      </c>
      <c r="M45" s="121">
        <v>391650</v>
      </c>
      <c r="N45" s="124" t="s">
        <v>1263</v>
      </c>
      <c r="O45" s="122">
        <v>0.37173475984554649</v>
      </c>
      <c r="P45" s="121">
        <v>53619.486428571436</v>
      </c>
      <c r="Q45" s="121">
        <v>21097641.165826831</v>
      </c>
    </row>
    <row r="46" spans="1:17" s="119" customFormat="1" ht="15" x14ac:dyDescent="0.25">
      <c r="A46" s="119" t="s">
        <v>104</v>
      </c>
      <c r="B46" s="119" t="s">
        <v>101</v>
      </c>
      <c r="C46" s="120" t="s">
        <v>1056</v>
      </c>
      <c r="D46" s="119" t="s">
        <v>72</v>
      </c>
      <c r="E46" s="121">
        <v>221196.21365604553</v>
      </c>
      <c r="F46" s="121">
        <v>221196.21365604553</v>
      </c>
      <c r="G46" s="121">
        <v>221196.21365604553</v>
      </c>
      <c r="H46" s="121">
        <v>730945</v>
      </c>
      <c r="I46" s="122">
        <v>0.93368446253291837</v>
      </c>
      <c r="J46" s="130" t="b">
        <v>0</v>
      </c>
      <c r="K46" s="121">
        <v>682471.98946612398</v>
      </c>
      <c r="L46" s="121">
        <v>590701.75000000012</v>
      </c>
      <c r="M46" s="121">
        <v>590701.75000000012</v>
      </c>
      <c r="N46" s="124" t="s">
        <v>1263</v>
      </c>
      <c r="O46" s="129">
        <v>0.36801081812558423</v>
      </c>
      <c r="P46" s="121">
        <v>217384.63428571436</v>
      </c>
      <c r="Q46" s="121">
        <v>21315025.800112545</v>
      </c>
    </row>
    <row r="47" spans="1:17" s="119" customFormat="1" ht="15" x14ac:dyDescent="0.25">
      <c r="A47" s="118" t="s">
        <v>491</v>
      </c>
      <c r="B47" s="119" t="s">
        <v>490</v>
      </c>
      <c r="C47" s="120" t="s">
        <v>1148</v>
      </c>
      <c r="D47" s="119" t="s">
        <v>297</v>
      </c>
      <c r="E47" s="121">
        <v>227766.75649375416</v>
      </c>
      <c r="F47" s="121">
        <v>227766.75649375416</v>
      </c>
      <c r="G47" s="121">
        <v>227766.75649375416</v>
      </c>
      <c r="H47" s="121">
        <v>11054600</v>
      </c>
      <c r="I47" s="122">
        <v>0.73663834993379007</v>
      </c>
      <c r="J47" s="123" t="b">
        <v>0</v>
      </c>
      <c r="K47" s="121">
        <v>8143242.3031780757</v>
      </c>
      <c r="L47" s="121">
        <v>12952292</v>
      </c>
      <c r="M47" s="121">
        <v>8143242.3031780757</v>
      </c>
      <c r="N47" s="124" t="s">
        <v>1251</v>
      </c>
      <c r="O47" s="122">
        <v>0.34923783858927382</v>
      </c>
      <c r="P47" s="121">
        <v>2843928.3410706511</v>
      </c>
      <c r="Q47" s="121">
        <v>24158954.141183197</v>
      </c>
    </row>
    <row r="48" spans="1:17" s="119" customFormat="1" ht="15" x14ac:dyDescent="0.25">
      <c r="A48" s="118" t="s">
        <v>491</v>
      </c>
      <c r="B48" s="119" t="s">
        <v>490</v>
      </c>
      <c r="C48" s="120" t="s">
        <v>1215</v>
      </c>
      <c r="D48" s="119" t="s">
        <v>492</v>
      </c>
      <c r="E48" s="121">
        <v>227766.75649375416</v>
      </c>
      <c r="F48" s="121">
        <v>227766.75649375416</v>
      </c>
      <c r="G48" s="121">
        <v>227766.75649375416</v>
      </c>
      <c r="H48" s="121">
        <v>2081962</v>
      </c>
      <c r="I48" s="122">
        <v>0.89385896729776249</v>
      </c>
      <c r="J48" s="123" t="b">
        <v>0</v>
      </c>
      <c r="K48" s="121">
        <v>1860980.4032731841</v>
      </c>
      <c r="L48" s="121">
        <v>12952292</v>
      </c>
      <c r="M48" s="121">
        <v>1860980.4032731841</v>
      </c>
      <c r="N48" s="124" t="s">
        <v>1251</v>
      </c>
      <c r="O48" s="122">
        <v>0.34923783858927382</v>
      </c>
      <c r="P48" s="121">
        <v>649924.77369612199</v>
      </c>
      <c r="Q48" s="121">
        <v>24808878.914879318</v>
      </c>
    </row>
    <row r="49" spans="1:17" s="119" customFormat="1" ht="15" x14ac:dyDescent="0.25">
      <c r="A49" s="118" t="s">
        <v>277</v>
      </c>
      <c r="B49" s="119" t="s">
        <v>274</v>
      </c>
      <c r="C49" s="120" t="s">
        <v>1204</v>
      </c>
      <c r="D49" s="119" t="s">
        <v>275</v>
      </c>
      <c r="E49" s="121">
        <v>256652.24771755567</v>
      </c>
      <c r="F49" s="121">
        <v>230987.0229458001</v>
      </c>
      <c r="G49" s="121">
        <v>230987.0229458001</v>
      </c>
      <c r="H49" s="121">
        <v>3167707</v>
      </c>
      <c r="I49" s="122">
        <v>1</v>
      </c>
      <c r="J49" s="123" t="b">
        <v>0</v>
      </c>
      <c r="K49" s="121">
        <v>3167707</v>
      </c>
      <c r="L49" s="121">
        <v>1673781.25</v>
      </c>
      <c r="M49" s="121">
        <v>1673781.25</v>
      </c>
      <c r="N49" s="124" t="s">
        <v>1263</v>
      </c>
      <c r="O49" s="122">
        <v>0.26670786366412669</v>
      </c>
      <c r="P49" s="121">
        <v>446410.62142857153</v>
      </c>
      <c r="Q49" s="121">
        <v>25255289.53630789</v>
      </c>
    </row>
    <row r="50" spans="1:17" s="119" customFormat="1" ht="15" x14ac:dyDescent="0.25">
      <c r="A50" s="118" t="s">
        <v>619</v>
      </c>
      <c r="B50" s="119" t="s">
        <v>616</v>
      </c>
      <c r="C50" s="120" t="s">
        <v>1050</v>
      </c>
      <c r="D50" s="119" t="s">
        <v>617</v>
      </c>
      <c r="E50" s="121">
        <v>241529.23554989212</v>
      </c>
      <c r="F50" s="121">
        <v>241529.23554989212</v>
      </c>
      <c r="G50" s="121">
        <v>241529.23554989212</v>
      </c>
      <c r="H50" s="121">
        <v>1526250</v>
      </c>
      <c r="I50" s="122">
        <v>1</v>
      </c>
      <c r="J50" s="123" t="b">
        <v>0</v>
      </c>
      <c r="K50" s="121">
        <v>1526250</v>
      </c>
      <c r="L50" s="121">
        <v>961727.25</v>
      </c>
      <c r="M50" s="121">
        <v>961727.25</v>
      </c>
      <c r="N50" s="124" t="s">
        <v>1263</v>
      </c>
      <c r="O50" s="122">
        <v>0.30991646985745103</v>
      </c>
      <c r="P50" s="121">
        <v>298055.11428571428</v>
      </c>
      <c r="Q50" s="121">
        <v>25553344.650593605</v>
      </c>
    </row>
    <row r="51" spans="1:17" s="119" customFormat="1" ht="15" x14ac:dyDescent="0.25">
      <c r="A51" s="118" t="s">
        <v>253</v>
      </c>
      <c r="B51" s="119" t="s">
        <v>249</v>
      </c>
      <c r="C51" s="120" t="s">
        <v>1053</v>
      </c>
      <c r="D51" s="119" t="s">
        <v>250</v>
      </c>
      <c r="E51" s="121">
        <v>244680.76716220033</v>
      </c>
      <c r="F51" s="121">
        <v>244680.76716220033</v>
      </c>
      <c r="G51" s="121">
        <v>244680.76716220033</v>
      </c>
      <c r="H51" s="121">
        <v>1658750</v>
      </c>
      <c r="I51" s="122">
        <v>0.94</v>
      </c>
      <c r="J51" s="123" t="b">
        <v>0</v>
      </c>
      <c r="K51" s="121">
        <v>1559225</v>
      </c>
      <c r="L51" s="121">
        <v>2279074.75</v>
      </c>
      <c r="M51" s="121">
        <v>1559225</v>
      </c>
      <c r="N51" s="124" t="s">
        <v>1251</v>
      </c>
      <c r="O51" s="122">
        <v>0.30091209382228479</v>
      </c>
      <c r="P51" s="121">
        <v>469189.65949005197</v>
      </c>
      <c r="Q51" s="121">
        <v>26022534.310083658</v>
      </c>
    </row>
    <row r="52" spans="1:17" s="119" customFormat="1" ht="15" x14ac:dyDescent="0.25">
      <c r="A52" s="118" t="s">
        <v>521</v>
      </c>
      <c r="B52" s="119" t="s">
        <v>519</v>
      </c>
      <c r="C52" s="120" t="s">
        <v>1110</v>
      </c>
      <c r="D52" s="119" t="s">
        <v>332</v>
      </c>
      <c r="E52" s="121">
        <v>246691.70593503595</v>
      </c>
      <c r="F52" s="121">
        <v>246691.70593503595</v>
      </c>
      <c r="G52" s="121">
        <v>246691.70593503595</v>
      </c>
      <c r="H52" s="121">
        <v>2668500</v>
      </c>
      <c r="I52" s="122">
        <v>1</v>
      </c>
      <c r="J52" s="123" t="b">
        <v>0</v>
      </c>
      <c r="K52" s="121">
        <v>2668500</v>
      </c>
      <c r="L52" s="121">
        <v>640623.75000000012</v>
      </c>
      <c r="M52" s="121">
        <v>640623.75000000012</v>
      </c>
      <c r="N52" s="124" t="s">
        <v>1263</v>
      </c>
      <c r="O52" s="122">
        <v>0.29516655447132589</v>
      </c>
      <c r="P52" s="121">
        <v>189090.7050000001</v>
      </c>
      <c r="Q52" s="121">
        <v>26211625.015083659</v>
      </c>
    </row>
    <row r="53" spans="1:17" s="119" customFormat="1" ht="15" x14ac:dyDescent="0.25">
      <c r="A53" s="118" t="s">
        <v>722</v>
      </c>
      <c r="B53" s="119" t="s">
        <v>720</v>
      </c>
      <c r="C53" s="120" t="s">
        <v>1164</v>
      </c>
      <c r="D53" s="119" t="s">
        <v>29</v>
      </c>
      <c r="E53" s="121">
        <v>248541.00722034514</v>
      </c>
      <c r="F53" s="121">
        <v>248541.00722034514</v>
      </c>
      <c r="G53" s="121">
        <v>248541.00722034514</v>
      </c>
      <c r="H53" s="121">
        <v>1232850</v>
      </c>
      <c r="I53" s="122">
        <v>0.95724295999999998</v>
      </c>
      <c r="J53" s="123" t="b">
        <v>0</v>
      </c>
      <c r="K53" s="121">
        <v>1180136.9832359999</v>
      </c>
      <c r="L53" s="121">
        <v>744216.5</v>
      </c>
      <c r="M53" s="121">
        <v>744216.5</v>
      </c>
      <c r="N53" s="124" t="s">
        <v>1263</v>
      </c>
      <c r="O53" s="122">
        <v>0.2898828365132996</v>
      </c>
      <c r="P53" s="121">
        <v>215735.59000000003</v>
      </c>
      <c r="Q53" s="121">
        <v>26427360.605083659</v>
      </c>
    </row>
    <row r="54" spans="1:17" s="119" customFormat="1" ht="15" x14ac:dyDescent="0.25">
      <c r="A54" s="118" t="s">
        <v>192</v>
      </c>
      <c r="B54" s="119" t="s">
        <v>190</v>
      </c>
      <c r="C54" s="120" t="s">
        <v>1151</v>
      </c>
      <c r="D54" s="119" t="s">
        <v>35</v>
      </c>
      <c r="E54" s="121">
        <v>294350.95784895169</v>
      </c>
      <c r="F54" s="121">
        <v>250198.31417160892</v>
      </c>
      <c r="G54" s="121">
        <v>250198.31417160892</v>
      </c>
      <c r="H54" s="121">
        <v>832650</v>
      </c>
      <c r="I54" s="122">
        <v>1</v>
      </c>
      <c r="J54" s="123" t="b">
        <v>0</v>
      </c>
      <c r="K54" s="121">
        <v>832650</v>
      </c>
      <c r="L54" s="121">
        <v>561949.25</v>
      </c>
      <c r="M54" s="121">
        <v>561949.25</v>
      </c>
      <c r="N54" s="124" t="s">
        <v>1263</v>
      </c>
      <c r="O54" s="122">
        <v>0.15899726328870945</v>
      </c>
      <c r="P54" s="121">
        <v>89348.392857142811</v>
      </c>
      <c r="Q54" s="121">
        <v>26516708.997940801</v>
      </c>
    </row>
    <row r="55" spans="1:17" s="119" customFormat="1" ht="15" x14ac:dyDescent="0.25">
      <c r="A55" s="118" t="s">
        <v>192</v>
      </c>
      <c r="B55" s="119" t="s">
        <v>190</v>
      </c>
      <c r="C55" s="120" t="s">
        <v>1184</v>
      </c>
      <c r="D55" s="119" t="s">
        <v>194</v>
      </c>
      <c r="E55" s="121">
        <v>294350.95784895169</v>
      </c>
      <c r="F55" s="121">
        <v>250198.31417160892</v>
      </c>
      <c r="G55" s="121">
        <v>250198.31417160892</v>
      </c>
      <c r="H55" s="121">
        <v>1050631</v>
      </c>
      <c r="I55" s="122">
        <v>1</v>
      </c>
      <c r="J55" s="123" t="b">
        <v>0</v>
      </c>
      <c r="K55" s="121">
        <v>1050631</v>
      </c>
      <c r="L55" s="121">
        <v>561949.25</v>
      </c>
      <c r="M55" s="121">
        <v>0</v>
      </c>
      <c r="N55" s="124" t="s">
        <v>1263</v>
      </c>
      <c r="O55" s="122">
        <v>0.15899726328870945</v>
      </c>
      <c r="P55" s="121">
        <v>0</v>
      </c>
      <c r="Q55" s="121">
        <v>26516708.997940801</v>
      </c>
    </row>
    <row r="56" spans="1:17" s="119" customFormat="1" ht="15" x14ac:dyDescent="0.25">
      <c r="A56" s="118" t="s">
        <v>708</v>
      </c>
      <c r="B56" s="119" t="s">
        <v>705</v>
      </c>
      <c r="C56" s="120" t="s">
        <v>1094</v>
      </c>
      <c r="D56" s="119" t="s">
        <v>706</v>
      </c>
      <c r="E56" s="121">
        <v>257484.19787942112</v>
      </c>
      <c r="F56" s="121">
        <v>257484.19787942112</v>
      </c>
      <c r="G56" s="121">
        <v>257484.19787942112</v>
      </c>
      <c r="H56" s="121">
        <v>2056988</v>
      </c>
      <c r="I56" s="122">
        <v>0.9597371836610914</v>
      </c>
      <c r="J56" s="123" t="b">
        <v>0</v>
      </c>
      <c r="K56" s="121">
        <v>1974167.8699446612</v>
      </c>
      <c r="L56" s="121">
        <v>1389149</v>
      </c>
      <c r="M56" s="121">
        <v>1389149</v>
      </c>
      <c r="N56" s="124" t="s">
        <v>1263</v>
      </c>
      <c r="O56" s="122">
        <v>0.264330863201654</v>
      </c>
      <c r="P56" s="121">
        <v>367194.95428571443</v>
      </c>
      <c r="Q56" s="121">
        <v>26883903.952226516</v>
      </c>
    </row>
    <row r="57" spans="1:17" s="119" customFormat="1" ht="15" x14ac:dyDescent="0.25">
      <c r="A57" s="118" t="s">
        <v>922</v>
      </c>
      <c r="B57" s="119" t="s">
        <v>960</v>
      </c>
      <c r="C57" s="120" t="s">
        <v>1046</v>
      </c>
      <c r="D57" s="119" t="s">
        <v>72</v>
      </c>
      <c r="E57" s="121">
        <v>257899.7965929147</v>
      </c>
      <c r="F57" s="121">
        <v>257899.7965929147</v>
      </c>
      <c r="G57" s="121">
        <v>257899.7965929147</v>
      </c>
      <c r="H57" s="121">
        <v>1998612</v>
      </c>
      <c r="I57" s="122">
        <v>0.89204416135881104</v>
      </c>
      <c r="J57" s="123" t="b">
        <v>0</v>
      </c>
      <c r="K57" s="121">
        <v>1782850.1654216561</v>
      </c>
      <c r="L57" s="121">
        <v>752432</v>
      </c>
      <c r="M57" s="121">
        <v>752432</v>
      </c>
      <c r="N57" s="124" t="s">
        <v>1263</v>
      </c>
      <c r="O57" s="122">
        <v>0.26314343830595799</v>
      </c>
      <c r="P57" s="121">
        <v>197997.54357142857</v>
      </c>
      <c r="Q57" s="121">
        <v>27081901.495797943</v>
      </c>
    </row>
    <row r="58" spans="1:17" s="119" customFormat="1" ht="15" x14ac:dyDescent="0.25">
      <c r="A58" s="118" t="s">
        <v>259</v>
      </c>
      <c r="B58" s="119" t="s">
        <v>255</v>
      </c>
      <c r="C58" s="120" t="s">
        <v>1187</v>
      </c>
      <c r="D58" s="119" t="s">
        <v>261</v>
      </c>
      <c r="E58" s="121">
        <v>261030.3797292549</v>
      </c>
      <c r="F58" s="121">
        <v>261030.3797292549</v>
      </c>
      <c r="G58" s="121">
        <v>261030.3797292549</v>
      </c>
      <c r="H58" s="121">
        <v>16109662</v>
      </c>
      <c r="I58" s="122">
        <v>1</v>
      </c>
      <c r="J58" s="123" t="b">
        <v>0</v>
      </c>
      <c r="K58" s="121">
        <v>16109662</v>
      </c>
      <c r="L58" s="121">
        <v>13500243.75</v>
      </c>
      <c r="M58" s="121">
        <v>13500243.75</v>
      </c>
      <c r="N58" s="124" t="s">
        <v>1263</v>
      </c>
      <c r="O58" s="122">
        <v>0.25419891505927172</v>
      </c>
      <c r="P58" s="121">
        <v>3431747.3142857142</v>
      </c>
      <c r="Q58" s="121">
        <v>30513648.810083658</v>
      </c>
    </row>
    <row r="59" spans="1:17" s="119" customFormat="1" ht="15" x14ac:dyDescent="0.25">
      <c r="A59" s="118" t="s">
        <v>259</v>
      </c>
      <c r="B59" s="119" t="s">
        <v>255</v>
      </c>
      <c r="C59" s="120" t="s">
        <v>985</v>
      </c>
      <c r="D59" s="119" t="s">
        <v>1249</v>
      </c>
      <c r="E59" s="121">
        <v>261030.3797292549</v>
      </c>
      <c r="F59" s="121">
        <v>261030.3797292549</v>
      </c>
      <c r="G59" s="121">
        <v>261030.3797292549</v>
      </c>
      <c r="H59" s="121">
        <v>34536</v>
      </c>
      <c r="I59" s="122">
        <v>1</v>
      </c>
      <c r="J59" s="123" t="b">
        <v>0</v>
      </c>
      <c r="K59" s="121">
        <v>34536</v>
      </c>
      <c r="L59" s="121">
        <v>13500243.75</v>
      </c>
      <c r="M59" s="121">
        <v>0</v>
      </c>
      <c r="N59" s="124" t="s">
        <v>1263</v>
      </c>
      <c r="O59" s="122">
        <v>0.25419891505927172</v>
      </c>
      <c r="P59" s="121">
        <v>0</v>
      </c>
      <c r="Q59" s="121">
        <v>30513648.810083658</v>
      </c>
    </row>
    <row r="60" spans="1:17" s="119" customFormat="1" ht="15" x14ac:dyDescent="0.25">
      <c r="A60" s="118" t="s">
        <v>259</v>
      </c>
      <c r="B60" s="119" t="s">
        <v>255</v>
      </c>
      <c r="C60" s="120" t="s">
        <v>1113</v>
      </c>
      <c r="D60" s="119" t="s">
        <v>256</v>
      </c>
      <c r="E60" s="121">
        <v>261030.3797292549</v>
      </c>
      <c r="F60" s="121">
        <v>261030.3797292549</v>
      </c>
      <c r="G60" s="121">
        <v>261030.3797292549</v>
      </c>
      <c r="H60" s="121">
        <v>8880750</v>
      </c>
      <c r="I60" s="122">
        <v>1</v>
      </c>
      <c r="J60" s="123" t="b">
        <v>0</v>
      </c>
      <c r="K60" s="121">
        <v>8880750</v>
      </c>
      <c r="L60" s="121">
        <v>13500243.75</v>
      </c>
      <c r="M60" s="121">
        <v>0</v>
      </c>
      <c r="N60" s="124" t="s">
        <v>1263</v>
      </c>
      <c r="O60" s="122">
        <v>0.25419891505927172</v>
      </c>
      <c r="P60" s="121">
        <v>0</v>
      </c>
      <c r="Q60" s="121">
        <v>30513648.810083658</v>
      </c>
    </row>
    <row r="61" spans="1:17" s="119" customFormat="1" ht="15" x14ac:dyDescent="0.25">
      <c r="A61" s="118" t="s">
        <v>599</v>
      </c>
      <c r="B61" s="119" t="s">
        <v>596</v>
      </c>
      <c r="C61" s="120" t="s">
        <v>1112</v>
      </c>
      <c r="D61" s="119" t="s">
        <v>597</v>
      </c>
      <c r="E61" s="121">
        <v>291557.51736486616</v>
      </c>
      <c r="F61" s="121">
        <v>262401.76562837954</v>
      </c>
      <c r="G61" s="121">
        <v>262401.76562837954</v>
      </c>
      <c r="H61" s="121">
        <v>269475</v>
      </c>
      <c r="I61" s="122">
        <v>0.65066933333333332</v>
      </c>
      <c r="J61" s="123" t="b">
        <v>0</v>
      </c>
      <c r="K61" s="121">
        <v>175339.11859999999</v>
      </c>
      <c r="L61" s="121">
        <v>2241199.25</v>
      </c>
      <c r="M61" s="121">
        <v>175339.11859999999</v>
      </c>
      <c r="N61" s="124" t="s">
        <v>1251</v>
      </c>
      <c r="O61" s="122">
        <v>0.1669785218146681</v>
      </c>
      <c r="P61" s="121">
        <v>29277.866840114777</v>
      </c>
      <c r="Q61" s="121">
        <v>30542926.67692377</v>
      </c>
    </row>
    <row r="62" spans="1:17" s="119" customFormat="1" ht="15" x14ac:dyDescent="0.25">
      <c r="A62" s="118" t="s">
        <v>599</v>
      </c>
      <c r="B62" s="119" t="s">
        <v>596</v>
      </c>
      <c r="C62" s="120" t="s">
        <v>1122</v>
      </c>
      <c r="D62" s="119" t="s">
        <v>601</v>
      </c>
      <c r="E62" s="121">
        <v>291557.51736486616</v>
      </c>
      <c r="F62" s="121">
        <v>262401.76562837954</v>
      </c>
      <c r="G62" s="121">
        <v>262401.76562837954</v>
      </c>
      <c r="H62" s="121">
        <v>458262</v>
      </c>
      <c r="I62" s="122">
        <v>0.54118319053447572</v>
      </c>
      <c r="J62" s="123" t="b">
        <v>0</v>
      </c>
      <c r="K62" s="121">
        <v>248003.69126070992</v>
      </c>
      <c r="L62" s="121">
        <v>2241199.25</v>
      </c>
      <c r="M62" s="121">
        <v>248003.69126070992</v>
      </c>
      <c r="N62" s="124" t="s">
        <v>1251</v>
      </c>
      <c r="O62" s="122">
        <v>0.1669785218146681</v>
      </c>
      <c r="P62" s="121">
        <v>41411.289771294665</v>
      </c>
      <c r="Q62" s="121">
        <v>30584337.966695067</v>
      </c>
    </row>
    <row r="63" spans="1:17" s="119" customFormat="1" ht="15" x14ac:dyDescent="0.25">
      <c r="A63" s="118" t="s">
        <v>660</v>
      </c>
      <c r="B63" s="119" t="s">
        <v>657</v>
      </c>
      <c r="C63" s="120" t="s">
        <v>1153</v>
      </c>
      <c r="D63" s="119" t="s">
        <v>463</v>
      </c>
      <c r="E63" s="121">
        <v>264142.439938911</v>
      </c>
      <c r="F63" s="121">
        <v>264142.439938911</v>
      </c>
      <c r="G63" s="121">
        <v>264142.439938911</v>
      </c>
      <c r="H63" s="121">
        <v>671175</v>
      </c>
      <c r="I63" s="122">
        <v>0.97681103871215025</v>
      </c>
      <c r="J63" s="123" t="b">
        <v>0</v>
      </c>
      <c r="K63" s="121">
        <v>655611.14890762744</v>
      </c>
      <c r="L63" s="121">
        <v>330174.25</v>
      </c>
      <c r="M63" s="121">
        <v>330174.25</v>
      </c>
      <c r="N63" s="124" t="s">
        <v>1263</v>
      </c>
      <c r="O63" s="122">
        <v>0.24530731446025422</v>
      </c>
      <c r="P63" s="121">
        <v>80994.15857142859</v>
      </c>
      <c r="Q63" s="121">
        <v>30665332.125266496</v>
      </c>
    </row>
    <row r="64" spans="1:17" s="119" customFormat="1" ht="15" x14ac:dyDescent="0.25">
      <c r="A64" s="118" t="s">
        <v>385</v>
      </c>
      <c r="B64" s="119" t="s">
        <v>383</v>
      </c>
      <c r="C64" s="120" t="s">
        <v>1106</v>
      </c>
      <c r="D64" s="119" t="s">
        <v>50</v>
      </c>
      <c r="E64" s="121">
        <v>266726.99700162944</v>
      </c>
      <c r="F64" s="121">
        <v>266726.99700162944</v>
      </c>
      <c r="G64" s="121">
        <v>266726.99700162944</v>
      </c>
      <c r="H64" s="121">
        <v>931900</v>
      </c>
      <c r="I64" s="122">
        <v>0.25271002710027102</v>
      </c>
      <c r="J64" s="123" t="b">
        <v>0</v>
      </c>
      <c r="K64" s="121">
        <v>235500.47425474256</v>
      </c>
      <c r="L64" s="121">
        <v>1090675.75</v>
      </c>
      <c r="M64" s="121">
        <v>235500.47425474256</v>
      </c>
      <c r="N64" s="124" t="s">
        <v>1251</v>
      </c>
      <c r="O64" s="122">
        <v>0.23792286570963017</v>
      </c>
      <c r="P64" s="121">
        <v>56030.947710665328</v>
      </c>
      <c r="Q64" s="121">
        <v>30721363.072977163</v>
      </c>
    </row>
    <row r="65" spans="1:17" s="119" customFormat="1" ht="15" x14ac:dyDescent="0.25">
      <c r="A65" s="118" t="s">
        <v>897</v>
      </c>
      <c r="B65" s="119" t="s">
        <v>1248</v>
      </c>
      <c r="C65" s="120" t="s">
        <v>1067</v>
      </c>
      <c r="D65" s="119" t="s">
        <v>1236</v>
      </c>
      <c r="E65" s="121">
        <v>268238.53749999998</v>
      </c>
      <c r="F65" s="121">
        <v>268238.53749999998</v>
      </c>
      <c r="G65" s="121">
        <v>268238.53749999998</v>
      </c>
      <c r="H65" s="121">
        <v>58422</v>
      </c>
      <c r="I65" s="122">
        <v>0.7</v>
      </c>
      <c r="J65" s="123" t="b">
        <v>0</v>
      </c>
      <c r="K65" s="121">
        <v>40895.399999999994</v>
      </c>
      <c r="L65" s="121">
        <v>100000</v>
      </c>
      <c r="M65" s="121">
        <v>40895.399999999994</v>
      </c>
      <c r="N65" s="124" t="s">
        <v>1251</v>
      </c>
      <c r="O65" s="122">
        <v>0.23360417857142868</v>
      </c>
      <c r="P65" s="121">
        <v>9553.3363243500025</v>
      </c>
      <c r="Q65" s="121">
        <v>30730916.409301512</v>
      </c>
    </row>
    <row r="66" spans="1:17" s="119" customFormat="1" ht="15" x14ac:dyDescent="0.25">
      <c r="A66" s="118" t="s">
        <v>214</v>
      </c>
      <c r="B66" s="119" t="s">
        <v>211</v>
      </c>
      <c r="C66" s="120" t="s">
        <v>1142</v>
      </c>
      <c r="D66" s="119" t="s">
        <v>770</v>
      </c>
      <c r="E66" s="121">
        <v>301767.99585132569</v>
      </c>
      <c r="F66" s="121">
        <v>271591.19626619312</v>
      </c>
      <c r="G66" s="121">
        <v>271591.19626619312</v>
      </c>
      <c r="H66" s="121">
        <v>903544</v>
      </c>
      <c r="I66" s="122">
        <v>0.58888022480002489</v>
      </c>
      <c r="J66" s="123" t="b">
        <v>0</v>
      </c>
      <c r="K66" s="121">
        <v>532079.19383671368</v>
      </c>
      <c r="L66" s="121">
        <v>3494128.2500000005</v>
      </c>
      <c r="M66" s="121">
        <v>532079.19383671368</v>
      </c>
      <c r="N66" s="124" t="s">
        <v>1251</v>
      </c>
      <c r="O66" s="122">
        <v>0.1378057261390695</v>
      </c>
      <c r="P66" s="121">
        <v>73323.55967015904</v>
      </c>
      <c r="Q66" s="121">
        <v>30804239.96897167</v>
      </c>
    </row>
    <row r="67" spans="1:17" s="119" customFormat="1" ht="15" x14ac:dyDescent="0.25">
      <c r="A67" s="118" t="s">
        <v>381</v>
      </c>
      <c r="B67" s="119" t="s">
        <v>378</v>
      </c>
      <c r="C67" s="120" t="s">
        <v>1059</v>
      </c>
      <c r="D67" s="119" t="s">
        <v>1236</v>
      </c>
      <c r="E67" s="121">
        <v>305126.64433975634</v>
      </c>
      <c r="F67" s="121">
        <v>274613.9799057807</v>
      </c>
      <c r="G67" s="121">
        <v>274613.9799057807</v>
      </c>
      <c r="H67" s="121">
        <v>2081125</v>
      </c>
      <c r="I67" s="122">
        <v>1</v>
      </c>
      <c r="J67" s="123" t="b">
        <v>0</v>
      </c>
      <c r="K67" s="121">
        <v>2081125</v>
      </c>
      <c r="L67" s="121">
        <v>2527667.25</v>
      </c>
      <c r="M67" s="121">
        <v>2081125</v>
      </c>
      <c r="N67" s="124" t="s">
        <v>1251</v>
      </c>
      <c r="O67" s="122">
        <v>0.12820958760069612</v>
      </c>
      <c r="P67" s="121">
        <v>266820.1779954987</v>
      </c>
      <c r="Q67" s="121">
        <v>31071060.146967169</v>
      </c>
    </row>
    <row r="68" spans="1:17" s="119" customFormat="1" ht="15" x14ac:dyDescent="0.25">
      <c r="A68" s="118" t="s">
        <v>896</v>
      </c>
      <c r="B68" s="119" t="s">
        <v>936</v>
      </c>
      <c r="C68" s="120" t="s">
        <v>1008</v>
      </c>
      <c r="D68" s="119" t="s">
        <v>763</v>
      </c>
      <c r="E68" s="121">
        <v>282128.5005442542</v>
      </c>
      <c r="F68" s="121">
        <v>282128.5005442542</v>
      </c>
      <c r="G68" s="121">
        <v>282128.5005442542</v>
      </c>
      <c r="H68" s="121">
        <v>222925</v>
      </c>
      <c r="I68" s="122">
        <v>0.85984522785898543</v>
      </c>
      <c r="J68" s="123" t="b">
        <v>0</v>
      </c>
      <c r="K68" s="121">
        <v>191680.99742046432</v>
      </c>
      <c r="L68" s="121">
        <v>247586.5</v>
      </c>
      <c r="M68" s="121">
        <v>191680.99742046432</v>
      </c>
      <c r="N68" s="124" t="s">
        <v>1251</v>
      </c>
      <c r="O68" s="122">
        <v>0.19391856987355938</v>
      </c>
      <c r="P68" s="121">
        <v>37170.504891713863</v>
      </c>
      <c r="Q68" s="121">
        <v>31108230.651858881</v>
      </c>
    </row>
    <row r="69" spans="1:17" s="119" customFormat="1" ht="15" x14ac:dyDescent="0.25">
      <c r="A69" s="118" t="s">
        <v>389</v>
      </c>
      <c r="B69" s="119" t="s">
        <v>387</v>
      </c>
      <c r="C69" s="120" t="s">
        <v>1045</v>
      </c>
      <c r="D69" s="119" t="s">
        <v>72</v>
      </c>
      <c r="E69" s="121">
        <v>284321.94302002207</v>
      </c>
      <c r="F69" s="121">
        <v>284321.94302002207</v>
      </c>
      <c r="G69" s="121">
        <v>284321.94302002207</v>
      </c>
      <c r="H69" s="121">
        <v>454425</v>
      </c>
      <c r="I69" s="122">
        <v>0.76470588235294112</v>
      </c>
      <c r="J69" s="123" t="b">
        <v>0</v>
      </c>
      <c r="K69" s="121">
        <v>347501.47058823524</v>
      </c>
      <c r="L69" s="121">
        <v>126123.25000000001</v>
      </c>
      <c r="M69" s="121">
        <v>126123.25000000001</v>
      </c>
      <c r="N69" s="124" t="s">
        <v>1263</v>
      </c>
      <c r="O69" s="122">
        <v>0.18765159137136556</v>
      </c>
      <c r="P69" s="121">
        <v>23667.228571428583</v>
      </c>
      <c r="Q69" s="121">
        <v>31131897.880430311</v>
      </c>
    </row>
    <row r="70" spans="1:17" s="119" customFormat="1" ht="15" x14ac:dyDescent="0.25">
      <c r="A70" s="118" t="s">
        <v>438</v>
      </c>
      <c r="B70" s="119" t="s">
        <v>436</v>
      </c>
      <c r="C70" s="120" t="s">
        <v>1154</v>
      </c>
      <c r="D70" s="119" t="s">
        <v>35</v>
      </c>
      <c r="E70" s="121">
        <v>302685.16446074285</v>
      </c>
      <c r="F70" s="121">
        <v>287550.90623770567</v>
      </c>
      <c r="G70" s="121">
        <v>287550.90623770567</v>
      </c>
      <c r="H70" s="121">
        <v>3097038</v>
      </c>
      <c r="I70" s="122">
        <v>1</v>
      </c>
      <c r="J70" s="123" t="b">
        <v>0</v>
      </c>
      <c r="K70" s="121">
        <v>3097038</v>
      </c>
      <c r="L70" s="121">
        <v>1333190.5000000002</v>
      </c>
      <c r="M70" s="121">
        <v>1333190.5000000002</v>
      </c>
      <c r="N70" s="124" t="s">
        <v>1263</v>
      </c>
      <c r="O70" s="122">
        <v>0.1351852443978776</v>
      </c>
      <c r="P70" s="121">
        <v>180227.68357142867</v>
      </c>
      <c r="Q70" s="121">
        <v>31312125.564001739</v>
      </c>
    </row>
    <row r="71" spans="1:17" s="119" customFormat="1" ht="15" x14ac:dyDescent="0.25">
      <c r="A71" s="118" t="s">
        <v>438</v>
      </c>
      <c r="B71" s="119" t="s">
        <v>436</v>
      </c>
      <c r="C71" s="120" t="s">
        <v>1177</v>
      </c>
      <c r="D71" s="119" t="s">
        <v>29</v>
      </c>
      <c r="E71" s="121">
        <v>302685.16446074285</v>
      </c>
      <c r="F71" s="121">
        <v>287550.90623770567</v>
      </c>
      <c r="G71" s="121">
        <v>287550.90623770567</v>
      </c>
      <c r="H71" s="121">
        <v>356175</v>
      </c>
      <c r="I71" s="122">
        <v>1</v>
      </c>
      <c r="J71" s="123" t="b">
        <v>0</v>
      </c>
      <c r="K71" s="121">
        <v>356175</v>
      </c>
      <c r="L71" s="121">
        <v>1333190.5000000002</v>
      </c>
      <c r="M71" s="121">
        <v>0</v>
      </c>
      <c r="N71" s="124" t="s">
        <v>1263</v>
      </c>
      <c r="O71" s="122">
        <v>0.1351852443978776</v>
      </c>
      <c r="P71" s="121">
        <v>0</v>
      </c>
      <c r="Q71" s="121">
        <v>31312125.564001739</v>
      </c>
    </row>
    <row r="72" spans="1:17" s="119" customFormat="1" ht="15" x14ac:dyDescent="0.25">
      <c r="A72" s="118" t="s">
        <v>438</v>
      </c>
      <c r="B72" s="125" t="s">
        <v>436</v>
      </c>
      <c r="C72" s="120" t="s">
        <v>1192</v>
      </c>
      <c r="D72" s="125" t="s">
        <v>194</v>
      </c>
      <c r="E72" s="133">
        <v>302685.16446074285</v>
      </c>
      <c r="F72" s="134">
        <v>287550.90623770567</v>
      </c>
      <c r="G72" s="133">
        <v>287550.90623770567</v>
      </c>
      <c r="H72" s="121">
        <v>1772819</v>
      </c>
      <c r="I72" s="126">
        <v>1</v>
      </c>
      <c r="J72" s="123" t="b">
        <v>0</v>
      </c>
      <c r="K72" s="121">
        <v>1772819</v>
      </c>
      <c r="L72" s="121">
        <v>1333190.5000000002</v>
      </c>
      <c r="M72" s="121">
        <v>0</v>
      </c>
      <c r="N72" s="124" t="s">
        <v>1263</v>
      </c>
      <c r="O72" s="126">
        <v>0.1351852443978776</v>
      </c>
      <c r="P72" s="121">
        <v>0</v>
      </c>
      <c r="Q72" s="121">
        <v>31312125.564001739</v>
      </c>
    </row>
    <row r="73" spans="1:17" s="119" customFormat="1" ht="15" x14ac:dyDescent="0.25">
      <c r="A73" s="118" t="s">
        <v>99</v>
      </c>
      <c r="B73" s="119" t="s">
        <v>95</v>
      </c>
      <c r="C73" s="120" t="s">
        <v>1181</v>
      </c>
      <c r="D73" s="119" t="s">
        <v>96</v>
      </c>
      <c r="E73" s="121">
        <v>290275.10080367676</v>
      </c>
      <c r="F73" s="121">
        <v>290275.10080367676</v>
      </c>
      <c r="G73" s="121">
        <v>290275.10080367676</v>
      </c>
      <c r="H73" s="121">
        <v>1436162</v>
      </c>
      <c r="I73" s="122">
        <v>1</v>
      </c>
      <c r="J73" s="123" t="b">
        <v>0</v>
      </c>
      <c r="K73" s="121">
        <v>1436162</v>
      </c>
      <c r="L73" s="121">
        <v>1589413.7500000005</v>
      </c>
      <c r="M73" s="121">
        <v>1436162</v>
      </c>
      <c r="N73" s="124" t="s">
        <v>1251</v>
      </c>
      <c r="O73" s="122">
        <v>0.1706425691323521</v>
      </c>
      <c r="P73" s="121">
        <v>245070.37337025706</v>
      </c>
      <c r="Q73" s="121">
        <v>31557195.937371995</v>
      </c>
    </row>
    <row r="74" spans="1:17" s="119" customFormat="1" ht="15" x14ac:dyDescent="0.25">
      <c r="A74" s="118" t="s">
        <v>401</v>
      </c>
      <c r="B74" s="119" t="s">
        <v>399</v>
      </c>
      <c r="C74" s="120" t="s">
        <v>1131</v>
      </c>
      <c r="D74" s="119" t="s">
        <v>45</v>
      </c>
      <c r="E74" s="121">
        <v>290618.15524743497</v>
      </c>
      <c r="F74" s="121">
        <v>290618.15524743497</v>
      </c>
      <c r="G74" s="121">
        <v>290618.15524743497</v>
      </c>
      <c r="H74" s="121">
        <v>31500</v>
      </c>
      <c r="I74" s="122">
        <v>1</v>
      </c>
      <c r="J74" s="123" t="b">
        <v>0</v>
      </c>
      <c r="K74" s="121">
        <v>31500</v>
      </c>
      <c r="L74" s="121">
        <v>189716.5</v>
      </c>
      <c r="M74" s="121">
        <v>31500</v>
      </c>
      <c r="N74" s="124" t="s">
        <v>1251</v>
      </c>
      <c r="O74" s="122">
        <v>0.16966241357875722</v>
      </c>
      <c r="P74" s="121">
        <v>5344.3660277308527</v>
      </c>
      <c r="Q74" s="121">
        <v>31562540.303399727</v>
      </c>
    </row>
    <row r="75" spans="1:17" s="119" customFormat="1" ht="15" x14ac:dyDescent="0.25">
      <c r="A75" s="127" t="s">
        <v>401</v>
      </c>
      <c r="B75" s="128" t="s">
        <v>399</v>
      </c>
      <c r="C75" s="120" t="s">
        <v>1014</v>
      </c>
      <c r="D75" s="128" t="s">
        <v>126</v>
      </c>
      <c r="E75" s="132">
        <v>290618.15524743497</v>
      </c>
      <c r="F75" s="132">
        <v>290618.15524743497</v>
      </c>
      <c r="G75" s="132">
        <v>290618.15524743497</v>
      </c>
      <c r="H75" s="121">
        <v>156750</v>
      </c>
      <c r="I75" s="129">
        <v>1</v>
      </c>
      <c r="J75" s="123" t="b">
        <v>0</v>
      </c>
      <c r="K75" s="121">
        <v>156750</v>
      </c>
      <c r="L75" s="121">
        <v>189716.5</v>
      </c>
      <c r="M75" s="121">
        <v>156750</v>
      </c>
      <c r="N75" s="124" t="s">
        <v>1251</v>
      </c>
      <c r="O75" s="129">
        <v>0.16966241357875722</v>
      </c>
      <c r="P75" s="121">
        <v>26594.583328470195</v>
      </c>
      <c r="Q75" s="121">
        <v>31589134.886728197</v>
      </c>
    </row>
    <row r="76" spans="1:17" s="119" customFormat="1" ht="15" x14ac:dyDescent="0.25">
      <c r="A76" s="118" t="s">
        <v>892</v>
      </c>
      <c r="B76" s="119" t="s">
        <v>932</v>
      </c>
      <c r="C76" s="120" t="s">
        <v>1076</v>
      </c>
      <c r="D76" s="119" t="s">
        <v>72</v>
      </c>
      <c r="E76" s="121">
        <v>297159.54615569615</v>
      </c>
      <c r="F76" s="121">
        <v>297159.54615569615</v>
      </c>
      <c r="G76" s="121">
        <v>297159.54615569615</v>
      </c>
      <c r="H76" s="121">
        <v>216035</v>
      </c>
      <c r="I76" s="122">
        <v>0.98467120181405898</v>
      </c>
      <c r="J76" s="123" t="b">
        <v>0</v>
      </c>
      <c r="K76" s="121">
        <v>212723.44308390023</v>
      </c>
      <c r="L76" s="121">
        <v>816028.75</v>
      </c>
      <c r="M76" s="121">
        <v>212723.44308390023</v>
      </c>
      <c r="N76" s="124" t="s">
        <v>1251</v>
      </c>
      <c r="O76" s="122">
        <v>0.15097272526943961</v>
      </c>
      <c r="P76" s="121">
        <v>32115.437931074943</v>
      </c>
      <c r="Q76" s="121">
        <v>31621250.324659273</v>
      </c>
    </row>
    <row r="77" spans="1:17" s="119" customFormat="1" ht="15" x14ac:dyDescent="0.25">
      <c r="A77" s="118" t="s">
        <v>893</v>
      </c>
      <c r="B77" s="119" t="s">
        <v>933</v>
      </c>
      <c r="C77" s="120" t="s">
        <v>1062</v>
      </c>
      <c r="D77" s="119" t="s">
        <v>86</v>
      </c>
      <c r="E77" s="121">
        <v>297923.59662011842</v>
      </c>
      <c r="F77" s="121">
        <v>297923.59662011842</v>
      </c>
      <c r="G77" s="121">
        <v>297923.59662011842</v>
      </c>
      <c r="H77" s="121">
        <v>603475</v>
      </c>
      <c r="I77" s="122">
        <v>0.88151559978778127</v>
      </c>
      <c r="J77" s="123" t="b">
        <v>0</v>
      </c>
      <c r="K77" s="121">
        <v>531972.62658193125</v>
      </c>
      <c r="L77" s="121">
        <v>796951</v>
      </c>
      <c r="M77" s="121">
        <v>531972.62658193125</v>
      </c>
      <c r="N77" s="124" t="s">
        <v>1251</v>
      </c>
      <c r="O77" s="122">
        <v>0.14878972394251877</v>
      </c>
      <c r="P77" s="121">
        <v>79152.06025410218</v>
      </c>
      <c r="Q77" s="121">
        <v>31700402.384913374</v>
      </c>
    </row>
    <row r="78" spans="1:17" s="119" customFormat="1" ht="15" x14ac:dyDescent="0.25">
      <c r="A78" s="118" t="s">
        <v>70</v>
      </c>
      <c r="B78" s="125" t="s">
        <v>66</v>
      </c>
      <c r="C78" s="120" t="s">
        <v>1054</v>
      </c>
      <c r="D78" s="125" t="s">
        <v>86</v>
      </c>
      <c r="E78" s="133">
        <v>302898.27956959762</v>
      </c>
      <c r="F78" s="134">
        <v>302898.27956959762</v>
      </c>
      <c r="G78" s="133">
        <v>302898.27956959762</v>
      </c>
      <c r="H78" s="121">
        <v>7301732</v>
      </c>
      <c r="I78" s="126">
        <v>0.98183902179770999</v>
      </c>
      <c r="J78" s="123" t="b">
        <v>0</v>
      </c>
      <c r="K78" s="121">
        <v>7169125.4043090362</v>
      </c>
      <c r="L78" s="121">
        <v>11850886.25</v>
      </c>
      <c r="M78" s="121">
        <v>7169125.4043090362</v>
      </c>
      <c r="N78" s="124" t="s">
        <v>1251</v>
      </c>
      <c r="O78" s="126">
        <v>0.13457634408686392</v>
      </c>
      <c r="P78" s="121">
        <v>964794.68721217022</v>
      </c>
      <c r="Q78" s="121">
        <v>32665197.072125543</v>
      </c>
    </row>
    <row r="79" spans="1:17" s="119" customFormat="1" ht="15" x14ac:dyDescent="0.25">
      <c r="A79" s="118" t="s">
        <v>668</v>
      </c>
      <c r="B79" s="119" t="s">
        <v>666</v>
      </c>
      <c r="C79" s="120" t="s">
        <v>1060</v>
      </c>
      <c r="D79" s="119" t="s">
        <v>72</v>
      </c>
      <c r="E79" s="121">
        <v>344244</v>
      </c>
      <c r="F79" s="121">
        <v>309820</v>
      </c>
      <c r="G79" s="121">
        <v>309820</v>
      </c>
      <c r="H79" s="121">
        <v>2815657</v>
      </c>
      <c r="I79" s="122">
        <v>1</v>
      </c>
      <c r="J79" s="123" t="b">
        <v>0</v>
      </c>
      <c r="K79" s="121">
        <v>2815657</v>
      </c>
      <c r="L79" s="121">
        <v>1050671.25</v>
      </c>
      <c r="M79" s="121">
        <v>1050671.25</v>
      </c>
      <c r="N79" s="124" t="s">
        <v>1263</v>
      </c>
      <c r="O79" s="122">
        <v>1.6400000000000001E-2</v>
      </c>
      <c r="P79" s="121">
        <v>17231.0085</v>
      </c>
      <c r="Q79" s="121">
        <v>32682428.080625542</v>
      </c>
    </row>
    <row r="80" spans="1:17" s="119" customFormat="1" ht="15" x14ac:dyDescent="0.25">
      <c r="A80" s="118" t="s">
        <v>335</v>
      </c>
      <c r="B80" s="119" t="s">
        <v>331</v>
      </c>
      <c r="C80" s="120" t="s">
        <v>1087</v>
      </c>
      <c r="D80" s="119" t="s">
        <v>332</v>
      </c>
      <c r="E80" s="121">
        <v>312071.02277483093</v>
      </c>
      <c r="F80" s="121">
        <v>312071.02277483093</v>
      </c>
      <c r="G80" s="121">
        <v>312071.02277483093</v>
      </c>
      <c r="H80" s="121">
        <v>1444350</v>
      </c>
      <c r="I80" s="122">
        <v>0.82652563669779822</v>
      </c>
      <c r="J80" s="123" t="b">
        <v>0</v>
      </c>
      <c r="K80" s="121">
        <v>1193792.3033644648</v>
      </c>
      <c r="L80" s="121">
        <v>1388846.7500000002</v>
      </c>
      <c r="M80" s="121">
        <v>1193792.3033644648</v>
      </c>
      <c r="N80" s="124" t="s">
        <v>1251</v>
      </c>
      <c r="O80" s="122">
        <v>0.10836850635762596</v>
      </c>
      <c r="P80" s="121">
        <v>129369.48881683694</v>
      </c>
      <c r="Q80" s="121">
        <v>32811797.56944238</v>
      </c>
    </row>
    <row r="81" spans="1:17" s="119" customFormat="1" ht="15" x14ac:dyDescent="0.25">
      <c r="A81" s="118" t="s">
        <v>335</v>
      </c>
      <c r="B81" s="119" t="s">
        <v>331</v>
      </c>
      <c r="C81" s="120" t="s">
        <v>1090</v>
      </c>
      <c r="D81" s="119" t="s">
        <v>35</v>
      </c>
      <c r="E81" s="121">
        <v>312071.02277483093</v>
      </c>
      <c r="F81" s="121">
        <v>312071.02277483093</v>
      </c>
      <c r="G81" s="121">
        <v>312071.02277483093</v>
      </c>
      <c r="H81" s="121">
        <v>938644</v>
      </c>
      <c r="I81" s="122">
        <v>1</v>
      </c>
      <c r="J81" s="123" t="b">
        <v>0</v>
      </c>
      <c r="K81" s="121">
        <v>938644</v>
      </c>
      <c r="L81" s="121">
        <v>1388846.7500000002</v>
      </c>
      <c r="M81" s="121">
        <v>195054.44663553522</v>
      </c>
      <c r="N81" s="124" t="s">
        <v>1263</v>
      </c>
      <c r="O81" s="122">
        <v>0.10836850635762596</v>
      </c>
      <c r="P81" s="121">
        <v>21137.759040306213</v>
      </c>
      <c r="Q81" s="121">
        <v>32832935.328482687</v>
      </c>
    </row>
    <row r="82" spans="1:17" s="119" customFormat="1" ht="15" x14ac:dyDescent="0.25">
      <c r="A82" s="118" t="s">
        <v>643</v>
      </c>
      <c r="B82" s="125" t="s">
        <v>641</v>
      </c>
      <c r="C82" s="120" t="s">
        <v>1190</v>
      </c>
      <c r="D82" s="119" t="s">
        <v>194</v>
      </c>
      <c r="E82" s="133">
        <v>313653.23468712141</v>
      </c>
      <c r="F82" s="134">
        <v>313653.23468712141</v>
      </c>
      <c r="G82" s="133">
        <v>313653.23468712141</v>
      </c>
      <c r="H82" s="121">
        <v>632262</v>
      </c>
      <c r="I82" s="126">
        <v>1</v>
      </c>
      <c r="J82" s="123" t="b">
        <v>0</v>
      </c>
      <c r="K82" s="121">
        <v>632262</v>
      </c>
      <c r="L82" s="121">
        <v>290364.25</v>
      </c>
      <c r="M82" s="121">
        <v>290364.25</v>
      </c>
      <c r="N82" s="124" t="s">
        <v>1263</v>
      </c>
      <c r="O82" s="126">
        <v>0.1038479008939388</v>
      </c>
      <c r="P82" s="121">
        <v>30153.71785714287</v>
      </c>
      <c r="Q82" s="121">
        <v>32863089.046339829</v>
      </c>
    </row>
    <row r="83" spans="1:17" s="119" customFormat="1" ht="15" x14ac:dyDescent="0.25">
      <c r="A83" s="118" t="s">
        <v>434</v>
      </c>
      <c r="B83" s="119" t="s">
        <v>430</v>
      </c>
      <c r="C83" s="120" t="s">
        <v>1111</v>
      </c>
      <c r="D83" s="119" t="s">
        <v>431</v>
      </c>
      <c r="E83" s="121">
        <v>318223</v>
      </c>
      <c r="F83" s="121">
        <v>318223</v>
      </c>
      <c r="G83" s="121">
        <v>318223</v>
      </c>
      <c r="H83" s="121">
        <v>784147</v>
      </c>
      <c r="I83" s="122">
        <v>0.92</v>
      </c>
      <c r="J83" s="123" t="b">
        <v>0</v>
      </c>
      <c r="K83" s="121">
        <v>721415.24</v>
      </c>
      <c r="L83" s="121">
        <v>2185822</v>
      </c>
      <c r="M83" s="121">
        <v>721415.24</v>
      </c>
      <c r="N83" s="124" t="s">
        <v>1251</v>
      </c>
      <c r="O83" s="122">
        <v>9.0800000000000006E-2</v>
      </c>
      <c r="P83" s="121">
        <v>65504.503792000003</v>
      </c>
      <c r="Q83" s="121">
        <v>32928593.550131828</v>
      </c>
    </row>
    <row r="84" spans="1:17" s="119" customFormat="1" ht="15" x14ac:dyDescent="0.25">
      <c r="A84" s="118" t="s">
        <v>26</v>
      </c>
      <c r="B84" s="119" t="s">
        <v>21</v>
      </c>
      <c r="C84" s="120" t="s">
        <v>1128</v>
      </c>
      <c r="D84" s="119" t="s">
        <v>23</v>
      </c>
      <c r="E84" s="121">
        <v>318389.25519833266</v>
      </c>
      <c r="F84" s="121">
        <v>318389.25519833266</v>
      </c>
      <c r="G84" s="121">
        <v>318389.25519833266</v>
      </c>
      <c r="H84" s="121">
        <v>390744</v>
      </c>
      <c r="I84" s="122">
        <v>1</v>
      </c>
      <c r="J84" s="123" t="b">
        <v>0</v>
      </c>
      <c r="K84" s="121">
        <v>390744</v>
      </c>
      <c r="L84" s="121">
        <v>195038.5</v>
      </c>
      <c r="M84" s="121">
        <v>195038.5</v>
      </c>
      <c r="N84" s="124" t="s">
        <v>1263</v>
      </c>
      <c r="O84" s="122">
        <v>9.0316413719049526E-2</v>
      </c>
      <c r="P84" s="121">
        <v>17615.17785714284</v>
      </c>
      <c r="Q84" s="121">
        <v>32946208.72798897</v>
      </c>
    </row>
    <row r="85" spans="1:17" s="119" customFormat="1" ht="15" x14ac:dyDescent="0.25">
      <c r="A85" s="118" t="s">
        <v>447</v>
      </c>
      <c r="B85" s="125" t="s">
        <v>444</v>
      </c>
      <c r="C85" s="120" t="s">
        <v>973</v>
      </c>
      <c r="D85" s="125" t="s">
        <v>1236</v>
      </c>
      <c r="E85" s="133">
        <v>338531.16477485996</v>
      </c>
      <c r="F85" s="134">
        <v>321604.60653611697</v>
      </c>
      <c r="G85" s="133">
        <v>321604.60653611697</v>
      </c>
      <c r="H85" s="121">
        <v>2848025</v>
      </c>
      <c r="I85" s="126">
        <v>1</v>
      </c>
      <c r="J85" s="123" t="b">
        <v>0</v>
      </c>
      <c r="K85" s="121">
        <v>2848025</v>
      </c>
      <c r="L85" s="121">
        <v>9554380.75</v>
      </c>
      <c r="M85" s="121">
        <v>2848025</v>
      </c>
      <c r="N85" s="124" t="s">
        <v>1251</v>
      </c>
      <c r="O85" s="126">
        <v>3.2768100643257192E-2</v>
      </c>
      <c r="P85" s="121">
        <v>93324.369834512559</v>
      </c>
      <c r="Q85" s="121">
        <v>33039533.097823482</v>
      </c>
    </row>
    <row r="86" spans="1:17" s="119" customFormat="1" ht="15" x14ac:dyDescent="0.25">
      <c r="A86" s="118" t="s">
        <v>79</v>
      </c>
      <c r="B86" s="119" t="s">
        <v>76</v>
      </c>
      <c r="C86" s="120" t="s">
        <v>1072</v>
      </c>
      <c r="D86" s="119" t="s">
        <v>72</v>
      </c>
      <c r="E86" s="121">
        <v>324643</v>
      </c>
      <c r="F86" s="121">
        <v>324643</v>
      </c>
      <c r="G86" s="121">
        <v>324643</v>
      </c>
      <c r="H86" s="121">
        <v>2426048</v>
      </c>
      <c r="I86" s="122">
        <v>1</v>
      </c>
      <c r="J86" s="123" t="b">
        <v>0</v>
      </c>
      <c r="K86" s="121">
        <v>2426048</v>
      </c>
      <c r="L86" s="121">
        <v>2345965.5000000005</v>
      </c>
      <c r="M86" s="121">
        <v>2345965.5000000005</v>
      </c>
      <c r="N86" s="124" t="s">
        <v>1263</v>
      </c>
      <c r="O86" s="122">
        <v>7.2400000000000006E-2</v>
      </c>
      <c r="P86" s="121">
        <v>169847.90220000004</v>
      </c>
      <c r="Q86" s="121">
        <v>33209381.000023481</v>
      </c>
    </row>
    <row r="87" spans="1:17" s="119" customFormat="1" ht="15" x14ac:dyDescent="0.25">
      <c r="A87" s="118" t="s">
        <v>915</v>
      </c>
      <c r="B87" s="119" t="s">
        <v>955</v>
      </c>
      <c r="C87" s="120" t="s">
        <v>992</v>
      </c>
      <c r="D87" s="119" t="s">
        <v>773</v>
      </c>
      <c r="E87" s="121">
        <v>326539.02232148021</v>
      </c>
      <c r="F87" s="121">
        <v>326539.02232148021</v>
      </c>
      <c r="G87" s="121">
        <v>326539.02232148021</v>
      </c>
      <c r="H87" s="121">
        <v>875000</v>
      </c>
      <c r="I87" s="122">
        <v>0.75248747999999999</v>
      </c>
      <c r="J87" s="123" t="b">
        <v>0</v>
      </c>
      <c r="K87" s="121">
        <v>658426.54500000004</v>
      </c>
      <c r="L87" s="121">
        <v>8045927</v>
      </c>
      <c r="M87" s="121">
        <v>658426.54500000004</v>
      </c>
      <c r="N87" s="124" t="s">
        <v>1251</v>
      </c>
      <c r="O87" s="122">
        <v>6.7031364795770876E-2</v>
      </c>
      <c r="P87" s="121">
        <v>44135.229929114052</v>
      </c>
      <c r="Q87" s="121">
        <v>33253516.229952596</v>
      </c>
    </row>
    <row r="88" spans="1:17" s="119" customFormat="1" ht="15" x14ac:dyDescent="0.25">
      <c r="A88" s="118" t="s">
        <v>915</v>
      </c>
      <c r="B88" s="119" t="s">
        <v>955</v>
      </c>
      <c r="C88" s="120" t="s">
        <v>1009</v>
      </c>
      <c r="D88" s="119" t="s">
        <v>29</v>
      </c>
      <c r="E88" s="121">
        <v>326539.02232148021</v>
      </c>
      <c r="F88" s="121">
        <v>326539.02232148021</v>
      </c>
      <c r="G88" s="121">
        <v>326539.02232148021</v>
      </c>
      <c r="H88" s="121">
        <v>2024619</v>
      </c>
      <c r="I88" s="122">
        <v>1</v>
      </c>
      <c r="J88" s="123" t="b">
        <v>0</v>
      </c>
      <c r="K88" s="121">
        <v>2024619</v>
      </c>
      <c r="L88" s="121">
        <v>8045927</v>
      </c>
      <c r="M88" s="121">
        <v>2024619</v>
      </c>
      <c r="N88" s="124" t="s">
        <v>1251</v>
      </c>
      <c r="O88" s="122">
        <v>6.7031364795770876E-2</v>
      </c>
      <c r="P88" s="121">
        <v>135712.97476144883</v>
      </c>
      <c r="Q88" s="121">
        <v>33389229.204714045</v>
      </c>
    </row>
    <row r="89" spans="1:17" s="119" customFormat="1" ht="15" x14ac:dyDescent="0.25">
      <c r="A89" s="127" t="s">
        <v>915</v>
      </c>
      <c r="B89" s="128" t="s">
        <v>955</v>
      </c>
      <c r="C89" s="120" t="s">
        <v>1029</v>
      </c>
      <c r="D89" s="128" t="s">
        <v>194</v>
      </c>
      <c r="E89" s="132">
        <v>326539.02232148021</v>
      </c>
      <c r="F89" s="132">
        <v>326539.02232148021</v>
      </c>
      <c r="G89" s="132">
        <v>326539.02232148021</v>
      </c>
      <c r="H89" s="121">
        <v>2164500</v>
      </c>
      <c r="I89" s="129">
        <v>0.87589204615701632</v>
      </c>
      <c r="J89" s="123" t="b">
        <v>0</v>
      </c>
      <c r="K89" s="121">
        <v>1895868.3339068617</v>
      </c>
      <c r="L89" s="121">
        <v>8045927</v>
      </c>
      <c r="M89" s="121">
        <v>1895868.3339068617</v>
      </c>
      <c r="N89" s="124" t="s">
        <v>1251</v>
      </c>
      <c r="O89" s="129">
        <v>6.7031364795770876E-2</v>
      </c>
      <c r="P89" s="121">
        <v>127082.6418948612</v>
      </c>
      <c r="Q89" s="121">
        <v>33516311.846608907</v>
      </c>
    </row>
    <row r="90" spans="1:17" s="119" customFormat="1" ht="15" x14ac:dyDescent="0.25">
      <c r="A90" s="127" t="s">
        <v>913</v>
      </c>
      <c r="B90" s="128" t="s">
        <v>952</v>
      </c>
      <c r="C90" s="120" t="s">
        <v>1074</v>
      </c>
      <c r="D90" s="128" t="s">
        <v>72</v>
      </c>
      <c r="E90" s="121">
        <v>331085.79531091236</v>
      </c>
      <c r="F90" s="132">
        <v>331085.79531091236</v>
      </c>
      <c r="G90" s="132">
        <v>331085.79531091236</v>
      </c>
      <c r="H90" s="121">
        <v>1704274</v>
      </c>
      <c r="I90" s="129">
        <v>0.95141428861788613</v>
      </c>
      <c r="J90" s="123" t="b">
        <v>0</v>
      </c>
      <c r="K90" s="121">
        <v>1621470.6353199594</v>
      </c>
      <c r="L90" s="121">
        <v>5666667.5000000009</v>
      </c>
      <c r="M90" s="121">
        <v>1621470.6353199594</v>
      </c>
      <c r="N90" s="124" t="s">
        <v>1251</v>
      </c>
      <c r="O90" s="129">
        <v>5.4040584825964633E-2</v>
      </c>
      <c r="P90" s="121">
        <v>87625.221410819024</v>
      </c>
      <c r="Q90" s="121">
        <v>33603937.068019725</v>
      </c>
    </row>
    <row r="91" spans="1:17" s="119" customFormat="1" ht="15" x14ac:dyDescent="0.25">
      <c r="A91" s="118" t="s">
        <v>623</v>
      </c>
      <c r="B91" s="119" t="s">
        <v>621</v>
      </c>
      <c r="C91" s="120" t="s">
        <v>1075</v>
      </c>
      <c r="D91" s="119" t="s">
        <v>194</v>
      </c>
      <c r="E91" s="121">
        <v>332241.06409129454</v>
      </c>
      <c r="F91" s="121">
        <v>332241.06409129454</v>
      </c>
      <c r="G91" s="121">
        <v>332241.06409129454</v>
      </c>
      <c r="H91" s="121">
        <v>3570921</v>
      </c>
      <c r="I91" s="122">
        <v>0.76401104979466117</v>
      </c>
      <c r="J91" s="123" t="b">
        <v>0</v>
      </c>
      <c r="K91" s="121">
        <v>2728223.1019438012</v>
      </c>
      <c r="L91" s="121">
        <v>1222658.25</v>
      </c>
      <c r="M91" s="121">
        <v>1222658.25</v>
      </c>
      <c r="N91" s="124" t="s">
        <v>1263</v>
      </c>
      <c r="O91" s="122">
        <v>5.0739816882015565E-2</v>
      </c>
      <c r="P91" s="121">
        <v>62037.455714285607</v>
      </c>
      <c r="Q91" s="121">
        <v>33665974.523734011</v>
      </c>
    </row>
    <row r="92" spans="1:17" s="119" customFormat="1" ht="15" x14ac:dyDescent="0.25">
      <c r="A92" s="118" t="s">
        <v>907</v>
      </c>
      <c r="B92" s="119" t="s">
        <v>945</v>
      </c>
      <c r="C92" s="120" t="s">
        <v>1031</v>
      </c>
      <c r="D92" s="119" t="s">
        <v>194</v>
      </c>
      <c r="E92" s="121">
        <v>336880.56220322888</v>
      </c>
      <c r="F92" s="121">
        <v>336880.56220322888</v>
      </c>
      <c r="G92" s="121">
        <v>336880.56220322888</v>
      </c>
      <c r="H92" s="121">
        <v>1118412</v>
      </c>
      <c r="I92" s="122">
        <v>1</v>
      </c>
      <c r="J92" s="123" t="b">
        <v>0</v>
      </c>
      <c r="K92" s="121">
        <v>1118412</v>
      </c>
      <c r="L92" s="121">
        <v>230343.75</v>
      </c>
      <c r="M92" s="121">
        <v>230343.75</v>
      </c>
      <c r="N92" s="124" t="s">
        <v>1263</v>
      </c>
      <c r="O92" s="122">
        <v>3.7484107990774618E-2</v>
      </c>
      <c r="P92" s="121">
        <v>8634.2299999999905</v>
      </c>
      <c r="Q92" s="121">
        <v>33674608.753734007</v>
      </c>
    </row>
    <row r="93" spans="1:17" s="119" customFormat="1" ht="15" x14ac:dyDescent="0.25">
      <c r="A93" s="118" t="s">
        <v>38</v>
      </c>
      <c r="B93" s="119" t="s">
        <v>34</v>
      </c>
      <c r="C93" s="120" t="s">
        <v>1155</v>
      </c>
      <c r="D93" s="119" t="s">
        <v>35</v>
      </c>
      <c r="E93" s="121">
        <v>337816.02020519256</v>
      </c>
      <c r="F93" s="121">
        <v>337816.02020519256</v>
      </c>
      <c r="G93" s="121">
        <v>337816.02020519256</v>
      </c>
      <c r="H93" s="121">
        <v>531525</v>
      </c>
      <c r="I93" s="122">
        <v>1</v>
      </c>
      <c r="J93" s="123" t="b">
        <v>0</v>
      </c>
      <c r="K93" s="121">
        <v>531525</v>
      </c>
      <c r="L93" s="121">
        <v>229248.00000000006</v>
      </c>
      <c r="M93" s="121">
        <v>229248.00000000006</v>
      </c>
      <c r="N93" s="124" t="s">
        <v>1263</v>
      </c>
      <c r="O93" s="122">
        <v>3.481137084230701E-2</v>
      </c>
      <c r="P93" s="121">
        <v>7980.4371428571994</v>
      </c>
      <c r="Q93" s="121">
        <v>33682589.190876864</v>
      </c>
    </row>
    <row r="94" spans="1:17" s="119" customFormat="1" ht="15" x14ac:dyDescent="0.25">
      <c r="A94" s="127" t="s">
        <v>38</v>
      </c>
      <c r="B94" s="128" t="s">
        <v>34</v>
      </c>
      <c r="C94" s="120" t="s">
        <v>1165</v>
      </c>
      <c r="D94" s="128" t="s">
        <v>40</v>
      </c>
      <c r="E94" s="121">
        <v>337816.02020519256</v>
      </c>
      <c r="F94" s="121">
        <v>337816.02020519256</v>
      </c>
      <c r="G94" s="121">
        <v>337816.02020519256</v>
      </c>
      <c r="H94" s="121">
        <v>500610</v>
      </c>
      <c r="I94" s="136">
        <v>1</v>
      </c>
      <c r="J94" s="123" t="b">
        <v>0</v>
      </c>
      <c r="K94" s="121">
        <v>500610</v>
      </c>
      <c r="L94" s="121">
        <v>229248.00000000006</v>
      </c>
      <c r="M94" s="121">
        <v>0</v>
      </c>
      <c r="N94" s="124" t="s">
        <v>1263</v>
      </c>
      <c r="O94" s="129">
        <v>3.481137084230701E-2</v>
      </c>
      <c r="P94" s="121">
        <v>0</v>
      </c>
      <c r="Q94" s="121">
        <v>33682589.190876864</v>
      </c>
    </row>
    <row r="95" spans="1:17" s="119" customFormat="1" ht="15" x14ac:dyDescent="0.25">
      <c r="A95" s="118" t="s">
        <v>89</v>
      </c>
      <c r="B95" s="119" t="s">
        <v>87</v>
      </c>
      <c r="C95" s="120" t="s">
        <v>1077</v>
      </c>
      <c r="D95" s="119" t="s">
        <v>72</v>
      </c>
      <c r="E95" s="121">
        <v>347875.2111548098</v>
      </c>
      <c r="F95" s="121">
        <v>347875.2111548098</v>
      </c>
      <c r="G95" s="121">
        <v>347875.2111548098</v>
      </c>
      <c r="H95" s="121">
        <v>12301400</v>
      </c>
      <c r="I95" s="122">
        <v>0.6</v>
      </c>
      <c r="J95" s="123" t="b">
        <v>0</v>
      </c>
      <c r="K95" s="121">
        <v>7380840</v>
      </c>
      <c r="L95" s="121">
        <v>5380531</v>
      </c>
      <c r="M95" s="121">
        <v>5380531</v>
      </c>
      <c r="N95" s="124" t="s">
        <v>1263</v>
      </c>
      <c r="O95" s="122">
        <v>6.0708252719720024E-3</v>
      </c>
      <c r="P95" s="121">
        <v>32664.26357142879</v>
      </c>
      <c r="Q95" s="121">
        <v>33715253.45444829</v>
      </c>
    </row>
    <row r="96" spans="1:17" s="119" customFormat="1" ht="15" x14ac:dyDescent="0.25">
      <c r="A96" s="118" t="s">
        <v>537</v>
      </c>
      <c r="B96" s="119" t="s">
        <v>535</v>
      </c>
      <c r="C96" s="120" t="s">
        <v>1012</v>
      </c>
      <c r="D96" s="119" t="s">
        <v>487</v>
      </c>
      <c r="E96" s="121">
        <v>87582.345209789957</v>
      </c>
      <c r="F96" s="121">
        <v>87582.345209789957</v>
      </c>
      <c r="G96" s="121">
        <v>87582.345209789957</v>
      </c>
      <c r="H96" s="121">
        <v>2606569</v>
      </c>
      <c r="I96" s="122">
        <v>1</v>
      </c>
      <c r="J96" s="123" t="b">
        <v>1</v>
      </c>
      <c r="K96" s="121">
        <v>2606569</v>
      </c>
      <c r="L96" s="121">
        <v>1317585.75</v>
      </c>
      <c r="M96" s="121">
        <v>1317585.75</v>
      </c>
      <c r="N96" s="124" t="s">
        <v>1263</v>
      </c>
      <c r="O96" s="122">
        <v>0.74976472797202875</v>
      </c>
      <c r="P96" s="121">
        <v>987879.32142857148</v>
      </c>
      <c r="Q96" s="121">
        <v>34703132.775876865</v>
      </c>
    </row>
    <row r="97" spans="1:17" s="119" customFormat="1" ht="15" x14ac:dyDescent="0.25">
      <c r="A97" s="143" t="s">
        <v>366</v>
      </c>
      <c r="B97" s="125" t="s">
        <v>364</v>
      </c>
      <c r="C97" s="120" t="s">
        <v>1093</v>
      </c>
      <c r="D97" s="125" t="s">
        <v>29</v>
      </c>
      <c r="E97" s="121">
        <v>102012.7675</v>
      </c>
      <c r="F97" s="121">
        <v>91811.490749999997</v>
      </c>
      <c r="G97" s="121">
        <v>91811.490749999997</v>
      </c>
      <c r="H97" s="121">
        <v>194700</v>
      </c>
      <c r="I97" s="126">
        <v>1</v>
      </c>
      <c r="J97" s="123" t="b">
        <v>1</v>
      </c>
      <c r="K97" s="121">
        <v>194700</v>
      </c>
      <c r="L97" s="121">
        <v>100000</v>
      </c>
      <c r="M97" s="121">
        <v>100000</v>
      </c>
      <c r="N97" s="124" t="s">
        <v>1263</v>
      </c>
      <c r="O97" s="126">
        <v>0.70853495</v>
      </c>
      <c r="P97" s="121">
        <v>70853.494999999995</v>
      </c>
      <c r="Q97" s="121">
        <v>34773986.270876862</v>
      </c>
    </row>
    <row r="98" spans="1:17" s="119" customFormat="1" ht="15" x14ac:dyDescent="0.25">
      <c r="A98" s="118" t="s">
        <v>325</v>
      </c>
      <c r="B98" s="119" t="s">
        <v>323</v>
      </c>
      <c r="C98" s="120" t="s">
        <v>1097</v>
      </c>
      <c r="D98" s="119" t="s">
        <v>194</v>
      </c>
      <c r="E98" s="121">
        <v>94546.08384623329</v>
      </c>
      <c r="F98" s="121">
        <v>94546.08384623329</v>
      </c>
      <c r="G98" s="121">
        <v>94546.08384623329</v>
      </c>
      <c r="H98" s="121">
        <v>3901500</v>
      </c>
      <c r="I98" s="122">
        <v>0.6528559048</v>
      </c>
      <c r="J98" s="123" t="b">
        <v>1</v>
      </c>
      <c r="K98" s="121">
        <v>2547117.3125772001</v>
      </c>
      <c r="L98" s="121">
        <v>2699316.25</v>
      </c>
      <c r="M98" s="121">
        <v>2547117.3125772001</v>
      </c>
      <c r="N98" s="124" t="s">
        <v>1251</v>
      </c>
      <c r="O98" s="122">
        <v>0.73950000000000005</v>
      </c>
      <c r="P98" s="121">
        <v>1883593.2526508395</v>
      </c>
      <c r="Q98" s="121">
        <v>36657579.523527704</v>
      </c>
    </row>
    <row r="99" spans="1:17" s="119" customFormat="1" ht="15" x14ac:dyDescent="0.25">
      <c r="A99" s="118" t="s">
        <v>128</v>
      </c>
      <c r="B99" s="119" t="s">
        <v>125</v>
      </c>
      <c r="C99" s="120" t="s">
        <v>1022</v>
      </c>
      <c r="D99" s="119" t="s">
        <v>126</v>
      </c>
      <c r="E99" s="121">
        <v>96152.817500000005</v>
      </c>
      <c r="F99" s="121">
        <v>96152.817500000005</v>
      </c>
      <c r="G99" s="121">
        <v>96152.817500000005</v>
      </c>
      <c r="H99" s="121">
        <v>90496</v>
      </c>
      <c r="I99" s="122">
        <v>0.25624999999999998</v>
      </c>
      <c r="J99" s="123" t="b">
        <v>1</v>
      </c>
      <c r="K99" s="121">
        <v>23189.599999999999</v>
      </c>
      <c r="L99" s="121">
        <v>100000</v>
      </c>
      <c r="M99" s="121">
        <v>23189.599999999999</v>
      </c>
      <c r="N99" s="124" t="s">
        <v>1251</v>
      </c>
      <c r="O99" s="122">
        <v>0.72527766428571427</v>
      </c>
      <c r="P99" s="121">
        <v>16818.89892372</v>
      </c>
      <c r="Q99" s="121">
        <v>36674398.422451422</v>
      </c>
    </row>
    <row r="100" spans="1:17" s="119" customFormat="1" ht="15" x14ac:dyDescent="0.25">
      <c r="A100" s="119" t="s">
        <v>799</v>
      </c>
      <c r="B100" s="119" t="s">
        <v>931</v>
      </c>
      <c r="C100" s="120" t="s">
        <v>1024</v>
      </c>
      <c r="D100" s="119" t="s">
        <v>194</v>
      </c>
      <c r="E100" s="121">
        <v>118814.02698456046</v>
      </c>
      <c r="F100" s="121">
        <v>112873.32563533244</v>
      </c>
      <c r="G100" s="121">
        <v>112873.32563533244</v>
      </c>
      <c r="H100" s="121">
        <v>299825</v>
      </c>
      <c r="I100" s="122">
        <v>0.86814999999999998</v>
      </c>
      <c r="J100" s="130" t="b">
        <v>1</v>
      </c>
      <c r="K100" s="121">
        <v>260293.07374999998</v>
      </c>
      <c r="L100" s="121">
        <v>126331.5</v>
      </c>
      <c r="M100" s="121">
        <v>126331.5</v>
      </c>
      <c r="N100" s="124" t="s">
        <v>1263</v>
      </c>
      <c r="O100" s="129">
        <v>0.66053135147268438</v>
      </c>
      <c r="P100" s="121">
        <v>83445.916428571421</v>
      </c>
      <c r="Q100" s="121">
        <v>36757844.338879995</v>
      </c>
    </row>
    <row r="101" spans="1:17" s="119" customFormat="1" ht="15" x14ac:dyDescent="0.25">
      <c r="A101" s="118" t="s">
        <v>908</v>
      </c>
      <c r="B101" s="119" t="s">
        <v>946</v>
      </c>
      <c r="C101" s="120" t="s">
        <v>1211</v>
      </c>
      <c r="D101" s="119" t="s">
        <v>194</v>
      </c>
      <c r="E101" s="121">
        <v>147874.5325</v>
      </c>
      <c r="F101" s="121">
        <v>147874.5325</v>
      </c>
      <c r="G101" s="121">
        <v>147874.5325</v>
      </c>
      <c r="H101" s="121">
        <v>156452</v>
      </c>
      <c r="I101" s="122">
        <v>0.96942134831460669</v>
      </c>
      <c r="J101" s="123" t="b">
        <v>1</v>
      </c>
      <c r="K101" s="121">
        <v>151667.90878651684</v>
      </c>
      <c r="L101" s="121">
        <v>100000</v>
      </c>
      <c r="M101" s="121">
        <v>100000</v>
      </c>
      <c r="N101" s="124" t="s">
        <v>1263</v>
      </c>
      <c r="O101" s="122">
        <v>0.57750133571428575</v>
      </c>
      <c r="P101" s="121">
        <v>57750.133571428574</v>
      </c>
      <c r="Q101" s="121">
        <v>36815594.472451426</v>
      </c>
    </row>
    <row r="102" spans="1:17" s="119" customFormat="1" ht="15" x14ac:dyDescent="0.25">
      <c r="A102" s="118" t="s">
        <v>681</v>
      </c>
      <c r="B102" s="119" t="s">
        <v>679</v>
      </c>
      <c r="C102" s="120" t="s">
        <v>1149</v>
      </c>
      <c r="D102" s="119" t="s">
        <v>350</v>
      </c>
      <c r="E102" s="121">
        <v>152720.41942598551</v>
      </c>
      <c r="F102" s="121">
        <v>152720.41942598551</v>
      </c>
      <c r="G102" s="121">
        <v>152720.41942598551</v>
      </c>
      <c r="H102" s="121">
        <v>741719</v>
      </c>
      <c r="I102" s="122">
        <v>0.72404651851851853</v>
      </c>
      <c r="J102" s="123" t="b">
        <v>1</v>
      </c>
      <c r="K102" s="121">
        <v>537039.059669037</v>
      </c>
      <c r="L102" s="121">
        <v>875291.5</v>
      </c>
      <c r="M102" s="121">
        <v>0</v>
      </c>
      <c r="N102" s="124" t="s">
        <v>1263</v>
      </c>
      <c r="O102" s="122">
        <v>0.56365594449718426</v>
      </c>
      <c r="P102" s="121">
        <v>0</v>
      </c>
      <c r="Q102" s="121">
        <v>36815594.472451426</v>
      </c>
    </row>
    <row r="103" spans="1:17" s="119" customFormat="1" ht="15" x14ac:dyDescent="0.25">
      <c r="A103" s="118" t="s">
        <v>393</v>
      </c>
      <c r="B103" s="119" t="s">
        <v>391</v>
      </c>
      <c r="C103" s="120" t="s">
        <v>1126</v>
      </c>
      <c r="D103" s="119" t="s">
        <v>229</v>
      </c>
      <c r="E103" s="121">
        <v>191262.23599611016</v>
      </c>
      <c r="F103" s="121">
        <v>162572.90059669362</v>
      </c>
      <c r="G103" s="121">
        <v>162572.90059669362</v>
      </c>
      <c r="H103" s="121">
        <v>93975</v>
      </c>
      <c r="I103" s="122">
        <v>1</v>
      </c>
      <c r="J103" s="123" t="b">
        <v>1</v>
      </c>
      <c r="K103" s="121">
        <v>93975</v>
      </c>
      <c r="L103" s="121">
        <v>105917</v>
      </c>
      <c r="M103" s="121">
        <v>93975</v>
      </c>
      <c r="N103" s="124" t="s">
        <v>1251</v>
      </c>
      <c r="O103" s="122">
        <v>0.45353646858254237</v>
      </c>
      <c r="P103" s="121">
        <v>42621.089635044416</v>
      </c>
      <c r="Q103" s="121">
        <v>36858215.56208647</v>
      </c>
    </row>
    <row r="104" spans="1:17" s="119" customFormat="1" ht="15" x14ac:dyDescent="0.25">
      <c r="A104" s="118" t="s">
        <v>606</v>
      </c>
      <c r="B104" s="119" t="s">
        <v>604</v>
      </c>
      <c r="C104" s="120" t="s">
        <v>1185</v>
      </c>
      <c r="D104" s="119" t="s">
        <v>126</v>
      </c>
      <c r="E104" s="121">
        <v>165842.70108436758</v>
      </c>
      <c r="F104" s="121">
        <v>165842.70108436758</v>
      </c>
      <c r="G104" s="121">
        <v>165842.70108436758</v>
      </c>
      <c r="H104" s="121">
        <v>331800</v>
      </c>
      <c r="I104" s="122">
        <v>0.90082926956521736</v>
      </c>
      <c r="J104" s="123" t="b">
        <v>1</v>
      </c>
      <c r="K104" s="121">
        <v>298895.15164173912</v>
      </c>
      <c r="L104" s="121">
        <v>895314.5</v>
      </c>
      <c r="M104" s="121">
        <v>0</v>
      </c>
      <c r="N104" s="124" t="s">
        <v>1263</v>
      </c>
      <c r="O104" s="122">
        <v>0.52616371118752125</v>
      </c>
      <c r="P104" s="121">
        <v>0</v>
      </c>
      <c r="Q104" s="121">
        <v>36858215.56208647</v>
      </c>
    </row>
    <row r="105" spans="1:17" s="119" customFormat="1" ht="15" x14ac:dyDescent="0.25">
      <c r="A105" s="118" t="s">
        <v>306</v>
      </c>
      <c r="B105" s="119" t="s">
        <v>303</v>
      </c>
      <c r="C105" s="120" t="s">
        <v>1025</v>
      </c>
      <c r="D105" s="119" t="s">
        <v>194</v>
      </c>
      <c r="E105" s="121">
        <v>182997.49568072037</v>
      </c>
      <c r="F105" s="121">
        <v>182997.49568072037</v>
      </c>
      <c r="G105" s="121">
        <v>182997.49568072037</v>
      </c>
      <c r="H105" s="121">
        <v>344550</v>
      </c>
      <c r="I105" s="122">
        <v>0.71176470588235297</v>
      </c>
      <c r="J105" s="123" t="b">
        <v>1</v>
      </c>
      <c r="K105" s="121">
        <v>245238.52941176473</v>
      </c>
      <c r="L105" s="121">
        <v>130374.75</v>
      </c>
      <c r="M105" s="121">
        <v>130374.75</v>
      </c>
      <c r="N105" s="124" t="s">
        <v>1263</v>
      </c>
      <c r="O105" s="122">
        <v>0.4771500123407989</v>
      </c>
      <c r="P105" s="121">
        <v>62208.313571428575</v>
      </c>
      <c r="Q105" s="121">
        <v>36920423.875657901</v>
      </c>
    </row>
    <row r="106" spans="1:17" s="119" customFormat="1" ht="15" x14ac:dyDescent="0.25">
      <c r="A106" s="118" t="s">
        <v>901</v>
      </c>
      <c r="B106" s="119" t="s">
        <v>940</v>
      </c>
      <c r="C106" s="120" t="s">
        <v>1023</v>
      </c>
      <c r="D106" s="119" t="s">
        <v>194</v>
      </c>
      <c r="E106" s="121">
        <v>185801.7475</v>
      </c>
      <c r="F106" s="121">
        <v>185801.7475</v>
      </c>
      <c r="G106" s="121">
        <v>185801.7475</v>
      </c>
      <c r="H106" s="121">
        <v>280000</v>
      </c>
      <c r="I106" s="122">
        <v>1</v>
      </c>
      <c r="J106" s="123" t="b">
        <v>1</v>
      </c>
      <c r="K106" s="121">
        <v>280000</v>
      </c>
      <c r="L106" s="121">
        <v>100000</v>
      </c>
      <c r="M106" s="121">
        <v>100000</v>
      </c>
      <c r="N106" s="124" t="s">
        <v>1263</v>
      </c>
      <c r="O106" s="122">
        <v>0.46913786428571425</v>
      </c>
      <c r="P106" s="121">
        <v>46913.786428571424</v>
      </c>
      <c r="Q106" s="121">
        <v>36967337.662086472</v>
      </c>
    </row>
    <row r="107" spans="1:17" s="119" customFormat="1" ht="15" x14ac:dyDescent="0.25">
      <c r="A107" s="118" t="s">
        <v>57</v>
      </c>
      <c r="B107" s="119" t="s">
        <v>55</v>
      </c>
      <c r="C107" s="120" t="s">
        <v>1176</v>
      </c>
      <c r="D107" s="119" t="s">
        <v>40</v>
      </c>
      <c r="E107" s="121">
        <v>192338.46646348358</v>
      </c>
      <c r="F107" s="121">
        <v>192338.46646348358</v>
      </c>
      <c r="G107" s="121">
        <v>192338.46646348358</v>
      </c>
      <c r="H107" s="121">
        <v>450400</v>
      </c>
      <c r="I107" s="122">
        <v>0.82</v>
      </c>
      <c r="J107" s="123" t="b">
        <v>1</v>
      </c>
      <c r="K107" s="121">
        <v>369328</v>
      </c>
      <c r="L107" s="121">
        <v>210073.25</v>
      </c>
      <c r="M107" s="121">
        <v>210073.25</v>
      </c>
      <c r="N107" s="124" t="s">
        <v>1263</v>
      </c>
      <c r="O107" s="122">
        <v>0.45046152439004694</v>
      </c>
      <c r="P107" s="121">
        <v>94629.916428571421</v>
      </c>
      <c r="Q107" s="121">
        <v>37061967.578515045</v>
      </c>
    </row>
    <row r="108" spans="1:17" s="119" customFormat="1" ht="15" x14ac:dyDescent="0.25">
      <c r="A108" s="118" t="s">
        <v>53</v>
      </c>
      <c r="B108" s="119" t="s">
        <v>49</v>
      </c>
      <c r="C108" s="120" t="s">
        <v>1109</v>
      </c>
      <c r="D108" s="119" t="s">
        <v>50</v>
      </c>
      <c r="E108" s="121">
        <v>197561.29183372599</v>
      </c>
      <c r="F108" s="121">
        <v>197561.29183372599</v>
      </c>
      <c r="G108" s="121">
        <v>197561.29183372599</v>
      </c>
      <c r="H108" s="121">
        <v>376788</v>
      </c>
      <c r="I108" s="122">
        <v>1</v>
      </c>
      <c r="J108" s="123" t="b">
        <v>1</v>
      </c>
      <c r="K108" s="121">
        <v>376788</v>
      </c>
      <c r="L108" s="121">
        <v>199592.25</v>
      </c>
      <c r="M108" s="121">
        <v>199592.25</v>
      </c>
      <c r="N108" s="124" t="s">
        <v>1263</v>
      </c>
      <c r="O108" s="122">
        <v>0.43553916618935429</v>
      </c>
      <c r="P108" s="121">
        <v>86930.242142857154</v>
      </c>
      <c r="Q108" s="121">
        <v>37148897.820657901</v>
      </c>
    </row>
    <row r="109" spans="1:17" s="119" customFormat="1" ht="15" x14ac:dyDescent="0.25">
      <c r="A109" s="118" t="s">
        <v>345</v>
      </c>
      <c r="B109" s="119" t="s">
        <v>343</v>
      </c>
      <c r="C109" s="120" t="s">
        <v>1086</v>
      </c>
      <c r="D109" s="119" t="s">
        <v>332</v>
      </c>
      <c r="E109" s="121">
        <v>201509.34566009659</v>
      </c>
      <c r="F109" s="121">
        <v>201509.34566009659</v>
      </c>
      <c r="G109" s="121">
        <v>201509.34566009659</v>
      </c>
      <c r="H109" s="121">
        <v>2488725</v>
      </c>
      <c r="I109" s="122">
        <v>0.95280692460317462</v>
      </c>
      <c r="J109" s="123" t="b">
        <v>1</v>
      </c>
      <c r="K109" s="121">
        <v>2371274.4134330358</v>
      </c>
      <c r="L109" s="121">
        <v>10621333.75</v>
      </c>
      <c r="M109" s="121">
        <v>2371274.4134330358</v>
      </c>
      <c r="N109" s="124" t="s">
        <v>1251</v>
      </c>
      <c r="O109" s="122">
        <v>0.42425901239972408</v>
      </c>
      <c r="P109" s="121">
        <v>1006034.5407718348</v>
      </c>
      <c r="Q109" s="121">
        <v>38154932.361429736</v>
      </c>
    </row>
    <row r="110" spans="1:17" s="119" customFormat="1" ht="15" x14ac:dyDescent="0.25">
      <c r="A110" s="118" t="s">
        <v>345</v>
      </c>
      <c r="B110" s="119" t="s">
        <v>343</v>
      </c>
      <c r="C110" s="120" t="s">
        <v>1088</v>
      </c>
      <c r="D110" s="119" t="s">
        <v>347</v>
      </c>
      <c r="E110" s="121">
        <v>201509.34566009659</v>
      </c>
      <c r="F110" s="121">
        <v>201509.34566009659</v>
      </c>
      <c r="G110" s="121">
        <v>201509.34566009659</v>
      </c>
      <c r="H110" s="121">
        <v>6468500</v>
      </c>
      <c r="I110" s="122">
        <v>0.86174674149659869</v>
      </c>
      <c r="J110" s="123" t="b">
        <v>1</v>
      </c>
      <c r="K110" s="121">
        <v>5574208.7973707486</v>
      </c>
      <c r="L110" s="121">
        <v>10621333.75</v>
      </c>
      <c r="M110" s="121">
        <v>5574208.7973707486</v>
      </c>
      <c r="N110" s="124" t="s">
        <v>1251</v>
      </c>
      <c r="O110" s="122">
        <v>0.42425901239972408</v>
      </c>
      <c r="P110" s="121">
        <v>2364908.3192823674</v>
      </c>
      <c r="Q110" s="121">
        <v>40519840.680712104</v>
      </c>
    </row>
    <row r="111" spans="1:17" s="119" customFormat="1" ht="15" x14ac:dyDescent="0.25">
      <c r="A111" s="118" t="s">
        <v>345</v>
      </c>
      <c r="B111" s="119" t="s">
        <v>343</v>
      </c>
      <c r="C111" s="120" t="s">
        <v>1091</v>
      </c>
      <c r="D111" s="119" t="s">
        <v>350</v>
      </c>
      <c r="E111" s="121">
        <v>201509.34566009659</v>
      </c>
      <c r="F111" s="121">
        <v>201509.34566009659</v>
      </c>
      <c r="G111" s="121">
        <v>201509.34566009659</v>
      </c>
      <c r="H111" s="121">
        <v>4764500</v>
      </c>
      <c r="I111" s="122">
        <v>0.91096756000000001</v>
      </c>
      <c r="J111" s="123" t="b">
        <v>1</v>
      </c>
      <c r="K111" s="121">
        <v>4340304.9396200003</v>
      </c>
      <c r="L111" s="121">
        <v>10621333.75</v>
      </c>
      <c r="M111" s="121">
        <v>2675850.5391962165</v>
      </c>
      <c r="N111" s="124" t="s">
        <v>1263</v>
      </c>
      <c r="O111" s="122">
        <v>0.42425901239972408</v>
      </c>
      <c r="P111" s="121">
        <v>1135253.707088656</v>
      </c>
      <c r="Q111" s="121">
        <v>41655094.387800761</v>
      </c>
    </row>
    <row r="112" spans="1:17" s="119" customFormat="1" ht="15" x14ac:dyDescent="0.25">
      <c r="A112" s="119" t="s">
        <v>370</v>
      </c>
      <c r="B112" s="119" t="s">
        <v>368</v>
      </c>
      <c r="C112" s="120" t="s">
        <v>1200</v>
      </c>
      <c r="D112" s="119" t="s">
        <v>194</v>
      </c>
      <c r="E112" s="121">
        <v>203174.13427284156</v>
      </c>
      <c r="F112" s="121">
        <v>203174.13427284156</v>
      </c>
      <c r="G112" s="121">
        <v>203174.13427284156</v>
      </c>
      <c r="H112" s="121">
        <v>156700</v>
      </c>
      <c r="I112" s="122">
        <v>1</v>
      </c>
      <c r="J112" s="130" t="b">
        <v>1</v>
      </c>
      <c r="K112" s="121">
        <v>156700</v>
      </c>
      <c r="L112" s="121">
        <v>114528</v>
      </c>
      <c r="M112" s="121">
        <v>114528</v>
      </c>
      <c r="N112" s="144" t="s">
        <v>1263</v>
      </c>
      <c r="O112" s="129">
        <v>0.41950247350616698</v>
      </c>
      <c r="P112" s="121">
        <v>48044.779285714292</v>
      </c>
      <c r="Q112" s="121">
        <v>41703139.167086475</v>
      </c>
    </row>
    <row r="113" spans="1:17" s="119" customFormat="1" ht="15" x14ac:dyDescent="0.25">
      <c r="A113" s="118" t="s">
        <v>376</v>
      </c>
      <c r="B113" s="119" t="s">
        <v>372</v>
      </c>
      <c r="C113" s="120" t="s">
        <v>1212</v>
      </c>
      <c r="D113" s="119" t="s">
        <v>373</v>
      </c>
      <c r="E113" s="121">
        <v>255007.18632738342</v>
      </c>
      <c r="F113" s="121">
        <v>229506.46769464508</v>
      </c>
      <c r="G113" s="121">
        <v>229506.46769464508</v>
      </c>
      <c r="H113" s="121">
        <v>557250</v>
      </c>
      <c r="I113" s="122">
        <v>1</v>
      </c>
      <c r="J113" s="123" t="b">
        <v>1</v>
      </c>
      <c r="K113" s="121">
        <v>557250</v>
      </c>
      <c r="L113" s="121">
        <v>724674.75</v>
      </c>
      <c r="M113" s="121">
        <v>557250</v>
      </c>
      <c r="N113" s="124" t="s">
        <v>1251</v>
      </c>
      <c r="O113" s="122">
        <v>0.27140803906461886</v>
      </c>
      <c r="P113" s="121">
        <v>151242.12976875887</v>
      </c>
      <c r="Q113" s="121">
        <v>41854381.296855234</v>
      </c>
    </row>
    <row r="114" spans="1:17" s="119" customFormat="1" ht="15" x14ac:dyDescent="0.25">
      <c r="A114" s="118" t="s">
        <v>627</v>
      </c>
      <c r="B114" s="119" t="s">
        <v>625</v>
      </c>
      <c r="C114" s="120" t="s">
        <v>1193</v>
      </c>
      <c r="D114" s="119" t="s">
        <v>629</v>
      </c>
      <c r="E114" s="121">
        <v>244665.75281752192</v>
      </c>
      <c r="F114" s="121">
        <v>244665.75281752192</v>
      </c>
      <c r="G114" s="121">
        <v>244665.75281752192</v>
      </c>
      <c r="H114" s="121">
        <v>81700</v>
      </c>
      <c r="I114" s="122">
        <v>0.7964</v>
      </c>
      <c r="J114" s="123" t="b">
        <v>1</v>
      </c>
      <c r="K114" s="121">
        <v>65065.88</v>
      </c>
      <c r="L114" s="121">
        <v>425307.25</v>
      </c>
      <c r="M114" s="121">
        <v>65065.88</v>
      </c>
      <c r="N114" s="124" t="s">
        <v>1251</v>
      </c>
      <c r="O114" s="122">
        <v>0.30095499194993736</v>
      </c>
      <c r="P114" s="121">
        <v>19581.901391615589</v>
      </c>
      <c r="Q114" s="121">
        <v>41873963.198246852</v>
      </c>
    </row>
    <row r="115" spans="1:17" s="119" customFormat="1" ht="15" x14ac:dyDescent="0.25">
      <c r="A115" s="127" t="s">
        <v>627</v>
      </c>
      <c r="B115" s="119" t="s">
        <v>625</v>
      </c>
      <c r="C115" s="120" t="s">
        <v>1021</v>
      </c>
      <c r="D115" s="128" t="s">
        <v>466</v>
      </c>
      <c r="E115" s="121">
        <v>244665.75281752192</v>
      </c>
      <c r="F115" s="121">
        <v>244665.75281752192</v>
      </c>
      <c r="G115" s="121">
        <v>244665.75281752192</v>
      </c>
      <c r="H115" s="121">
        <v>178150</v>
      </c>
      <c r="I115" s="129">
        <v>0.7964</v>
      </c>
      <c r="J115" s="123" t="b">
        <v>1</v>
      </c>
      <c r="K115" s="121">
        <v>141878.66</v>
      </c>
      <c r="L115" s="121">
        <v>425307.25</v>
      </c>
      <c r="M115" s="121">
        <v>141878.66</v>
      </c>
      <c r="N115" s="124" t="s">
        <v>1251</v>
      </c>
      <c r="O115" s="129">
        <v>0.30095499194993736</v>
      </c>
      <c r="P115" s="121">
        <v>42699.0909781679</v>
      </c>
      <c r="Q115" s="121">
        <v>41916662.28922502</v>
      </c>
    </row>
    <row r="116" spans="1:17" s="119" customFormat="1" ht="15" x14ac:dyDescent="0.25">
      <c r="A116" s="118" t="s">
        <v>627</v>
      </c>
      <c r="B116" s="119" t="s">
        <v>625</v>
      </c>
      <c r="C116" s="120" t="s">
        <v>1064</v>
      </c>
      <c r="D116" s="119" t="s">
        <v>72</v>
      </c>
      <c r="E116" s="121">
        <v>244665.75281752192</v>
      </c>
      <c r="F116" s="121">
        <v>244665.75281752192</v>
      </c>
      <c r="G116" s="121">
        <v>244665.75281752192</v>
      </c>
      <c r="H116" s="121">
        <v>155542</v>
      </c>
      <c r="I116" s="122">
        <v>0.7964</v>
      </c>
      <c r="J116" s="123" t="b">
        <v>0</v>
      </c>
      <c r="K116" s="121">
        <v>123873.6488</v>
      </c>
      <c r="L116" s="121">
        <v>425307.25</v>
      </c>
      <c r="M116" s="121">
        <v>123873.6488</v>
      </c>
      <c r="N116" s="124" t="s">
        <v>1251</v>
      </c>
      <c r="O116" s="122">
        <v>0.30095499194993736</v>
      </c>
      <c r="P116" s="121">
        <v>37280.392977413365</v>
      </c>
      <c r="Q116" s="121">
        <v>41953942.682202436</v>
      </c>
    </row>
    <row r="117" spans="1:17" s="119" customFormat="1" ht="15" x14ac:dyDescent="0.25">
      <c r="A117" s="118" t="s">
        <v>245</v>
      </c>
      <c r="B117" s="119" t="s">
        <v>242</v>
      </c>
      <c r="C117" s="120" t="s">
        <v>1162</v>
      </c>
      <c r="D117" s="119" t="s">
        <v>29</v>
      </c>
      <c r="E117" s="121">
        <v>246415.49311284893</v>
      </c>
      <c r="F117" s="121">
        <v>246415.49311284893</v>
      </c>
      <c r="G117" s="121">
        <v>246415.49311284893</v>
      </c>
      <c r="H117" s="121">
        <v>480835</v>
      </c>
      <c r="I117" s="122">
        <v>1</v>
      </c>
      <c r="J117" s="123" t="b">
        <v>1</v>
      </c>
      <c r="K117" s="121">
        <v>480835</v>
      </c>
      <c r="L117" s="121">
        <v>669707.25</v>
      </c>
      <c r="M117" s="121">
        <v>480835</v>
      </c>
      <c r="N117" s="124" t="s">
        <v>1251</v>
      </c>
      <c r="O117" s="122">
        <v>0.29595573396328878</v>
      </c>
      <c r="P117" s="121">
        <v>142305.87534023795</v>
      </c>
      <c r="Q117" s="121">
        <v>42096248.557542674</v>
      </c>
    </row>
    <row r="118" spans="1:17" s="119" customFormat="1" ht="15" x14ac:dyDescent="0.25">
      <c r="A118" s="118" t="s">
        <v>245</v>
      </c>
      <c r="B118" s="119" t="s">
        <v>242</v>
      </c>
      <c r="C118" s="120" t="s">
        <v>1161</v>
      </c>
      <c r="D118" s="119" t="s">
        <v>35</v>
      </c>
      <c r="E118" s="121">
        <v>246415.49311284893</v>
      </c>
      <c r="F118" s="121">
        <v>246415.49311284893</v>
      </c>
      <c r="G118" s="121">
        <v>246415.49311284893</v>
      </c>
      <c r="H118" s="121">
        <v>810089</v>
      </c>
      <c r="I118" s="122">
        <v>1</v>
      </c>
      <c r="J118" s="123" t="b">
        <v>1</v>
      </c>
      <c r="K118" s="121">
        <v>810089</v>
      </c>
      <c r="L118" s="121">
        <v>669707.25</v>
      </c>
      <c r="M118" s="121">
        <v>188872.25</v>
      </c>
      <c r="N118" s="124" t="s">
        <v>1263</v>
      </c>
      <c r="O118" s="122">
        <v>0.29595573396328878</v>
      </c>
      <c r="P118" s="121">
        <v>55897.825374047767</v>
      </c>
      <c r="Q118" s="121">
        <v>42152146.382916719</v>
      </c>
    </row>
    <row r="119" spans="1:17" s="119" customFormat="1" ht="15" x14ac:dyDescent="0.25">
      <c r="A119" s="118" t="s">
        <v>614</v>
      </c>
      <c r="B119" s="119" t="s">
        <v>610</v>
      </c>
      <c r="C119" s="120" t="s">
        <v>1144</v>
      </c>
      <c r="D119" s="119" t="s">
        <v>611</v>
      </c>
      <c r="E119" s="121">
        <v>252293.83190086886</v>
      </c>
      <c r="F119" s="121">
        <v>252293.83190086886</v>
      </c>
      <c r="G119" s="121">
        <v>252293.83190086886</v>
      </c>
      <c r="H119" s="121">
        <v>323272</v>
      </c>
      <c r="I119" s="122">
        <v>1</v>
      </c>
      <c r="J119" s="123" t="b">
        <v>1</v>
      </c>
      <c r="K119" s="121">
        <v>323272</v>
      </c>
      <c r="L119" s="121">
        <v>777273.5</v>
      </c>
      <c r="M119" s="121">
        <v>323272</v>
      </c>
      <c r="N119" s="124" t="s">
        <v>1251</v>
      </c>
      <c r="O119" s="122">
        <v>0.27916048028323182</v>
      </c>
      <c r="P119" s="121">
        <v>90244.766782120918</v>
      </c>
      <c r="Q119" s="121">
        <v>42242391.149698839</v>
      </c>
    </row>
    <row r="120" spans="1:17" s="119" customFormat="1" ht="15" x14ac:dyDescent="0.25">
      <c r="A120" s="118" t="s">
        <v>32</v>
      </c>
      <c r="B120" s="119" t="s">
        <v>28</v>
      </c>
      <c r="C120" s="120" t="s">
        <v>1172</v>
      </c>
      <c r="D120" s="119" t="s">
        <v>29</v>
      </c>
      <c r="E120" s="121">
        <v>259369.35500000001</v>
      </c>
      <c r="F120" s="121">
        <v>259369.35500000001</v>
      </c>
      <c r="G120" s="121">
        <v>259369.35500000001</v>
      </c>
      <c r="H120" s="121">
        <v>203075</v>
      </c>
      <c r="I120" s="122">
        <v>1</v>
      </c>
      <c r="J120" s="123" t="b">
        <v>1</v>
      </c>
      <c r="K120" s="121">
        <v>203075</v>
      </c>
      <c r="L120" s="121">
        <v>100000</v>
      </c>
      <c r="M120" s="121">
        <v>100000</v>
      </c>
      <c r="N120" s="124" t="s">
        <v>1263</v>
      </c>
      <c r="O120" s="122">
        <v>0.25894469999999992</v>
      </c>
      <c r="P120" s="121">
        <v>25894.46999999999</v>
      </c>
      <c r="Q120" s="121">
        <v>42268285.619698837</v>
      </c>
    </row>
    <row r="121" spans="1:17" s="119" customFormat="1" ht="15" x14ac:dyDescent="0.25">
      <c r="A121" s="118" t="s">
        <v>899</v>
      </c>
      <c r="B121" s="119" t="s">
        <v>938</v>
      </c>
      <c r="C121" s="120" t="s">
        <v>1001</v>
      </c>
      <c r="D121" s="119" t="s">
        <v>37</v>
      </c>
      <c r="E121" s="121">
        <v>260227.46467184479</v>
      </c>
      <c r="F121" s="121">
        <v>260227.46467184479</v>
      </c>
      <c r="G121" s="121">
        <v>260227.46467184479</v>
      </c>
      <c r="H121" s="121">
        <v>2787250</v>
      </c>
      <c r="I121" s="122">
        <v>1</v>
      </c>
      <c r="J121" s="123" t="b">
        <v>1</v>
      </c>
      <c r="K121" s="121">
        <v>2787250</v>
      </c>
      <c r="L121" s="121">
        <v>7588246.5</v>
      </c>
      <c r="M121" s="121">
        <v>2787250</v>
      </c>
      <c r="N121" s="124" t="s">
        <v>1251</v>
      </c>
      <c r="O121" s="122">
        <v>0.25649295808044348</v>
      </c>
      <c r="P121" s="121">
        <v>714909.99740971613</v>
      </c>
      <c r="Q121" s="121">
        <v>42983195.617108554</v>
      </c>
    </row>
    <row r="122" spans="1:17" s="119" customFormat="1" ht="15" x14ac:dyDescent="0.25">
      <c r="A122" s="118" t="s">
        <v>899</v>
      </c>
      <c r="B122" s="119" t="s">
        <v>938</v>
      </c>
      <c r="C122" s="120" t="s">
        <v>1013</v>
      </c>
      <c r="D122" s="119" t="s">
        <v>126</v>
      </c>
      <c r="E122" s="121">
        <v>260227.46467184479</v>
      </c>
      <c r="F122" s="121">
        <v>260227.46467184479</v>
      </c>
      <c r="G122" s="121">
        <v>260227.46467184479</v>
      </c>
      <c r="H122" s="121">
        <v>1025288</v>
      </c>
      <c r="I122" s="122">
        <v>1</v>
      </c>
      <c r="J122" s="123" t="b">
        <v>1</v>
      </c>
      <c r="K122" s="121">
        <v>1025288</v>
      </c>
      <c r="L122" s="121">
        <v>7588246.5</v>
      </c>
      <c r="M122" s="121">
        <v>1025288</v>
      </c>
      <c r="N122" s="124" t="s">
        <v>1251</v>
      </c>
      <c r="O122" s="122">
        <v>0.25649295808044348</v>
      </c>
      <c r="P122" s="121">
        <v>262979.15200438176</v>
      </c>
      <c r="Q122" s="121">
        <v>43246174.769112937</v>
      </c>
    </row>
    <row r="123" spans="1:17" s="119" customFormat="1" ht="15" x14ac:dyDescent="0.25">
      <c r="A123" s="118" t="s">
        <v>240</v>
      </c>
      <c r="B123" s="119" t="s">
        <v>237</v>
      </c>
      <c r="C123" s="120" t="s">
        <v>1102</v>
      </c>
      <c r="D123" s="119" t="s">
        <v>67</v>
      </c>
      <c r="E123" s="121">
        <v>272109.11920363101</v>
      </c>
      <c r="F123" s="121">
        <v>272109.11920363101</v>
      </c>
      <c r="G123" s="121">
        <v>272109.11920363101</v>
      </c>
      <c r="H123" s="121">
        <v>36285</v>
      </c>
      <c r="I123" s="122">
        <v>1</v>
      </c>
      <c r="J123" s="123" t="b">
        <v>1</v>
      </c>
      <c r="K123" s="121">
        <v>36285</v>
      </c>
      <c r="L123" s="121">
        <v>157916.75</v>
      </c>
      <c r="M123" s="121">
        <v>36285</v>
      </c>
      <c r="N123" s="124" t="s">
        <v>1251</v>
      </c>
      <c r="O123" s="122">
        <v>0.22254537370391136</v>
      </c>
      <c r="P123" s="121">
        <v>8075.058884846424</v>
      </c>
      <c r="Q123" s="121">
        <v>43254249.827997781</v>
      </c>
    </row>
    <row r="124" spans="1:17" s="119" customFormat="1" ht="15" x14ac:dyDescent="0.25">
      <c r="A124" s="118" t="s">
        <v>919</v>
      </c>
      <c r="B124" s="119" t="s">
        <v>958</v>
      </c>
      <c r="C124" s="120" t="s">
        <v>1006</v>
      </c>
      <c r="D124" s="119" t="s">
        <v>29</v>
      </c>
      <c r="E124" s="121">
        <v>273400.91137656179</v>
      </c>
      <c r="F124" s="121">
        <v>273400.91137656179</v>
      </c>
      <c r="G124" s="121">
        <v>273400.91137656179</v>
      </c>
      <c r="H124" s="121">
        <v>3543050</v>
      </c>
      <c r="I124" s="122">
        <v>0.8101277372262774</v>
      </c>
      <c r="J124" s="123" t="b">
        <v>1</v>
      </c>
      <c r="K124" s="121">
        <v>2870323.0793795623</v>
      </c>
      <c r="L124" s="121">
        <v>3870189.5</v>
      </c>
      <c r="M124" s="121">
        <v>2870323.0793795623</v>
      </c>
      <c r="N124" s="124" t="s">
        <v>1251</v>
      </c>
      <c r="O124" s="122">
        <v>0.21885453892410911</v>
      </c>
      <c r="P124" s="121">
        <v>628183.23410084308</v>
      </c>
      <c r="Q124" s="121">
        <v>43882433.062098622</v>
      </c>
    </row>
    <row r="125" spans="1:17" s="119" customFormat="1" ht="15" x14ac:dyDescent="0.25">
      <c r="A125" s="118" t="s">
        <v>428</v>
      </c>
      <c r="B125" s="119" t="s">
        <v>426</v>
      </c>
      <c r="C125" s="120" t="s">
        <v>1101</v>
      </c>
      <c r="D125" s="119" t="s">
        <v>1237</v>
      </c>
      <c r="E125" s="121">
        <v>289609.4545996809</v>
      </c>
      <c r="F125" s="121">
        <v>275128.98186969687</v>
      </c>
      <c r="G125" s="121">
        <v>275128.98186969687</v>
      </c>
      <c r="H125" s="121">
        <v>6464000</v>
      </c>
      <c r="I125" s="122">
        <v>1</v>
      </c>
      <c r="J125" s="123" t="b">
        <v>1</v>
      </c>
      <c r="K125" s="121">
        <v>6464000</v>
      </c>
      <c r="L125" s="121">
        <v>16043857.5</v>
      </c>
      <c r="M125" s="121">
        <v>6464000</v>
      </c>
      <c r="N125" s="124" t="s">
        <v>1251</v>
      </c>
      <c r="O125" s="122">
        <v>0.17254441542948318</v>
      </c>
      <c r="P125" s="121">
        <v>1115327.1013361793</v>
      </c>
      <c r="Q125" s="121">
        <v>44997760.163434803</v>
      </c>
    </row>
    <row r="126" spans="1:17" s="119" customFormat="1" ht="15" x14ac:dyDescent="0.25">
      <c r="A126" s="118" t="s">
        <v>927</v>
      </c>
      <c r="B126" s="119" t="s">
        <v>964</v>
      </c>
      <c r="C126" s="120" t="s">
        <v>982</v>
      </c>
      <c r="D126" s="119" t="s">
        <v>784</v>
      </c>
      <c r="E126" s="121">
        <v>275161.71378089511</v>
      </c>
      <c r="F126" s="121">
        <v>275161.71378089511</v>
      </c>
      <c r="G126" s="121">
        <v>275161.71378089511</v>
      </c>
      <c r="H126" s="121">
        <v>253249</v>
      </c>
      <c r="I126" s="122">
        <v>1</v>
      </c>
      <c r="J126" s="123" t="b">
        <v>1</v>
      </c>
      <c r="K126" s="121">
        <v>253249</v>
      </c>
      <c r="L126" s="121">
        <v>187054.25</v>
      </c>
      <c r="M126" s="121">
        <v>187054.25</v>
      </c>
      <c r="N126" s="124" t="s">
        <v>1263</v>
      </c>
      <c r="O126" s="122">
        <v>0.21382367491172827</v>
      </c>
      <c r="P126" s="121">
        <v>39996.627142857149</v>
      </c>
      <c r="Q126" s="121">
        <v>45037756.790577658</v>
      </c>
    </row>
    <row r="127" spans="1:17" s="119" customFormat="1" ht="15" x14ac:dyDescent="0.25">
      <c r="A127" s="118" t="s">
        <v>541</v>
      </c>
      <c r="B127" s="119" t="s">
        <v>539</v>
      </c>
      <c r="C127" s="120" t="s">
        <v>975</v>
      </c>
      <c r="D127" s="119" t="s">
        <v>67</v>
      </c>
      <c r="E127" s="121">
        <v>288163.55096839706</v>
      </c>
      <c r="F127" s="121">
        <v>288163.55096839706</v>
      </c>
      <c r="G127" s="121">
        <v>288163.55096839706</v>
      </c>
      <c r="H127" s="121">
        <v>291256</v>
      </c>
      <c r="I127" s="122">
        <v>0.74496666666666667</v>
      </c>
      <c r="J127" s="123" t="b">
        <v>1</v>
      </c>
      <c r="K127" s="121">
        <v>216976.01146666668</v>
      </c>
      <c r="L127" s="121">
        <v>153617.25</v>
      </c>
      <c r="M127" s="121">
        <v>153617.25</v>
      </c>
      <c r="N127" s="124" t="s">
        <v>1263</v>
      </c>
      <c r="O127" s="122">
        <v>0.17667556866172274</v>
      </c>
      <c r="P127" s="121">
        <v>27140.415000000026</v>
      </c>
      <c r="Q127" s="121">
        <v>45064897.205577657</v>
      </c>
    </row>
    <row r="128" spans="1:17" s="119" customFormat="1" ht="15" x14ac:dyDescent="0.25">
      <c r="A128" s="118" t="s">
        <v>123</v>
      </c>
      <c r="B128" s="119" t="s">
        <v>121</v>
      </c>
      <c r="C128" s="120" t="s">
        <v>1156</v>
      </c>
      <c r="D128" s="119" t="s">
        <v>35</v>
      </c>
      <c r="E128" s="121">
        <v>296198.04341296502</v>
      </c>
      <c r="F128" s="121">
        <v>296198.04341296502</v>
      </c>
      <c r="G128" s="121">
        <v>296198.04341296502</v>
      </c>
      <c r="H128" s="121">
        <v>294575</v>
      </c>
      <c r="I128" s="122">
        <v>1</v>
      </c>
      <c r="J128" s="123" t="b">
        <v>1</v>
      </c>
      <c r="K128" s="121">
        <v>294575</v>
      </c>
      <c r="L128" s="121">
        <v>577638.5</v>
      </c>
      <c r="M128" s="121">
        <v>294575</v>
      </c>
      <c r="N128" s="124" t="s">
        <v>1251</v>
      </c>
      <c r="O128" s="122">
        <v>0.15371987596295711</v>
      </c>
      <c r="P128" s="121">
        <v>45282.032461788091</v>
      </c>
      <c r="Q128" s="121">
        <v>45110179.238039441</v>
      </c>
    </row>
    <row r="129" spans="1:17" s="119" customFormat="1" ht="15" x14ac:dyDescent="0.25">
      <c r="A129" s="118" t="s">
        <v>154</v>
      </c>
      <c r="B129" s="119" t="s">
        <v>151</v>
      </c>
      <c r="C129" s="120" t="s">
        <v>1085</v>
      </c>
      <c r="D129" s="119" t="s">
        <v>50</v>
      </c>
      <c r="E129" s="121">
        <v>300105.14500000002</v>
      </c>
      <c r="F129" s="121">
        <v>300105.14500000002</v>
      </c>
      <c r="G129" s="121">
        <v>300105.14500000002</v>
      </c>
      <c r="H129" s="121">
        <v>76419</v>
      </c>
      <c r="I129" s="122">
        <v>0.74</v>
      </c>
      <c r="J129" s="123" t="b">
        <v>1</v>
      </c>
      <c r="K129" s="121">
        <v>56550.06</v>
      </c>
      <c r="L129" s="121">
        <v>100000</v>
      </c>
      <c r="M129" s="121">
        <v>56550.06</v>
      </c>
      <c r="N129" s="124" t="s">
        <v>1251</v>
      </c>
      <c r="O129" s="122">
        <v>0.14255672857142854</v>
      </c>
      <c r="P129" s="121">
        <v>8061.5915541179975</v>
      </c>
      <c r="Q129" s="121">
        <v>45118240.829593562</v>
      </c>
    </row>
    <row r="130" spans="1:17" s="119" customFormat="1" ht="15" x14ac:dyDescent="0.25">
      <c r="A130" s="127" t="s">
        <v>70</v>
      </c>
      <c r="B130" s="128" t="s">
        <v>66</v>
      </c>
      <c r="C130" s="120" t="s">
        <v>1105</v>
      </c>
      <c r="D130" s="128" t="s">
        <v>67</v>
      </c>
      <c r="E130" s="121">
        <v>302898.27956959762</v>
      </c>
      <c r="F130" s="121">
        <v>302898.27956959762</v>
      </c>
      <c r="G130" s="121">
        <v>302898.27956959762</v>
      </c>
      <c r="H130" s="121">
        <v>9341713</v>
      </c>
      <c r="I130" s="129">
        <v>0.88922650271364512</v>
      </c>
      <c r="J130" s="123" t="b">
        <v>1</v>
      </c>
      <c r="K130" s="121">
        <v>8306898.7803445943</v>
      </c>
      <c r="L130" s="121">
        <v>11850886.25</v>
      </c>
      <c r="M130" s="121">
        <v>4681760.8456909638</v>
      </c>
      <c r="N130" s="124" t="s">
        <v>1263</v>
      </c>
      <c r="O130" s="129">
        <v>0.13457634408686392</v>
      </c>
      <c r="P130" s="121">
        <v>630054.25850211421</v>
      </c>
      <c r="Q130" s="121">
        <v>45748295.088095672</v>
      </c>
    </row>
    <row r="131" spans="1:17" s="119" customFormat="1" ht="15" x14ac:dyDescent="0.25">
      <c r="A131" s="118" t="s">
        <v>926</v>
      </c>
      <c r="B131" s="119" t="s">
        <v>1243</v>
      </c>
      <c r="C131" s="120" t="s">
        <v>1082</v>
      </c>
      <c r="D131" s="119" t="s">
        <v>72</v>
      </c>
      <c r="E131" s="121">
        <v>332146.83168848138</v>
      </c>
      <c r="F131" s="121">
        <v>332146.83168848138</v>
      </c>
      <c r="G131" s="121">
        <v>332146.83168848138</v>
      </c>
      <c r="H131" s="121">
        <v>154307</v>
      </c>
      <c r="I131" s="122">
        <v>0.83603625089434774</v>
      </c>
      <c r="J131" s="123" t="b">
        <v>0</v>
      </c>
      <c r="K131" s="121">
        <v>129006.24576675412</v>
      </c>
      <c r="L131" s="121">
        <v>153737.25000000006</v>
      </c>
      <c r="M131" s="121">
        <v>129006.24576675412</v>
      </c>
      <c r="N131" s="124" t="s">
        <v>1251</v>
      </c>
      <c r="O131" s="122">
        <v>5.1009052318624626E-2</v>
      </c>
      <c r="P131" s="121">
        <v>6580.4863397457075</v>
      </c>
      <c r="Q131" s="121">
        <v>45754875.57443542</v>
      </c>
    </row>
    <row r="132" spans="1:17" s="119" customFormat="1" ht="15" x14ac:dyDescent="0.25">
      <c r="A132" s="127" t="s">
        <v>362</v>
      </c>
      <c r="B132" s="128" t="s">
        <v>360</v>
      </c>
      <c r="C132" s="120" t="s">
        <v>1135</v>
      </c>
      <c r="D132" s="128" t="s">
        <v>45</v>
      </c>
      <c r="E132" s="121">
        <v>332825.42152284144</v>
      </c>
      <c r="F132" s="121">
        <v>332825.42152284144</v>
      </c>
      <c r="G132" s="121">
        <v>332825.42152284144</v>
      </c>
      <c r="H132" s="121">
        <v>352788</v>
      </c>
      <c r="I132" s="129">
        <v>1</v>
      </c>
      <c r="J132" s="123" t="b">
        <v>1</v>
      </c>
      <c r="K132" s="121">
        <v>352788</v>
      </c>
      <c r="L132" s="121">
        <v>424502.5</v>
      </c>
      <c r="M132" s="121">
        <v>352788</v>
      </c>
      <c r="N132" s="124" t="s">
        <v>1251</v>
      </c>
      <c r="O132" s="122">
        <v>4.907022422045304E-2</v>
      </c>
      <c r="P132" s="121">
        <v>17311.386262285188</v>
      </c>
      <c r="Q132" s="121">
        <v>45772186.960697703</v>
      </c>
    </row>
    <row r="133" spans="1:17" s="107" customFormat="1" x14ac:dyDescent="0.25">
      <c r="A133" s="127" t="s">
        <v>923</v>
      </c>
      <c r="B133" s="128" t="s">
        <v>961</v>
      </c>
      <c r="C133" s="120" t="s">
        <v>998</v>
      </c>
      <c r="D133" s="128" t="s">
        <v>45</v>
      </c>
      <c r="E133" s="121">
        <v>347077.89145060931</v>
      </c>
      <c r="F133" s="121">
        <v>347077.89145060931</v>
      </c>
      <c r="G133" s="121">
        <v>347077.89145060931</v>
      </c>
      <c r="H133" s="121">
        <v>844525</v>
      </c>
      <c r="I133" s="129">
        <v>0.24170068027210889</v>
      </c>
      <c r="J133" s="123" t="b">
        <v>1</v>
      </c>
      <c r="K133" s="121">
        <v>204122.26700680275</v>
      </c>
      <c r="L133" s="121">
        <v>415129</v>
      </c>
      <c r="M133" s="121">
        <v>204122.26700680275</v>
      </c>
      <c r="N133" s="124" t="s">
        <v>1251</v>
      </c>
      <c r="O133" s="122">
        <v>8.3488815696877161E-3</v>
      </c>
      <c r="P133" s="121">
        <v>1704.1926329759704</v>
      </c>
      <c r="Q133" s="121">
        <v>45773891.153330676</v>
      </c>
    </row>
    <row r="134" spans="1:17" s="107" customFormat="1" x14ac:dyDescent="0.25">
      <c r="A134" s="108"/>
      <c r="E134" s="109"/>
      <c r="G134" s="109"/>
      <c r="H134" s="109"/>
      <c r="I134" s="110"/>
      <c r="K134" s="109"/>
      <c r="L134" s="109"/>
      <c r="M134" s="109"/>
      <c r="N134" s="112"/>
      <c r="O134" s="110"/>
      <c r="P134" s="109"/>
      <c r="Q134" s="109"/>
    </row>
    <row r="135" spans="1:17" s="107" customFormat="1" x14ac:dyDescent="0.25">
      <c r="A135" s="108"/>
      <c r="E135" s="109"/>
      <c r="G135" s="109"/>
      <c r="H135" s="109"/>
      <c r="I135" s="110"/>
      <c r="K135" s="109"/>
      <c r="L135" s="109"/>
      <c r="M135" s="109"/>
      <c r="N135" s="112"/>
      <c r="O135" s="110"/>
      <c r="P135" s="109"/>
      <c r="Q135" s="109"/>
    </row>
    <row r="136" spans="1:17" s="107" customFormat="1" x14ac:dyDescent="0.25">
      <c r="A136" s="108"/>
      <c r="E136" s="109"/>
      <c r="G136" s="109"/>
      <c r="H136" s="109"/>
      <c r="I136" s="110"/>
      <c r="K136" s="109"/>
      <c r="L136" s="109"/>
      <c r="M136" s="109"/>
      <c r="N136" s="112"/>
      <c r="O136" s="110"/>
      <c r="P136" s="109"/>
      <c r="Q136" s="109"/>
    </row>
    <row r="137" spans="1:17" s="107" customFormat="1" x14ac:dyDescent="0.25">
      <c r="A137" s="108"/>
      <c r="E137" s="109"/>
      <c r="G137" s="109"/>
      <c r="H137" s="109"/>
      <c r="I137" s="110"/>
      <c r="K137" s="109"/>
      <c r="L137" s="109"/>
      <c r="M137" s="109"/>
      <c r="N137" s="112"/>
      <c r="O137" s="110"/>
      <c r="P137" s="109"/>
      <c r="Q137" s="109"/>
    </row>
    <row r="138" spans="1:17" s="107" customFormat="1" x14ac:dyDescent="0.25">
      <c r="A138" s="108"/>
      <c r="E138" s="109"/>
      <c r="G138" s="109"/>
      <c r="H138" s="109"/>
      <c r="I138" s="110"/>
      <c r="K138" s="109"/>
      <c r="L138" s="109"/>
      <c r="M138" s="109"/>
      <c r="N138" s="112"/>
      <c r="O138" s="110"/>
      <c r="P138" s="109"/>
      <c r="Q138" s="109"/>
    </row>
    <row r="139" spans="1:17" s="107" customFormat="1" x14ac:dyDescent="0.25">
      <c r="A139" s="108"/>
      <c r="E139" s="109"/>
      <c r="G139" s="109"/>
      <c r="H139" s="109"/>
      <c r="I139" s="110"/>
      <c r="K139" s="109"/>
      <c r="L139" s="109"/>
      <c r="M139" s="109"/>
      <c r="N139" s="112"/>
      <c r="O139" s="110"/>
      <c r="P139" s="109"/>
      <c r="Q139" s="109"/>
    </row>
    <row r="140" spans="1:17" s="107" customFormat="1" x14ac:dyDescent="0.25">
      <c r="A140" s="108"/>
      <c r="E140" s="109"/>
      <c r="G140" s="109"/>
      <c r="H140" s="109"/>
      <c r="I140" s="110"/>
      <c r="K140" s="109"/>
      <c r="L140" s="109"/>
      <c r="M140" s="109"/>
      <c r="N140" s="112"/>
      <c r="O140" s="110"/>
      <c r="P140" s="109"/>
      <c r="Q140" s="109"/>
    </row>
    <row r="141" spans="1:17" s="107" customFormat="1" x14ac:dyDescent="0.25">
      <c r="A141" s="108"/>
      <c r="E141" s="109"/>
      <c r="G141" s="109"/>
      <c r="H141" s="109"/>
      <c r="I141" s="110"/>
      <c r="K141" s="109"/>
      <c r="L141" s="109"/>
      <c r="M141" s="109"/>
      <c r="N141" s="112"/>
      <c r="O141" s="110"/>
      <c r="P141" s="109"/>
      <c r="Q141" s="109"/>
    </row>
    <row r="142" spans="1:17" s="107" customFormat="1" x14ac:dyDescent="0.25">
      <c r="A142" s="108"/>
      <c r="E142" s="109"/>
      <c r="G142" s="109"/>
      <c r="H142" s="109"/>
      <c r="I142" s="110"/>
      <c r="K142" s="109"/>
      <c r="L142" s="109"/>
      <c r="M142" s="109"/>
      <c r="N142" s="112"/>
      <c r="O142" s="110"/>
      <c r="P142" s="109"/>
      <c r="Q142" s="109"/>
    </row>
    <row r="143" spans="1:17" s="107" customFormat="1" x14ac:dyDescent="0.25">
      <c r="A143" s="108"/>
      <c r="E143" s="109"/>
      <c r="G143" s="109"/>
      <c r="H143" s="109"/>
      <c r="I143" s="110"/>
      <c r="K143" s="109"/>
      <c r="L143" s="109"/>
      <c r="M143" s="109"/>
      <c r="N143" s="112"/>
      <c r="O143" s="110"/>
      <c r="P143" s="109"/>
      <c r="Q143" s="109"/>
    </row>
    <row r="144" spans="1:17" s="107" customFormat="1" x14ac:dyDescent="0.25">
      <c r="A144" s="108"/>
      <c r="E144" s="109"/>
      <c r="G144" s="109"/>
      <c r="H144" s="109"/>
      <c r="I144" s="110"/>
      <c r="K144" s="109"/>
      <c r="L144" s="109"/>
      <c r="M144" s="109"/>
      <c r="N144" s="112"/>
      <c r="O144" s="110"/>
      <c r="P144" s="109"/>
      <c r="Q144" s="109"/>
    </row>
    <row r="145" spans="1:17" s="107" customFormat="1" x14ac:dyDescent="0.25">
      <c r="A145" s="108"/>
      <c r="E145" s="109"/>
      <c r="G145" s="109"/>
      <c r="H145" s="109"/>
      <c r="I145" s="110"/>
      <c r="K145" s="109"/>
      <c r="L145" s="109"/>
      <c r="M145" s="109"/>
      <c r="N145" s="112"/>
      <c r="O145" s="110"/>
      <c r="P145" s="109"/>
      <c r="Q145" s="109"/>
    </row>
    <row r="146" spans="1:17" s="107" customFormat="1" x14ac:dyDescent="0.25">
      <c r="A146" s="108"/>
      <c r="E146" s="109"/>
      <c r="G146" s="109"/>
      <c r="H146" s="109"/>
      <c r="I146" s="110"/>
      <c r="K146" s="109"/>
      <c r="L146" s="109"/>
      <c r="M146" s="109"/>
      <c r="N146" s="112"/>
      <c r="O146" s="110"/>
      <c r="P146" s="109"/>
      <c r="Q146" s="109"/>
    </row>
    <row r="147" spans="1:17" s="107" customFormat="1" x14ac:dyDescent="0.25">
      <c r="A147" s="108"/>
      <c r="E147" s="109"/>
      <c r="G147" s="109"/>
      <c r="H147" s="109"/>
      <c r="I147" s="110"/>
      <c r="K147" s="109"/>
      <c r="L147" s="109"/>
      <c r="M147" s="109"/>
      <c r="N147" s="112"/>
      <c r="O147" s="110"/>
      <c r="P147" s="109"/>
      <c r="Q147" s="109"/>
    </row>
    <row r="148" spans="1:17" s="107" customFormat="1" x14ac:dyDescent="0.25">
      <c r="A148" s="108"/>
      <c r="E148" s="109"/>
      <c r="G148" s="109"/>
      <c r="H148" s="109"/>
      <c r="I148" s="110"/>
      <c r="K148" s="109"/>
      <c r="L148" s="109"/>
      <c r="M148" s="109"/>
      <c r="N148" s="112"/>
      <c r="O148" s="110"/>
      <c r="P148" s="109"/>
      <c r="Q148" s="109"/>
    </row>
    <row r="149" spans="1:17" s="107" customFormat="1" x14ac:dyDescent="0.25">
      <c r="A149" s="108"/>
      <c r="E149" s="109"/>
      <c r="G149" s="109"/>
      <c r="H149" s="109"/>
      <c r="I149" s="110"/>
      <c r="K149" s="109"/>
      <c r="L149" s="109"/>
      <c r="M149" s="109"/>
      <c r="N149" s="112"/>
      <c r="O149" s="110"/>
      <c r="P149" s="109"/>
      <c r="Q149" s="109"/>
    </row>
    <row r="150" spans="1:17" s="107" customFormat="1" x14ac:dyDescent="0.25">
      <c r="A150" s="108"/>
      <c r="E150" s="109"/>
      <c r="G150" s="109"/>
      <c r="H150" s="109"/>
      <c r="I150" s="110"/>
      <c r="K150" s="109"/>
      <c r="L150" s="109"/>
      <c r="M150" s="109"/>
      <c r="N150" s="112"/>
      <c r="O150" s="110"/>
      <c r="P150" s="109"/>
      <c r="Q150" s="109"/>
    </row>
    <row r="151" spans="1:17" s="107" customFormat="1" x14ac:dyDescent="0.25">
      <c r="A151" s="108"/>
      <c r="E151" s="109"/>
      <c r="G151" s="109"/>
      <c r="H151" s="109"/>
      <c r="I151" s="110"/>
      <c r="K151" s="109"/>
      <c r="L151" s="109"/>
      <c r="M151" s="109"/>
      <c r="N151" s="112"/>
      <c r="O151" s="110"/>
      <c r="P151" s="109"/>
      <c r="Q151" s="109"/>
    </row>
    <row r="152" spans="1:17" s="107" customFormat="1" x14ac:dyDescent="0.25">
      <c r="A152" s="108"/>
      <c r="E152" s="109"/>
      <c r="G152" s="109"/>
      <c r="H152" s="109"/>
      <c r="I152" s="110"/>
      <c r="K152" s="109"/>
      <c r="L152" s="109"/>
      <c r="M152" s="109"/>
      <c r="N152" s="112"/>
      <c r="O152" s="110"/>
      <c r="P152" s="109"/>
      <c r="Q152" s="109"/>
    </row>
    <row r="153" spans="1:17" s="107" customFormat="1" x14ac:dyDescent="0.25">
      <c r="A153" s="108"/>
      <c r="E153" s="109"/>
      <c r="G153" s="109"/>
      <c r="H153" s="109"/>
      <c r="I153" s="110"/>
      <c r="K153" s="109"/>
      <c r="L153" s="109"/>
      <c r="M153" s="109"/>
      <c r="N153" s="112"/>
      <c r="O153" s="110"/>
      <c r="P153" s="109"/>
      <c r="Q153" s="109"/>
    </row>
    <row r="154" spans="1:17" s="107" customFormat="1" x14ac:dyDescent="0.25">
      <c r="A154" s="108"/>
      <c r="E154" s="109"/>
      <c r="G154" s="109"/>
      <c r="H154" s="109"/>
      <c r="I154" s="110"/>
      <c r="K154" s="109"/>
      <c r="L154" s="109"/>
      <c r="M154" s="109"/>
      <c r="N154" s="112"/>
      <c r="O154" s="110"/>
      <c r="P154" s="109"/>
      <c r="Q154" s="109"/>
    </row>
    <row r="155" spans="1:17" s="107" customFormat="1" x14ac:dyDescent="0.25">
      <c r="A155" s="108"/>
      <c r="E155" s="109"/>
      <c r="G155" s="109"/>
      <c r="H155" s="109"/>
      <c r="I155" s="110"/>
      <c r="K155" s="109"/>
      <c r="L155" s="109"/>
      <c r="M155" s="109"/>
      <c r="N155" s="112"/>
      <c r="O155" s="110"/>
      <c r="P155" s="109"/>
      <c r="Q155" s="109"/>
    </row>
    <row r="156" spans="1:17" s="107" customFormat="1" x14ac:dyDescent="0.25">
      <c r="A156" s="108"/>
      <c r="E156" s="109"/>
      <c r="G156" s="109"/>
      <c r="H156" s="109"/>
      <c r="I156" s="110"/>
      <c r="K156" s="109"/>
      <c r="L156" s="109"/>
      <c r="M156" s="109"/>
      <c r="N156" s="112"/>
      <c r="O156" s="110"/>
      <c r="P156" s="109"/>
      <c r="Q156" s="109"/>
    </row>
    <row r="157" spans="1:17" s="107" customFormat="1" x14ac:dyDescent="0.25">
      <c r="A157" s="108"/>
      <c r="E157" s="109"/>
      <c r="G157" s="109"/>
      <c r="H157" s="109"/>
      <c r="I157" s="110"/>
      <c r="K157" s="109"/>
      <c r="L157" s="109"/>
      <c r="M157" s="109"/>
      <c r="N157" s="112"/>
      <c r="O157" s="110"/>
      <c r="P157" s="109"/>
      <c r="Q157" s="109"/>
    </row>
    <row r="158" spans="1:17" s="107" customFormat="1" x14ac:dyDescent="0.25">
      <c r="A158" s="108"/>
      <c r="E158" s="109"/>
      <c r="G158" s="109"/>
      <c r="H158" s="109"/>
      <c r="I158" s="110"/>
      <c r="K158" s="109"/>
      <c r="L158" s="109"/>
      <c r="M158" s="109"/>
      <c r="N158" s="112"/>
      <c r="O158" s="110"/>
      <c r="P158" s="109"/>
      <c r="Q158" s="109"/>
    </row>
    <row r="159" spans="1:17" s="107" customFormat="1" x14ac:dyDescent="0.25">
      <c r="A159" s="108"/>
      <c r="E159" s="109"/>
      <c r="G159" s="109"/>
      <c r="H159" s="109"/>
      <c r="I159" s="110"/>
      <c r="K159" s="109"/>
      <c r="L159" s="109"/>
      <c r="M159" s="109"/>
      <c r="N159" s="112"/>
      <c r="O159" s="110"/>
      <c r="P159" s="109"/>
      <c r="Q159" s="109"/>
    </row>
    <row r="160" spans="1:17" s="107" customFormat="1" x14ac:dyDescent="0.25">
      <c r="A160" s="108"/>
      <c r="E160" s="109"/>
      <c r="G160" s="109"/>
      <c r="H160" s="109"/>
      <c r="I160" s="110"/>
      <c r="K160" s="109"/>
      <c r="L160" s="109"/>
      <c r="M160" s="109"/>
      <c r="N160" s="112"/>
      <c r="O160" s="110"/>
      <c r="P160" s="109"/>
      <c r="Q160" s="109"/>
    </row>
    <row r="161" spans="1:17" s="107" customFormat="1" x14ac:dyDescent="0.25">
      <c r="A161" s="108"/>
      <c r="E161" s="109"/>
      <c r="G161" s="109"/>
      <c r="H161" s="109"/>
      <c r="I161" s="110"/>
      <c r="K161" s="109"/>
      <c r="L161" s="109"/>
      <c r="M161" s="109"/>
      <c r="N161" s="112"/>
      <c r="O161" s="110"/>
      <c r="P161" s="109"/>
      <c r="Q161" s="109"/>
    </row>
    <row r="162" spans="1:17" s="107" customFormat="1" x14ac:dyDescent="0.25">
      <c r="A162" s="108"/>
      <c r="E162" s="109"/>
      <c r="G162" s="109"/>
      <c r="H162" s="109"/>
      <c r="I162" s="110"/>
      <c r="K162" s="109"/>
      <c r="L162" s="109"/>
      <c r="M162" s="109"/>
      <c r="N162" s="112"/>
      <c r="O162" s="110"/>
      <c r="P162" s="109"/>
      <c r="Q162" s="109"/>
    </row>
    <row r="163" spans="1:17" s="107" customFormat="1" x14ac:dyDescent="0.25">
      <c r="A163" s="108"/>
      <c r="E163" s="109"/>
      <c r="G163" s="109"/>
      <c r="H163" s="109"/>
      <c r="I163" s="110"/>
      <c r="K163" s="109"/>
      <c r="L163" s="109"/>
      <c r="M163" s="109"/>
      <c r="N163" s="112"/>
      <c r="O163" s="110"/>
      <c r="P163" s="109"/>
      <c r="Q163" s="109"/>
    </row>
    <row r="164" spans="1:17" s="107" customFormat="1" x14ac:dyDescent="0.25">
      <c r="A164" s="108"/>
      <c r="E164" s="109"/>
      <c r="G164" s="109"/>
      <c r="H164" s="109"/>
      <c r="I164" s="110"/>
      <c r="K164" s="109"/>
      <c r="L164" s="109"/>
      <c r="M164" s="109"/>
      <c r="N164" s="112"/>
      <c r="O164" s="110"/>
      <c r="P164" s="109"/>
      <c r="Q164" s="109"/>
    </row>
    <row r="165" spans="1:17" s="107" customFormat="1" x14ac:dyDescent="0.25">
      <c r="A165" s="108"/>
      <c r="E165" s="109"/>
      <c r="G165" s="109"/>
      <c r="H165" s="109"/>
      <c r="I165" s="110"/>
      <c r="K165" s="109"/>
      <c r="L165" s="109"/>
      <c r="M165" s="109"/>
      <c r="N165" s="112"/>
      <c r="O165" s="110"/>
      <c r="P165" s="109"/>
      <c r="Q165" s="109"/>
    </row>
    <row r="166" spans="1:17" s="107" customFormat="1" x14ac:dyDescent="0.25">
      <c r="A166" s="108"/>
      <c r="E166" s="109"/>
      <c r="G166" s="109"/>
      <c r="H166" s="109"/>
      <c r="I166" s="110"/>
      <c r="K166" s="109"/>
      <c r="L166" s="109"/>
      <c r="M166" s="109"/>
      <c r="N166" s="112"/>
      <c r="O166" s="110"/>
      <c r="P166" s="109"/>
      <c r="Q166" s="109"/>
    </row>
    <row r="167" spans="1:17" s="107" customFormat="1" x14ac:dyDescent="0.25">
      <c r="A167" s="108"/>
      <c r="E167" s="109"/>
      <c r="G167" s="109"/>
      <c r="H167" s="109"/>
      <c r="I167" s="110"/>
      <c r="K167" s="109"/>
      <c r="L167" s="109"/>
      <c r="M167" s="109"/>
      <c r="N167" s="112"/>
      <c r="O167" s="110"/>
      <c r="P167" s="109"/>
      <c r="Q167" s="109"/>
    </row>
    <row r="168" spans="1:17" s="107" customFormat="1" x14ac:dyDescent="0.25">
      <c r="A168" s="108"/>
      <c r="E168" s="109"/>
      <c r="G168" s="109"/>
      <c r="H168" s="109"/>
      <c r="I168" s="110"/>
      <c r="K168" s="109"/>
      <c r="L168" s="109"/>
      <c r="M168" s="109"/>
      <c r="N168" s="112"/>
      <c r="O168" s="110"/>
      <c r="P168" s="109"/>
      <c r="Q168" s="109"/>
    </row>
    <row r="169" spans="1:17" s="107" customFormat="1" x14ac:dyDescent="0.25">
      <c r="A169" s="108"/>
      <c r="E169" s="109"/>
      <c r="G169" s="109"/>
      <c r="H169" s="109"/>
      <c r="I169" s="110"/>
      <c r="K169" s="109"/>
      <c r="L169" s="109"/>
      <c r="M169" s="109"/>
      <c r="N169" s="112"/>
      <c r="O169" s="110"/>
      <c r="P169" s="109"/>
      <c r="Q169" s="109"/>
    </row>
    <row r="170" spans="1:17" s="107" customFormat="1" x14ac:dyDescent="0.25">
      <c r="A170" s="108"/>
      <c r="E170" s="109"/>
      <c r="G170" s="109"/>
      <c r="H170" s="109"/>
      <c r="I170" s="110"/>
      <c r="K170" s="109"/>
      <c r="L170" s="109"/>
      <c r="M170" s="109"/>
      <c r="N170" s="112"/>
      <c r="O170" s="110"/>
      <c r="P170" s="109"/>
      <c r="Q170" s="109"/>
    </row>
    <row r="171" spans="1:17" s="107" customFormat="1" x14ac:dyDescent="0.25">
      <c r="A171" s="108"/>
      <c r="E171" s="109"/>
      <c r="G171" s="109"/>
      <c r="H171" s="109"/>
      <c r="I171" s="110"/>
      <c r="K171" s="109"/>
      <c r="L171" s="109"/>
      <c r="M171" s="109"/>
      <c r="N171" s="112"/>
      <c r="O171" s="110"/>
      <c r="P171" s="109"/>
      <c r="Q171" s="109"/>
    </row>
    <row r="172" spans="1:17" s="107" customFormat="1" x14ac:dyDescent="0.25">
      <c r="A172" s="108"/>
      <c r="E172" s="109"/>
      <c r="G172" s="109"/>
      <c r="H172" s="109"/>
      <c r="I172" s="110"/>
      <c r="K172" s="109"/>
      <c r="L172" s="109"/>
      <c r="M172" s="109"/>
      <c r="N172" s="112"/>
      <c r="O172" s="110"/>
      <c r="P172" s="109"/>
      <c r="Q172" s="109"/>
    </row>
    <row r="173" spans="1:17" s="107" customFormat="1" x14ac:dyDescent="0.25">
      <c r="A173" s="108"/>
      <c r="E173" s="109"/>
      <c r="G173" s="109"/>
      <c r="H173" s="109"/>
      <c r="I173" s="110"/>
      <c r="K173" s="109"/>
      <c r="L173" s="109"/>
      <c r="M173" s="109"/>
      <c r="N173" s="112"/>
      <c r="O173" s="110"/>
      <c r="P173" s="109"/>
      <c r="Q173" s="109"/>
    </row>
    <row r="174" spans="1:17" s="107" customFormat="1" x14ac:dyDescent="0.25">
      <c r="A174" s="108"/>
      <c r="E174" s="109"/>
      <c r="G174" s="109"/>
      <c r="H174" s="109"/>
      <c r="I174" s="110"/>
      <c r="K174" s="109"/>
      <c r="L174" s="109"/>
      <c r="M174" s="109"/>
      <c r="N174" s="112"/>
      <c r="O174" s="110"/>
      <c r="P174" s="109"/>
      <c r="Q174" s="109"/>
    </row>
    <row r="175" spans="1:17" s="107" customFormat="1" x14ac:dyDescent="0.25">
      <c r="A175" s="108"/>
      <c r="E175" s="109"/>
      <c r="G175" s="109"/>
      <c r="H175" s="109"/>
      <c r="I175" s="110"/>
      <c r="K175" s="109"/>
      <c r="L175" s="109"/>
      <c r="M175" s="109"/>
      <c r="N175" s="112"/>
      <c r="O175" s="110"/>
      <c r="P175" s="109"/>
      <c r="Q175" s="109"/>
    </row>
    <row r="176" spans="1:17" s="107" customFormat="1" x14ac:dyDescent="0.25">
      <c r="A176" s="108"/>
      <c r="E176" s="109"/>
      <c r="G176" s="109"/>
      <c r="H176" s="109"/>
      <c r="I176" s="110"/>
      <c r="K176" s="109"/>
      <c r="L176" s="109"/>
      <c r="M176" s="109"/>
      <c r="N176" s="112"/>
      <c r="O176" s="110"/>
      <c r="P176" s="109"/>
      <c r="Q176" s="109"/>
    </row>
    <row r="177" spans="1:17" s="107" customFormat="1" x14ac:dyDescent="0.25">
      <c r="A177" s="108"/>
      <c r="E177" s="109"/>
      <c r="G177" s="109"/>
      <c r="H177" s="109"/>
      <c r="I177" s="110"/>
      <c r="K177" s="109"/>
      <c r="L177" s="109"/>
      <c r="M177" s="109"/>
      <c r="N177" s="112"/>
      <c r="O177" s="110"/>
      <c r="P177" s="109"/>
      <c r="Q177" s="109"/>
    </row>
    <row r="178" spans="1:17" s="107" customFormat="1" x14ac:dyDescent="0.25">
      <c r="A178" s="108"/>
      <c r="E178" s="109"/>
      <c r="G178" s="109"/>
      <c r="H178" s="109"/>
      <c r="I178" s="110"/>
      <c r="K178" s="109"/>
      <c r="L178" s="109"/>
      <c r="M178" s="109"/>
      <c r="N178" s="112"/>
      <c r="O178" s="110"/>
      <c r="P178" s="109"/>
      <c r="Q178" s="109"/>
    </row>
    <row r="179" spans="1:17" s="107" customFormat="1" x14ac:dyDescent="0.25">
      <c r="A179" s="108"/>
      <c r="E179" s="109"/>
      <c r="G179" s="109"/>
      <c r="H179" s="109"/>
      <c r="I179" s="110"/>
      <c r="K179" s="109"/>
      <c r="L179" s="109"/>
      <c r="M179" s="109"/>
      <c r="N179" s="112"/>
      <c r="O179" s="110"/>
      <c r="P179" s="109"/>
      <c r="Q179" s="109"/>
    </row>
    <row r="180" spans="1:17" s="107" customFormat="1" x14ac:dyDescent="0.25">
      <c r="A180" s="108"/>
      <c r="E180" s="109"/>
      <c r="G180" s="109"/>
      <c r="H180" s="109"/>
      <c r="I180" s="110"/>
      <c r="K180" s="109"/>
      <c r="L180" s="109"/>
      <c r="M180" s="109"/>
      <c r="N180" s="112"/>
      <c r="O180" s="110"/>
      <c r="P180" s="109"/>
      <c r="Q180" s="109"/>
    </row>
    <row r="181" spans="1:17" s="107" customFormat="1" x14ac:dyDescent="0.25">
      <c r="A181" s="108"/>
      <c r="E181" s="109"/>
      <c r="G181" s="109"/>
      <c r="H181" s="109"/>
      <c r="I181" s="110"/>
      <c r="K181" s="109"/>
      <c r="L181" s="109"/>
      <c r="M181" s="109"/>
      <c r="N181" s="112"/>
      <c r="O181" s="110"/>
      <c r="P181" s="109"/>
      <c r="Q181" s="109"/>
    </row>
    <row r="182" spans="1:17" s="107" customFormat="1" x14ac:dyDescent="0.25">
      <c r="A182" s="108"/>
      <c r="E182" s="109"/>
      <c r="G182" s="109"/>
      <c r="H182" s="109"/>
      <c r="I182" s="110"/>
      <c r="K182" s="109"/>
      <c r="L182" s="109"/>
      <c r="M182" s="109"/>
      <c r="N182" s="112"/>
      <c r="O182" s="110"/>
      <c r="P182" s="109"/>
      <c r="Q182" s="109"/>
    </row>
    <row r="183" spans="1:17" x14ac:dyDescent="0.25">
      <c r="A183" s="103"/>
      <c r="B183" s="104"/>
      <c r="C183" s="104"/>
      <c r="D183" s="104"/>
      <c r="E183" s="105"/>
      <c r="F183" s="104"/>
      <c r="G183" s="105"/>
      <c r="H183" s="105"/>
      <c r="I183" s="106"/>
      <c r="J183" s="104"/>
      <c r="K183" s="105"/>
      <c r="L183" s="105"/>
      <c r="M183" s="105"/>
      <c r="N183" s="111"/>
      <c r="O183" s="106"/>
      <c r="P183" s="105"/>
      <c r="Q183" s="105"/>
    </row>
    <row r="184" spans="1:17" x14ac:dyDescent="0.25">
      <c r="A184" s="103"/>
      <c r="B184" s="104"/>
      <c r="C184" s="104"/>
      <c r="D184" s="104"/>
      <c r="E184" s="105"/>
      <c r="F184" s="104"/>
      <c r="G184" s="105"/>
      <c r="H184" s="105"/>
      <c r="I184" s="106"/>
      <c r="J184" s="104"/>
      <c r="K184" s="105"/>
      <c r="L184" s="105"/>
      <c r="M184" s="105"/>
      <c r="N184" s="111"/>
      <c r="O184" s="106"/>
      <c r="P184" s="105"/>
      <c r="Q184" s="105"/>
    </row>
    <row r="185" spans="1:17" x14ac:dyDescent="0.25">
      <c r="A185" s="103"/>
      <c r="B185" s="104"/>
      <c r="C185" s="104"/>
      <c r="D185" s="104"/>
      <c r="E185" s="105"/>
      <c r="F185" s="104"/>
      <c r="G185" s="105"/>
      <c r="H185" s="105"/>
      <c r="I185" s="106"/>
      <c r="J185" s="104"/>
      <c r="K185" s="105"/>
      <c r="L185" s="105"/>
      <c r="M185" s="105"/>
      <c r="N185" s="111"/>
      <c r="O185" s="106"/>
      <c r="P185" s="105"/>
      <c r="Q185" s="105"/>
    </row>
    <row r="186" spans="1:17" x14ac:dyDescent="0.25">
      <c r="A186" s="103"/>
      <c r="B186" s="104"/>
      <c r="C186" s="104"/>
      <c r="D186" s="104"/>
      <c r="E186" s="105"/>
      <c r="F186" s="104"/>
      <c r="G186" s="105"/>
      <c r="H186" s="105"/>
      <c r="I186" s="106"/>
      <c r="J186" s="104"/>
      <c r="K186" s="105"/>
      <c r="L186" s="105"/>
      <c r="M186" s="105"/>
      <c r="N186" s="111"/>
      <c r="O186" s="106"/>
      <c r="P186" s="105"/>
      <c r="Q186" s="105"/>
    </row>
    <row r="187" spans="1:17" x14ac:dyDescent="0.25">
      <c r="A187" s="103"/>
      <c r="B187" s="104"/>
      <c r="C187" s="104"/>
      <c r="D187" s="104"/>
      <c r="E187" s="105"/>
      <c r="F187" s="104"/>
      <c r="G187" s="105"/>
      <c r="H187" s="105"/>
      <c r="I187" s="106"/>
      <c r="J187" s="104"/>
      <c r="K187" s="105"/>
      <c r="L187" s="105"/>
      <c r="M187" s="105"/>
      <c r="N187" s="111"/>
      <c r="O187" s="106"/>
      <c r="P187" s="105"/>
      <c r="Q187" s="105"/>
    </row>
    <row r="188" spans="1:17" x14ac:dyDescent="0.25">
      <c r="A188" s="103"/>
      <c r="B188" s="104"/>
      <c r="C188" s="104"/>
      <c r="D188" s="104"/>
      <c r="E188" s="105"/>
      <c r="F188" s="104"/>
      <c r="G188" s="105"/>
      <c r="H188" s="105"/>
      <c r="I188" s="106"/>
      <c r="J188" s="104"/>
      <c r="K188" s="105"/>
      <c r="L188" s="105"/>
      <c r="M188" s="105"/>
      <c r="N188" s="111"/>
      <c r="O188" s="106"/>
      <c r="P188" s="105"/>
      <c r="Q188" s="105"/>
    </row>
    <row r="189" spans="1:17" x14ac:dyDescent="0.25">
      <c r="A189" s="103"/>
      <c r="B189" s="104"/>
      <c r="C189" s="104"/>
      <c r="D189" s="104"/>
      <c r="E189" s="105"/>
      <c r="F189" s="104"/>
      <c r="G189" s="105"/>
      <c r="H189" s="105"/>
      <c r="I189" s="106"/>
      <c r="J189" s="104"/>
      <c r="K189" s="105"/>
      <c r="L189" s="105"/>
      <c r="M189" s="105"/>
      <c r="N189" s="111"/>
      <c r="O189" s="106"/>
      <c r="P189" s="105"/>
      <c r="Q189" s="105"/>
    </row>
    <row r="190" spans="1:17" x14ac:dyDescent="0.25">
      <c r="A190" s="103"/>
      <c r="B190" s="104"/>
      <c r="C190" s="104"/>
      <c r="D190" s="104"/>
      <c r="E190" s="105"/>
      <c r="F190" s="104"/>
      <c r="G190" s="105"/>
      <c r="H190" s="105"/>
      <c r="I190" s="106"/>
      <c r="J190" s="104"/>
      <c r="K190" s="105"/>
      <c r="L190" s="105"/>
      <c r="M190" s="105"/>
      <c r="N190" s="111"/>
      <c r="O190" s="106"/>
      <c r="P190" s="105"/>
      <c r="Q190" s="105"/>
    </row>
    <row r="191" spans="1:17" x14ac:dyDescent="0.25">
      <c r="A191" s="103"/>
      <c r="B191" s="104"/>
      <c r="C191" s="104"/>
      <c r="D191" s="104"/>
      <c r="E191" s="105"/>
      <c r="F191" s="104"/>
      <c r="G191" s="105"/>
      <c r="H191" s="105"/>
      <c r="I191" s="106"/>
      <c r="J191" s="104"/>
      <c r="K191" s="105"/>
      <c r="L191" s="105"/>
      <c r="M191" s="105"/>
      <c r="N191" s="111"/>
      <c r="O191" s="106"/>
      <c r="P191" s="105"/>
      <c r="Q191" s="105"/>
    </row>
    <row r="192" spans="1:17" x14ac:dyDescent="0.25">
      <c r="A192" s="103"/>
      <c r="B192" s="104"/>
      <c r="C192" s="104"/>
      <c r="D192" s="104"/>
      <c r="E192" s="105"/>
      <c r="F192" s="104"/>
      <c r="G192" s="105"/>
      <c r="H192" s="105"/>
      <c r="I192" s="106"/>
      <c r="J192" s="104"/>
      <c r="K192" s="105"/>
      <c r="L192" s="105"/>
      <c r="M192" s="105"/>
      <c r="N192" s="111"/>
      <c r="O192" s="106"/>
      <c r="P192" s="105"/>
      <c r="Q192" s="105"/>
    </row>
    <row r="193" spans="1:17" x14ac:dyDescent="0.25">
      <c r="A193" s="103"/>
      <c r="B193" s="104"/>
      <c r="C193" s="104"/>
      <c r="D193" s="104"/>
      <c r="E193" s="105"/>
      <c r="F193" s="104"/>
      <c r="G193" s="105"/>
      <c r="H193" s="105"/>
      <c r="I193" s="106"/>
      <c r="J193" s="104"/>
      <c r="K193" s="105"/>
      <c r="L193" s="105"/>
      <c r="M193" s="105"/>
      <c r="N193" s="111"/>
      <c r="O193" s="106"/>
      <c r="P193" s="105"/>
      <c r="Q193" s="105"/>
    </row>
    <row r="194" spans="1:17" x14ac:dyDescent="0.25">
      <c r="A194" s="103"/>
      <c r="B194" s="104"/>
      <c r="C194" s="104"/>
      <c r="D194" s="104"/>
      <c r="E194" s="105"/>
      <c r="F194" s="104"/>
      <c r="G194" s="105"/>
      <c r="H194" s="105"/>
      <c r="I194" s="106"/>
      <c r="J194" s="104"/>
      <c r="K194" s="105"/>
      <c r="L194" s="105"/>
      <c r="M194" s="105"/>
      <c r="N194" s="111"/>
      <c r="O194" s="106"/>
      <c r="P194" s="105"/>
      <c r="Q194" s="105"/>
    </row>
    <row r="195" spans="1:17" x14ac:dyDescent="0.25">
      <c r="A195" s="103"/>
      <c r="B195" s="104"/>
      <c r="C195" s="104"/>
      <c r="D195" s="104"/>
      <c r="E195" s="105"/>
      <c r="F195" s="104"/>
      <c r="G195" s="105"/>
      <c r="H195" s="105"/>
      <c r="I195" s="106"/>
      <c r="J195" s="104"/>
      <c r="K195" s="105"/>
      <c r="L195" s="105"/>
      <c r="M195" s="105"/>
      <c r="N195" s="111"/>
      <c r="O195" s="106"/>
      <c r="P195" s="105"/>
      <c r="Q195" s="105"/>
    </row>
    <row r="196" spans="1:17" x14ac:dyDescent="0.25">
      <c r="A196" s="103"/>
      <c r="B196" s="104"/>
      <c r="C196" s="104"/>
      <c r="D196" s="104"/>
      <c r="E196" s="105"/>
      <c r="F196" s="104"/>
      <c r="G196" s="105"/>
      <c r="H196" s="105"/>
      <c r="I196" s="106"/>
      <c r="J196" s="104"/>
      <c r="K196" s="105"/>
      <c r="L196" s="105"/>
      <c r="M196" s="105"/>
      <c r="N196" s="111"/>
      <c r="O196" s="106"/>
      <c r="P196" s="105"/>
      <c r="Q196" s="105"/>
    </row>
    <row r="197" spans="1:17" x14ac:dyDescent="0.25">
      <c r="A197" s="103"/>
      <c r="B197" s="104"/>
      <c r="C197" s="104"/>
      <c r="D197" s="104"/>
      <c r="E197" s="105"/>
      <c r="F197" s="104"/>
      <c r="G197" s="105"/>
      <c r="H197" s="105"/>
      <c r="I197" s="106"/>
      <c r="J197" s="104"/>
      <c r="K197" s="105"/>
      <c r="L197" s="105"/>
      <c r="M197" s="105"/>
      <c r="N197" s="111"/>
      <c r="O197" s="106"/>
      <c r="P197" s="105"/>
      <c r="Q197" s="105"/>
    </row>
    <row r="198" spans="1:17" x14ac:dyDescent="0.25">
      <c r="A198" s="103"/>
      <c r="B198" s="104"/>
      <c r="C198" s="104"/>
      <c r="D198" s="104"/>
      <c r="E198" s="105"/>
      <c r="F198" s="104"/>
      <c r="G198" s="105"/>
      <c r="H198" s="105"/>
      <c r="I198" s="106"/>
      <c r="J198" s="104"/>
      <c r="K198" s="105"/>
      <c r="L198" s="105"/>
      <c r="M198" s="105"/>
      <c r="N198" s="111"/>
      <c r="O198" s="106"/>
      <c r="P198" s="105"/>
      <c r="Q198" s="105"/>
    </row>
    <row r="199" spans="1:17" x14ac:dyDescent="0.25">
      <c r="A199" s="103"/>
      <c r="B199" s="104"/>
      <c r="C199" s="104"/>
      <c r="D199" s="104"/>
      <c r="E199" s="105"/>
      <c r="F199" s="104"/>
      <c r="G199" s="105"/>
      <c r="H199" s="105"/>
      <c r="I199" s="106"/>
      <c r="J199" s="104"/>
      <c r="K199" s="105"/>
      <c r="L199" s="105"/>
      <c r="M199" s="105"/>
      <c r="N199" s="111"/>
      <c r="O199" s="106"/>
      <c r="P199" s="105"/>
      <c r="Q199" s="105"/>
    </row>
    <row r="200" spans="1:17" x14ac:dyDescent="0.25">
      <c r="A200" s="103"/>
      <c r="B200" s="104"/>
      <c r="C200" s="104"/>
      <c r="D200" s="104"/>
      <c r="E200" s="105"/>
      <c r="F200" s="104"/>
      <c r="G200" s="105"/>
      <c r="H200" s="105"/>
      <c r="I200" s="106"/>
      <c r="J200" s="104"/>
      <c r="K200" s="105"/>
      <c r="L200" s="105"/>
      <c r="M200" s="105"/>
      <c r="N200" s="111"/>
      <c r="O200" s="106"/>
      <c r="P200" s="105"/>
      <c r="Q200" s="105"/>
    </row>
    <row r="201" spans="1:17" x14ac:dyDescent="0.25">
      <c r="A201" s="103"/>
      <c r="B201" s="104"/>
      <c r="C201" s="104"/>
      <c r="D201" s="104"/>
      <c r="E201" s="105"/>
      <c r="F201" s="104"/>
      <c r="G201" s="105"/>
      <c r="H201" s="105"/>
      <c r="I201" s="106"/>
      <c r="J201" s="104"/>
      <c r="K201" s="105"/>
      <c r="L201" s="105"/>
      <c r="M201" s="105"/>
      <c r="N201" s="111"/>
      <c r="O201" s="106"/>
      <c r="P201" s="105"/>
      <c r="Q201" s="105"/>
    </row>
    <row r="202" spans="1:17" x14ac:dyDescent="0.25">
      <c r="A202" s="103"/>
      <c r="B202" s="104"/>
      <c r="C202" s="104"/>
      <c r="D202" s="104"/>
      <c r="E202" s="105"/>
      <c r="F202" s="104"/>
      <c r="G202" s="105"/>
      <c r="H202" s="105"/>
      <c r="I202" s="106"/>
      <c r="J202" s="104"/>
      <c r="K202" s="105"/>
      <c r="L202" s="105"/>
      <c r="M202" s="105"/>
      <c r="N202" s="111"/>
      <c r="O202" s="106"/>
      <c r="P202" s="105"/>
      <c r="Q202" s="105"/>
    </row>
    <row r="203" spans="1:17" x14ac:dyDescent="0.25">
      <c r="A203" s="103"/>
      <c r="B203" s="104"/>
      <c r="C203" s="104"/>
      <c r="D203" s="104"/>
      <c r="E203" s="105"/>
      <c r="F203" s="104"/>
      <c r="G203" s="105"/>
      <c r="H203" s="105"/>
      <c r="I203" s="106"/>
      <c r="J203" s="104"/>
      <c r="K203" s="105"/>
      <c r="L203" s="105"/>
      <c r="M203" s="105"/>
      <c r="N203" s="111"/>
      <c r="O203" s="106"/>
      <c r="P203" s="105"/>
      <c r="Q203" s="105"/>
    </row>
    <row r="204" spans="1:17" x14ac:dyDescent="0.25">
      <c r="A204" s="103"/>
      <c r="B204" s="104"/>
      <c r="C204" s="104"/>
      <c r="D204" s="104"/>
      <c r="E204" s="105"/>
      <c r="F204" s="104"/>
      <c r="G204" s="105"/>
      <c r="H204" s="105"/>
      <c r="I204" s="106"/>
      <c r="J204" s="104"/>
      <c r="K204" s="105"/>
      <c r="L204" s="105"/>
      <c r="M204" s="105"/>
      <c r="N204" s="111"/>
      <c r="O204" s="106"/>
      <c r="P204" s="105"/>
      <c r="Q204" s="105"/>
    </row>
    <row r="205" spans="1:17" x14ac:dyDescent="0.25">
      <c r="A205" s="103"/>
      <c r="B205" s="104"/>
      <c r="C205" s="104"/>
      <c r="D205" s="104"/>
      <c r="E205" s="105"/>
      <c r="F205" s="104"/>
      <c r="G205" s="105"/>
      <c r="H205" s="105"/>
      <c r="I205" s="106"/>
      <c r="J205" s="104"/>
      <c r="K205" s="105"/>
      <c r="L205" s="105"/>
      <c r="M205" s="105"/>
      <c r="N205" s="111"/>
      <c r="O205" s="106"/>
      <c r="P205" s="105"/>
      <c r="Q205" s="105"/>
    </row>
    <row r="206" spans="1:17" x14ac:dyDescent="0.25">
      <c r="A206" s="103"/>
      <c r="B206" s="104"/>
      <c r="C206" s="104"/>
      <c r="D206" s="104"/>
      <c r="E206" s="105"/>
      <c r="F206" s="104"/>
      <c r="G206" s="105"/>
      <c r="H206" s="105"/>
      <c r="I206" s="106"/>
      <c r="J206" s="104"/>
      <c r="K206" s="105"/>
      <c r="L206" s="105"/>
      <c r="M206" s="105"/>
      <c r="N206" s="111"/>
      <c r="O206" s="106"/>
      <c r="P206" s="105"/>
      <c r="Q206" s="105"/>
    </row>
    <row r="207" spans="1:17" x14ac:dyDescent="0.25">
      <c r="A207" s="103"/>
      <c r="B207" s="104"/>
      <c r="C207" s="104"/>
      <c r="D207" s="104"/>
      <c r="E207" s="105"/>
      <c r="F207" s="104"/>
      <c r="G207" s="105"/>
      <c r="H207" s="105"/>
      <c r="I207" s="106"/>
      <c r="J207" s="104"/>
      <c r="K207" s="105"/>
      <c r="L207" s="105"/>
      <c r="M207" s="105"/>
      <c r="N207" s="111"/>
      <c r="O207" s="106"/>
      <c r="P207" s="105"/>
      <c r="Q207" s="105"/>
    </row>
    <row r="208" spans="1:17" x14ac:dyDescent="0.25">
      <c r="A208" s="103"/>
      <c r="B208" s="104"/>
      <c r="C208" s="104"/>
      <c r="D208" s="104"/>
      <c r="E208" s="105"/>
      <c r="F208" s="104"/>
      <c r="G208" s="105"/>
      <c r="H208" s="105"/>
      <c r="I208" s="106"/>
      <c r="J208" s="104"/>
      <c r="K208" s="105"/>
      <c r="L208" s="105"/>
      <c r="M208" s="105"/>
      <c r="N208" s="111"/>
      <c r="O208" s="106"/>
      <c r="P208" s="105"/>
      <c r="Q208" s="105"/>
    </row>
    <row r="209" spans="1:17" x14ac:dyDescent="0.25">
      <c r="A209" s="103"/>
      <c r="B209" s="104"/>
      <c r="C209" s="104"/>
      <c r="D209" s="104"/>
      <c r="E209" s="105"/>
      <c r="F209" s="104"/>
      <c r="G209" s="105"/>
      <c r="H209" s="105"/>
      <c r="I209" s="106"/>
      <c r="J209" s="104"/>
      <c r="K209" s="105"/>
      <c r="L209" s="105"/>
      <c r="M209" s="105"/>
      <c r="N209" s="111"/>
      <c r="O209" s="106"/>
      <c r="P209" s="105"/>
      <c r="Q209" s="105"/>
    </row>
    <row r="210" spans="1:17" x14ac:dyDescent="0.25">
      <c r="A210" s="103"/>
      <c r="B210" s="104"/>
      <c r="C210" s="104"/>
      <c r="D210" s="104"/>
      <c r="E210" s="105"/>
      <c r="F210" s="104"/>
      <c r="G210" s="105"/>
      <c r="H210" s="105"/>
      <c r="I210" s="106"/>
      <c r="J210" s="104"/>
      <c r="K210" s="105"/>
      <c r="L210" s="105"/>
      <c r="M210" s="105"/>
      <c r="N210" s="111"/>
      <c r="O210" s="106"/>
      <c r="P210" s="105"/>
      <c r="Q210" s="105"/>
    </row>
    <row r="211" spans="1:17" x14ac:dyDescent="0.25">
      <c r="A211" s="103"/>
      <c r="B211" s="104"/>
      <c r="C211" s="104"/>
      <c r="D211" s="104"/>
      <c r="E211" s="105"/>
      <c r="F211" s="104"/>
      <c r="G211" s="105"/>
      <c r="H211" s="105"/>
      <c r="I211" s="106"/>
      <c r="J211" s="104"/>
      <c r="K211" s="105"/>
      <c r="L211" s="105"/>
      <c r="M211" s="105"/>
      <c r="N211" s="111"/>
      <c r="O211" s="106"/>
      <c r="P211" s="105"/>
      <c r="Q211" s="105"/>
    </row>
    <row r="212" spans="1:17" x14ac:dyDescent="0.25">
      <c r="A212" s="103"/>
      <c r="B212" s="104"/>
      <c r="C212" s="104"/>
      <c r="D212" s="104"/>
      <c r="E212" s="105"/>
      <c r="F212" s="104"/>
      <c r="G212" s="105"/>
      <c r="H212" s="105"/>
      <c r="I212" s="106"/>
      <c r="J212" s="104"/>
      <c r="K212" s="105"/>
      <c r="L212" s="105"/>
      <c r="M212" s="105"/>
      <c r="N212" s="111"/>
      <c r="O212" s="106"/>
      <c r="P212" s="105"/>
      <c r="Q212" s="105"/>
    </row>
    <row r="213" spans="1:17" x14ac:dyDescent="0.25">
      <c r="A213" s="103"/>
      <c r="B213" s="104"/>
      <c r="C213" s="104"/>
      <c r="D213" s="104"/>
      <c r="E213" s="105"/>
      <c r="F213" s="104"/>
      <c r="G213" s="105"/>
      <c r="H213" s="105"/>
      <c r="I213" s="106"/>
      <c r="J213" s="104"/>
      <c r="K213" s="105"/>
      <c r="L213" s="105"/>
      <c r="M213" s="105"/>
      <c r="N213" s="111"/>
      <c r="O213" s="106"/>
      <c r="P213" s="105"/>
      <c r="Q213" s="105"/>
    </row>
    <row r="214" spans="1:17" x14ac:dyDescent="0.25">
      <c r="A214" s="103"/>
      <c r="B214" s="104"/>
      <c r="C214" s="104"/>
      <c r="D214" s="104"/>
      <c r="E214" s="105"/>
      <c r="F214" s="104"/>
      <c r="G214" s="105"/>
      <c r="H214" s="105"/>
      <c r="I214" s="106"/>
      <c r="J214" s="104"/>
      <c r="K214" s="105"/>
      <c r="L214" s="105"/>
      <c r="M214" s="105"/>
      <c r="N214" s="111"/>
      <c r="O214" s="106"/>
      <c r="P214" s="105"/>
      <c r="Q214" s="105"/>
    </row>
    <row r="215" spans="1:17" x14ac:dyDescent="0.25">
      <c r="A215" s="103"/>
      <c r="B215" s="104"/>
      <c r="C215" s="104"/>
      <c r="D215" s="104"/>
      <c r="E215" s="105"/>
      <c r="F215" s="104"/>
      <c r="G215" s="105"/>
      <c r="H215" s="105"/>
      <c r="I215" s="106"/>
      <c r="J215" s="104"/>
      <c r="K215" s="105"/>
      <c r="L215" s="105"/>
      <c r="M215" s="105"/>
      <c r="N215" s="111"/>
      <c r="O215" s="106"/>
      <c r="P215" s="105"/>
      <c r="Q215" s="105"/>
    </row>
    <row r="216" spans="1:17" x14ac:dyDescent="0.25">
      <c r="A216" s="103"/>
      <c r="B216" s="104"/>
      <c r="C216" s="104"/>
      <c r="D216" s="104"/>
      <c r="E216" s="105"/>
      <c r="F216" s="104"/>
      <c r="G216" s="105"/>
      <c r="H216" s="105"/>
      <c r="I216" s="106"/>
      <c r="J216" s="104"/>
      <c r="K216" s="105"/>
      <c r="L216" s="105"/>
      <c r="M216" s="105"/>
      <c r="N216" s="111"/>
      <c r="O216" s="106"/>
      <c r="P216" s="105"/>
      <c r="Q216" s="105"/>
    </row>
    <row r="217" spans="1:17" x14ac:dyDescent="0.25">
      <c r="A217" s="103"/>
      <c r="B217" s="104"/>
      <c r="C217" s="104"/>
      <c r="D217" s="104"/>
      <c r="E217" s="105"/>
      <c r="F217" s="104"/>
      <c r="G217" s="105"/>
      <c r="H217" s="105"/>
      <c r="I217" s="106"/>
      <c r="J217" s="104"/>
      <c r="K217" s="105"/>
      <c r="L217" s="105"/>
      <c r="M217" s="105"/>
      <c r="N217" s="111"/>
      <c r="O217" s="106"/>
      <c r="P217" s="105"/>
      <c r="Q217" s="105"/>
    </row>
    <row r="218" spans="1:17" x14ac:dyDescent="0.25">
      <c r="A218" s="103"/>
      <c r="B218" s="104"/>
      <c r="C218" s="104"/>
      <c r="D218" s="104"/>
      <c r="E218" s="105"/>
      <c r="F218" s="104"/>
      <c r="G218" s="105"/>
      <c r="H218" s="105"/>
      <c r="I218" s="106"/>
      <c r="J218" s="104"/>
      <c r="K218" s="105"/>
      <c r="L218" s="105"/>
      <c r="M218" s="105"/>
      <c r="N218" s="111"/>
      <c r="O218" s="106"/>
      <c r="P218" s="105"/>
      <c r="Q218" s="105"/>
    </row>
    <row r="219" spans="1:17" x14ac:dyDescent="0.25">
      <c r="A219" s="103"/>
      <c r="B219" s="104"/>
      <c r="C219" s="104"/>
      <c r="D219" s="104"/>
      <c r="E219" s="105"/>
      <c r="F219" s="104"/>
      <c r="G219" s="105"/>
      <c r="H219" s="105"/>
      <c r="I219" s="106"/>
      <c r="J219" s="104"/>
      <c r="K219" s="105"/>
      <c r="L219" s="105"/>
      <c r="M219" s="105"/>
      <c r="N219" s="111"/>
      <c r="O219" s="106"/>
      <c r="P219" s="105"/>
      <c r="Q219" s="105"/>
    </row>
    <row r="220" spans="1:17" x14ac:dyDescent="0.25">
      <c r="A220" s="103"/>
      <c r="B220" s="104"/>
      <c r="C220" s="104"/>
      <c r="D220" s="104"/>
      <c r="E220" s="105"/>
      <c r="F220" s="104"/>
      <c r="G220" s="105"/>
      <c r="H220" s="105"/>
      <c r="I220" s="106"/>
      <c r="J220" s="104"/>
      <c r="K220" s="105"/>
      <c r="L220" s="105"/>
      <c r="M220" s="105"/>
      <c r="N220" s="111"/>
      <c r="O220" s="106"/>
      <c r="P220" s="105"/>
      <c r="Q220" s="105"/>
    </row>
    <row r="221" spans="1:17" x14ac:dyDescent="0.25">
      <c r="A221" s="103"/>
      <c r="B221" s="104"/>
      <c r="C221" s="104"/>
      <c r="D221" s="104"/>
      <c r="E221" s="105"/>
      <c r="F221" s="104"/>
      <c r="G221" s="105"/>
      <c r="H221" s="105"/>
      <c r="I221" s="106"/>
      <c r="J221" s="104"/>
      <c r="K221" s="105"/>
      <c r="L221" s="105"/>
      <c r="M221" s="105"/>
      <c r="N221" s="111"/>
      <c r="O221" s="106"/>
      <c r="P221" s="105"/>
      <c r="Q221" s="105"/>
    </row>
    <row r="222" spans="1:17" x14ac:dyDescent="0.25">
      <c r="A222" s="103"/>
      <c r="B222" s="104"/>
      <c r="C222" s="104"/>
      <c r="D222" s="104"/>
      <c r="E222" s="105"/>
      <c r="F222" s="104"/>
      <c r="G222" s="105"/>
      <c r="H222" s="105"/>
      <c r="I222" s="106"/>
      <c r="J222" s="104"/>
      <c r="K222" s="105"/>
      <c r="L222" s="105"/>
      <c r="M222" s="105"/>
      <c r="N222" s="111"/>
      <c r="O222" s="106"/>
      <c r="P222" s="105"/>
      <c r="Q222" s="105"/>
    </row>
    <row r="223" spans="1:17" x14ac:dyDescent="0.25">
      <c r="A223" s="103"/>
      <c r="B223" s="104"/>
      <c r="C223" s="104"/>
      <c r="D223" s="104"/>
      <c r="E223" s="105"/>
      <c r="F223" s="104"/>
      <c r="G223" s="105"/>
      <c r="H223" s="105"/>
      <c r="I223" s="106"/>
      <c r="J223" s="104"/>
      <c r="K223" s="105"/>
      <c r="L223" s="105"/>
      <c r="M223" s="105"/>
      <c r="N223" s="111"/>
      <c r="O223" s="106"/>
      <c r="P223" s="105"/>
      <c r="Q223" s="105"/>
    </row>
    <row r="224" spans="1:17" x14ac:dyDescent="0.25">
      <c r="A224" s="103"/>
      <c r="B224" s="104"/>
      <c r="C224" s="104"/>
      <c r="D224" s="104"/>
      <c r="E224" s="105"/>
      <c r="F224" s="104"/>
      <c r="G224" s="105"/>
      <c r="H224" s="105"/>
      <c r="I224" s="106"/>
      <c r="J224" s="104"/>
      <c r="K224" s="105"/>
      <c r="L224" s="105"/>
      <c r="M224" s="105"/>
      <c r="N224" s="111"/>
      <c r="O224" s="106"/>
      <c r="P224" s="105"/>
      <c r="Q224" s="105"/>
    </row>
    <row r="225" spans="1:17" x14ac:dyDescent="0.25">
      <c r="A225" s="103"/>
      <c r="B225" s="104"/>
      <c r="C225" s="104"/>
      <c r="D225" s="104"/>
      <c r="E225" s="105"/>
      <c r="F225" s="104"/>
      <c r="G225" s="105"/>
      <c r="H225" s="105"/>
      <c r="I225" s="106"/>
      <c r="J225" s="104"/>
      <c r="K225" s="105"/>
      <c r="L225" s="105"/>
      <c r="M225" s="105"/>
      <c r="N225" s="111"/>
      <c r="O225" s="106"/>
      <c r="P225" s="105"/>
      <c r="Q225" s="105"/>
    </row>
    <row r="226" spans="1:17" x14ac:dyDescent="0.25">
      <c r="A226" s="103"/>
      <c r="B226" s="104"/>
      <c r="C226" s="104"/>
      <c r="D226" s="104"/>
      <c r="E226" s="105"/>
      <c r="F226" s="104"/>
      <c r="G226" s="105"/>
      <c r="H226" s="105"/>
      <c r="I226" s="106"/>
      <c r="J226" s="104"/>
      <c r="K226" s="105"/>
      <c r="L226" s="105"/>
      <c r="M226" s="105"/>
      <c r="N226" s="111"/>
      <c r="O226" s="106"/>
      <c r="P226" s="105"/>
      <c r="Q226" s="105"/>
    </row>
    <row r="227" spans="1:17" x14ac:dyDescent="0.25">
      <c r="A227" s="103"/>
      <c r="B227" s="104"/>
      <c r="C227" s="104"/>
      <c r="D227" s="104"/>
      <c r="E227" s="105"/>
      <c r="F227" s="104"/>
      <c r="G227" s="105"/>
      <c r="H227" s="105"/>
      <c r="I227" s="106"/>
      <c r="J227" s="104"/>
      <c r="K227" s="105"/>
      <c r="L227" s="105"/>
      <c r="M227" s="105"/>
      <c r="N227" s="111"/>
      <c r="O227" s="106"/>
      <c r="P227" s="105"/>
      <c r="Q227" s="105"/>
    </row>
    <row r="228" spans="1:17" x14ac:dyDescent="0.25">
      <c r="A228" s="103"/>
      <c r="B228" s="104"/>
      <c r="C228" s="104"/>
      <c r="D228" s="104"/>
      <c r="E228" s="105"/>
      <c r="F228" s="104"/>
      <c r="G228" s="105"/>
      <c r="H228" s="105"/>
      <c r="I228" s="106"/>
      <c r="J228" s="104"/>
      <c r="K228" s="105"/>
      <c r="L228" s="105"/>
      <c r="M228" s="105"/>
      <c r="N228" s="111"/>
      <c r="O228" s="106"/>
      <c r="P228" s="105"/>
      <c r="Q228" s="105"/>
    </row>
    <row r="229" spans="1:17" x14ac:dyDescent="0.25">
      <c r="A229" s="103"/>
      <c r="B229" s="104"/>
      <c r="C229" s="104"/>
      <c r="D229" s="104"/>
      <c r="E229" s="105"/>
      <c r="F229" s="104"/>
      <c r="G229" s="105"/>
      <c r="H229" s="105"/>
      <c r="I229" s="106"/>
      <c r="J229" s="104"/>
      <c r="K229" s="105"/>
      <c r="L229" s="105"/>
      <c r="M229" s="105"/>
      <c r="N229" s="111"/>
      <c r="O229" s="106"/>
      <c r="P229" s="105"/>
      <c r="Q229" s="105"/>
    </row>
    <row r="230" spans="1:17" x14ac:dyDescent="0.25">
      <c r="A230" s="103"/>
      <c r="B230" s="104"/>
      <c r="C230" s="104"/>
      <c r="D230" s="104"/>
      <c r="E230" s="105"/>
      <c r="F230" s="104"/>
      <c r="G230" s="105"/>
      <c r="H230" s="105"/>
      <c r="I230" s="106"/>
      <c r="J230" s="104"/>
      <c r="K230" s="105"/>
      <c r="L230" s="105"/>
      <c r="M230" s="105"/>
      <c r="N230" s="111"/>
      <c r="O230" s="106"/>
      <c r="P230" s="105"/>
      <c r="Q230" s="105"/>
    </row>
    <row r="231" spans="1:17" x14ac:dyDescent="0.25">
      <c r="A231" s="103"/>
      <c r="B231" s="104"/>
      <c r="C231" s="104"/>
      <c r="D231" s="104"/>
      <c r="E231" s="105"/>
      <c r="F231" s="104"/>
      <c r="G231" s="105"/>
      <c r="H231" s="105"/>
      <c r="I231" s="106"/>
      <c r="J231" s="104"/>
      <c r="K231" s="105"/>
      <c r="L231" s="105"/>
      <c r="M231" s="105"/>
      <c r="N231" s="111"/>
      <c r="O231" s="106"/>
      <c r="P231" s="105"/>
      <c r="Q231" s="105"/>
    </row>
    <row r="232" spans="1:17" x14ac:dyDescent="0.25">
      <c r="A232" s="103"/>
      <c r="B232" s="104"/>
      <c r="C232" s="104"/>
      <c r="D232" s="104"/>
      <c r="E232" s="105"/>
      <c r="F232" s="104"/>
      <c r="G232" s="105"/>
      <c r="H232" s="105"/>
      <c r="I232" s="106"/>
      <c r="J232" s="104"/>
      <c r="K232" s="105"/>
      <c r="L232" s="105"/>
      <c r="M232" s="105"/>
      <c r="N232" s="111"/>
      <c r="O232" s="106"/>
      <c r="P232" s="105"/>
      <c r="Q232" s="105"/>
    </row>
    <row r="233" spans="1:17" x14ac:dyDescent="0.25">
      <c r="A233" s="103"/>
      <c r="B233" s="104"/>
      <c r="C233" s="104"/>
      <c r="D233" s="104"/>
      <c r="E233" s="105"/>
      <c r="F233" s="104"/>
      <c r="G233" s="105"/>
      <c r="H233" s="105"/>
      <c r="I233" s="106"/>
      <c r="J233" s="104"/>
      <c r="K233" s="105"/>
      <c r="L233" s="105"/>
      <c r="M233" s="105"/>
      <c r="N233" s="111"/>
      <c r="O233" s="106"/>
      <c r="P233" s="105"/>
      <c r="Q233" s="105"/>
    </row>
    <row r="234" spans="1:17" x14ac:dyDescent="0.25">
      <c r="A234" s="103"/>
      <c r="B234" s="104"/>
      <c r="C234" s="104"/>
      <c r="D234" s="104"/>
      <c r="E234" s="105"/>
      <c r="F234" s="104"/>
      <c r="G234" s="105"/>
      <c r="H234" s="105"/>
      <c r="I234" s="106"/>
      <c r="J234" s="104"/>
      <c r="K234" s="105"/>
      <c r="L234" s="105"/>
      <c r="M234" s="105"/>
      <c r="N234" s="111"/>
      <c r="O234" s="106"/>
      <c r="P234" s="105"/>
      <c r="Q234" s="105"/>
    </row>
    <row r="235" spans="1:17" x14ac:dyDescent="0.25">
      <c r="A235" s="103"/>
      <c r="B235" s="104"/>
      <c r="C235" s="104"/>
      <c r="D235" s="104"/>
      <c r="E235" s="105"/>
      <c r="F235" s="104"/>
      <c r="G235" s="105"/>
      <c r="H235" s="105"/>
      <c r="I235" s="106"/>
      <c r="J235" s="104"/>
      <c r="K235" s="105"/>
      <c r="L235" s="105"/>
      <c r="M235" s="105"/>
      <c r="N235" s="111"/>
      <c r="O235" s="106"/>
      <c r="P235" s="105"/>
      <c r="Q235" s="105"/>
    </row>
    <row r="236" spans="1:17" x14ac:dyDescent="0.25">
      <c r="A236" s="103"/>
      <c r="B236" s="104"/>
      <c r="C236" s="104"/>
      <c r="D236" s="104"/>
      <c r="E236" s="105"/>
      <c r="F236" s="104"/>
      <c r="G236" s="105"/>
      <c r="H236" s="105"/>
      <c r="I236" s="106"/>
      <c r="J236" s="104"/>
      <c r="K236" s="105"/>
      <c r="L236" s="105"/>
      <c r="M236" s="105"/>
      <c r="N236" s="111"/>
      <c r="O236" s="106"/>
      <c r="P236" s="105"/>
      <c r="Q236" s="105"/>
    </row>
    <row r="237" spans="1:17" x14ac:dyDescent="0.25">
      <c r="A237" s="103"/>
      <c r="B237" s="104"/>
      <c r="C237" s="104"/>
      <c r="D237" s="104"/>
      <c r="E237" s="105"/>
      <c r="F237" s="104"/>
      <c r="G237" s="105"/>
      <c r="H237" s="105"/>
      <c r="I237" s="106"/>
      <c r="J237" s="104"/>
      <c r="K237" s="105"/>
      <c r="L237" s="105"/>
      <c r="M237" s="105"/>
      <c r="N237" s="111"/>
      <c r="O237" s="106"/>
      <c r="P237" s="105"/>
      <c r="Q237" s="105"/>
    </row>
    <row r="238" spans="1:17" x14ac:dyDescent="0.25">
      <c r="A238" s="103"/>
      <c r="B238" s="104"/>
      <c r="C238" s="104"/>
      <c r="D238" s="104"/>
      <c r="E238" s="105"/>
      <c r="F238" s="104"/>
      <c r="G238" s="105"/>
      <c r="H238" s="105"/>
      <c r="I238" s="106"/>
      <c r="J238" s="104"/>
      <c r="K238" s="105"/>
      <c r="L238" s="105"/>
      <c r="M238" s="105"/>
      <c r="N238" s="111"/>
      <c r="O238" s="106"/>
      <c r="P238" s="105"/>
      <c r="Q238" s="105"/>
    </row>
    <row r="239" spans="1:17" x14ac:dyDescent="0.25">
      <c r="A239" s="103"/>
      <c r="B239" s="104"/>
      <c r="C239" s="104"/>
      <c r="D239" s="104"/>
      <c r="E239" s="105"/>
      <c r="F239" s="104"/>
      <c r="G239" s="105"/>
      <c r="H239" s="105"/>
      <c r="I239" s="106"/>
      <c r="J239" s="104"/>
      <c r="K239" s="105"/>
      <c r="L239" s="105"/>
      <c r="M239" s="105"/>
      <c r="N239" s="111"/>
      <c r="O239" s="106"/>
      <c r="P239" s="105"/>
      <c r="Q239" s="105"/>
    </row>
    <row r="240" spans="1:17" x14ac:dyDescent="0.25">
      <c r="A240" s="103"/>
      <c r="B240" s="104"/>
      <c r="C240" s="104"/>
      <c r="D240" s="104"/>
      <c r="E240" s="105"/>
      <c r="F240" s="104"/>
      <c r="G240" s="105"/>
      <c r="H240" s="105"/>
      <c r="I240" s="106"/>
      <c r="J240" s="104"/>
      <c r="K240" s="105"/>
      <c r="L240" s="105"/>
      <c r="M240" s="105"/>
      <c r="N240" s="111"/>
      <c r="O240" s="106"/>
      <c r="P240" s="105"/>
      <c r="Q240" s="105"/>
    </row>
    <row r="241" spans="1:17" x14ac:dyDescent="0.25">
      <c r="A241" s="103"/>
      <c r="B241" s="104"/>
      <c r="C241" s="104"/>
      <c r="D241" s="104"/>
      <c r="E241" s="105"/>
      <c r="F241" s="104"/>
      <c r="G241" s="105"/>
      <c r="H241" s="105"/>
      <c r="I241" s="106"/>
      <c r="J241" s="104"/>
      <c r="K241" s="105"/>
      <c r="L241" s="105"/>
      <c r="M241" s="105"/>
      <c r="N241" s="111"/>
      <c r="O241" s="106"/>
      <c r="P241" s="105"/>
      <c r="Q241" s="105"/>
    </row>
    <row r="242" spans="1:17" x14ac:dyDescent="0.25">
      <c r="A242" s="103"/>
      <c r="B242" s="104"/>
      <c r="C242" s="104"/>
      <c r="D242" s="104"/>
      <c r="E242" s="105"/>
      <c r="F242" s="104"/>
      <c r="G242" s="105"/>
      <c r="H242" s="105"/>
      <c r="I242" s="106"/>
      <c r="J242" s="104"/>
      <c r="K242" s="105"/>
      <c r="L242" s="105"/>
      <c r="M242" s="105"/>
      <c r="N242" s="111"/>
      <c r="O242" s="106"/>
      <c r="P242" s="105"/>
      <c r="Q242" s="105"/>
    </row>
    <row r="243" spans="1:17" x14ac:dyDescent="0.25">
      <c r="A243" s="103"/>
      <c r="B243" s="104"/>
      <c r="C243" s="104"/>
      <c r="D243" s="104"/>
      <c r="E243" s="105"/>
      <c r="F243" s="104"/>
      <c r="G243" s="105"/>
      <c r="H243" s="105"/>
      <c r="I243" s="106"/>
      <c r="J243" s="104"/>
      <c r="K243" s="105"/>
      <c r="L243" s="105"/>
      <c r="M243" s="105"/>
      <c r="N243" s="111"/>
      <c r="O243" s="106"/>
      <c r="P243" s="105"/>
      <c r="Q243" s="105"/>
    </row>
    <row r="244" spans="1:17" x14ac:dyDescent="0.25">
      <c r="A244" s="103"/>
      <c r="B244" s="104"/>
      <c r="C244" s="104"/>
      <c r="D244" s="104"/>
      <c r="E244" s="105"/>
      <c r="F244" s="104"/>
      <c r="G244" s="105"/>
      <c r="H244" s="105"/>
      <c r="I244" s="106"/>
      <c r="J244" s="104"/>
      <c r="K244" s="105"/>
      <c r="L244" s="105"/>
      <c r="M244" s="105"/>
      <c r="N244" s="111"/>
      <c r="O244" s="106"/>
      <c r="P244" s="105"/>
      <c r="Q244" s="105"/>
    </row>
    <row r="245" spans="1:17" x14ac:dyDescent="0.25">
      <c r="A245" s="103"/>
      <c r="B245" s="104"/>
      <c r="C245" s="104"/>
      <c r="D245" s="104"/>
      <c r="E245" s="105"/>
      <c r="F245" s="104"/>
      <c r="G245" s="105"/>
      <c r="H245" s="105"/>
      <c r="I245" s="106"/>
      <c r="J245" s="104"/>
      <c r="K245" s="105"/>
      <c r="L245" s="105"/>
      <c r="M245" s="105"/>
      <c r="N245" s="111"/>
      <c r="O245" s="106"/>
      <c r="P245" s="105"/>
      <c r="Q245" s="105"/>
    </row>
    <row r="246" spans="1:17" x14ac:dyDescent="0.25">
      <c r="A246" s="103"/>
      <c r="B246" s="104"/>
      <c r="C246" s="104"/>
      <c r="D246" s="104"/>
      <c r="E246" s="105"/>
      <c r="F246" s="104"/>
      <c r="G246" s="105"/>
      <c r="H246" s="105"/>
      <c r="I246" s="106"/>
      <c r="J246" s="104"/>
      <c r="K246" s="105"/>
      <c r="L246" s="105"/>
      <c r="M246" s="105"/>
      <c r="N246" s="111"/>
      <c r="O246" s="106"/>
      <c r="P246" s="105"/>
      <c r="Q246" s="105"/>
    </row>
    <row r="247" spans="1:17" x14ac:dyDescent="0.25">
      <c r="A247" s="103"/>
      <c r="B247" s="104"/>
      <c r="C247" s="104"/>
      <c r="D247" s="104"/>
      <c r="E247" s="105"/>
      <c r="F247" s="104"/>
      <c r="G247" s="105"/>
      <c r="H247" s="105"/>
      <c r="I247" s="106"/>
      <c r="J247" s="104"/>
      <c r="K247" s="105"/>
      <c r="L247" s="105"/>
      <c r="M247" s="105"/>
      <c r="N247" s="111"/>
      <c r="O247" s="106"/>
      <c r="P247" s="105"/>
      <c r="Q247" s="105"/>
    </row>
    <row r="248" spans="1:17" x14ac:dyDescent="0.25">
      <c r="A248" s="103"/>
      <c r="B248" s="104"/>
      <c r="C248" s="104"/>
      <c r="D248" s="104"/>
      <c r="E248" s="105"/>
      <c r="F248" s="104"/>
      <c r="G248" s="105"/>
      <c r="H248" s="105"/>
      <c r="I248" s="106"/>
      <c r="J248" s="104"/>
      <c r="K248" s="105"/>
      <c r="L248" s="105"/>
      <c r="M248" s="105"/>
      <c r="N248" s="111"/>
      <c r="O248" s="106"/>
      <c r="P248" s="105"/>
      <c r="Q248" s="105"/>
    </row>
    <row r="249" spans="1:17" x14ac:dyDescent="0.25">
      <c r="A249" s="103"/>
      <c r="B249" s="104"/>
      <c r="C249" s="104"/>
      <c r="D249" s="104"/>
      <c r="E249" s="105"/>
      <c r="F249" s="104"/>
      <c r="G249" s="105"/>
      <c r="H249" s="105"/>
      <c r="I249" s="106"/>
      <c r="J249" s="104"/>
      <c r="K249" s="105"/>
      <c r="L249" s="105"/>
      <c r="M249" s="105"/>
      <c r="N249" s="111"/>
      <c r="O249" s="106"/>
      <c r="P249" s="105"/>
      <c r="Q249" s="105"/>
    </row>
    <row r="250" spans="1:17" x14ac:dyDescent="0.25">
      <c r="A250" s="103"/>
      <c r="B250" s="104"/>
      <c r="C250" s="104"/>
      <c r="D250" s="104"/>
      <c r="E250" s="105"/>
      <c r="F250" s="104"/>
      <c r="G250" s="105"/>
      <c r="H250" s="105"/>
      <c r="I250" s="106"/>
      <c r="J250" s="104"/>
      <c r="K250" s="105"/>
      <c r="L250" s="105"/>
      <c r="M250" s="105"/>
      <c r="N250" s="111"/>
      <c r="O250" s="106"/>
      <c r="P250" s="105"/>
      <c r="Q250" s="105"/>
    </row>
    <row r="251" spans="1:17" x14ac:dyDescent="0.25">
      <c r="A251" s="103"/>
      <c r="B251" s="104"/>
      <c r="C251" s="104"/>
      <c r="D251" s="104"/>
      <c r="E251" s="105"/>
      <c r="F251" s="104"/>
      <c r="G251" s="105"/>
      <c r="H251" s="105"/>
      <c r="I251" s="106"/>
      <c r="J251" s="104"/>
      <c r="K251" s="105"/>
      <c r="L251" s="105"/>
      <c r="M251" s="105"/>
      <c r="N251" s="111"/>
      <c r="O251" s="106"/>
      <c r="P251" s="105"/>
      <c r="Q251" s="105"/>
    </row>
    <row r="252" spans="1:17" x14ac:dyDescent="0.25">
      <c r="A252" s="103"/>
      <c r="B252" s="104"/>
      <c r="C252" s="104"/>
      <c r="D252" s="104"/>
      <c r="E252" s="105"/>
      <c r="F252" s="104"/>
      <c r="G252" s="105"/>
      <c r="H252" s="105"/>
      <c r="I252" s="106"/>
      <c r="J252" s="104"/>
      <c r="K252" s="105"/>
      <c r="L252" s="105"/>
      <c r="M252" s="105"/>
      <c r="N252" s="111"/>
      <c r="O252" s="106"/>
      <c r="P252" s="105"/>
      <c r="Q252" s="105"/>
    </row>
    <row r="253" spans="1:17" x14ac:dyDescent="0.25">
      <c r="A253" s="103"/>
      <c r="B253" s="104"/>
      <c r="C253" s="104"/>
      <c r="D253" s="104"/>
      <c r="E253" s="105"/>
      <c r="F253" s="104"/>
      <c r="G253" s="105"/>
      <c r="H253" s="105"/>
      <c r="I253" s="106"/>
      <c r="J253" s="104"/>
      <c r="K253" s="105"/>
      <c r="L253" s="105"/>
      <c r="M253" s="105"/>
      <c r="N253" s="111"/>
      <c r="O253" s="106"/>
      <c r="P253" s="105"/>
      <c r="Q253" s="105"/>
    </row>
    <row r="254" spans="1:17" x14ac:dyDescent="0.25">
      <c r="A254" s="103"/>
      <c r="B254" s="104"/>
      <c r="C254" s="104"/>
      <c r="D254" s="104"/>
      <c r="E254" s="105"/>
      <c r="F254" s="104"/>
      <c r="G254" s="105"/>
      <c r="H254" s="105"/>
      <c r="I254" s="106"/>
      <c r="J254" s="104"/>
      <c r="K254" s="105"/>
      <c r="L254" s="105"/>
      <c r="M254" s="105"/>
      <c r="N254" s="111"/>
      <c r="O254" s="106"/>
      <c r="P254" s="105"/>
      <c r="Q254" s="105"/>
    </row>
    <row r="255" spans="1:17" x14ac:dyDescent="0.25">
      <c r="A255" s="103"/>
      <c r="B255" s="104"/>
      <c r="C255" s="104"/>
      <c r="D255" s="104"/>
      <c r="E255" s="105"/>
      <c r="F255" s="104"/>
      <c r="G255" s="105"/>
      <c r="H255" s="105"/>
      <c r="I255" s="106"/>
      <c r="J255" s="104"/>
      <c r="K255" s="105"/>
      <c r="L255" s="105"/>
      <c r="M255" s="105"/>
      <c r="N255" s="111"/>
      <c r="O255" s="106"/>
      <c r="P255" s="105"/>
      <c r="Q255" s="105"/>
    </row>
    <row r="256" spans="1:17" x14ac:dyDescent="0.25">
      <c r="A256" s="103"/>
      <c r="B256" s="104"/>
      <c r="C256" s="104"/>
      <c r="D256" s="104"/>
      <c r="E256" s="105"/>
      <c r="F256" s="104"/>
      <c r="G256" s="105"/>
      <c r="H256" s="105"/>
      <c r="I256" s="106"/>
      <c r="J256" s="104"/>
      <c r="K256" s="105"/>
      <c r="L256" s="105"/>
      <c r="M256" s="105"/>
      <c r="N256" s="111"/>
      <c r="O256" s="106"/>
      <c r="P256" s="105"/>
      <c r="Q256" s="105"/>
    </row>
    <row r="257" spans="1:17" x14ac:dyDescent="0.25">
      <c r="A257" s="103"/>
      <c r="B257" s="104"/>
      <c r="C257" s="104"/>
      <c r="D257" s="104"/>
      <c r="E257" s="105"/>
      <c r="F257" s="104"/>
      <c r="G257" s="105"/>
      <c r="H257" s="105"/>
      <c r="I257" s="106"/>
      <c r="J257" s="104"/>
      <c r="K257" s="105"/>
      <c r="L257" s="105"/>
      <c r="M257" s="105"/>
      <c r="N257" s="111"/>
      <c r="O257" s="106"/>
      <c r="P257" s="105"/>
      <c r="Q257" s="105"/>
    </row>
    <row r="258" spans="1:17" x14ac:dyDescent="0.25">
      <c r="A258" s="103"/>
      <c r="B258" s="104"/>
      <c r="C258" s="104"/>
      <c r="D258" s="104"/>
      <c r="E258" s="105"/>
      <c r="F258" s="104"/>
      <c r="G258" s="105"/>
      <c r="H258" s="105"/>
      <c r="I258" s="106"/>
      <c r="J258" s="104"/>
      <c r="K258" s="105"/>
      <c r="L258" s="105"/>
      <c r="M258" s="105"/>
      <c r="N258" s="111"/>
      <c r="O258" s="106"/>
      <c r="P258" s="105"/>
      <c r="Q258" s="105"/>
    </row>
    <row r="259" spans="1:17" x14ac:dyDescent="0.25">
      <c r="A259" s="103"/>
      <c r="B259" s="104"/>
      <c r="C259" s="104"/>
      <c r="D259" s="104"/>
      <c r="E259" s="105"/>
      <c r="F259" s="104"/>
      <c r="G259" s="105"/>
      <c r="H259" s="105"/>
      <c r="I259" s="106"/>
      <c r="J259" s="104"/>
      <c r="K259" s="105"/>
      <c r="L259" s="105"/>
      <c r="M259" s="105"/>
      <c r="N259" s="111"/>
      <c r="O259" s="106"/>
      <c r="P259" s="105"/>
      <c r="Q259" s="105"/>
    </row>
    <row r="260" spans="1:17" x14ac:dyDescent="0.25">
      <c r="A260" s="103"/>
      <c r="B260" s="104"/>
      <c r="C260" s="104"/>
      <c r="D260" s="104"/>
      <c r="E260" s="105"/>
      <c r="F260" s="104"/>
      <c r="G260" s="105"/>
      <c r="H260" s="105"/>
      <c r="I260" s="106"/>
      <c r="J260" s="104"/>
      <c r="K260" s="105"/>
      <c r="L260" s="105"/>
      <c r="M260" s="105"/>
      <c r="N260" s="111"/>
      <c r="O260" s="106"/>
      <c r="P260" s="105"/>
      <c r="Q260" s="105"/>
    </row>
    <row r="261" spans="1:17" x14ac:dyDescent="0.25">
      <c r="A261" s="103"/>
      <c r="B261" s="104"/>
      <c r="C261" s="104"/>
      <c r="D261" s="104"/>
      <c r="E261" s="105"/>
      <c r="F261" s="104"/>
      <c r="G261" s="105"/>
      <c r="H261" s="105"/>
      <c r="I261" s="106"/>
      <c r="J261" s="104"/>
      <c r="K261" s="105"/>
      <c r="L261" s="105"/>
      <c r="M261" s="105"/>
      <c r="N261" s="111"/>
      <c r="O261" s="106"/>
      <c r="P261" s="105"/>
      <c r="Q261" s="105"/>
    </row>
    <row r="262" spans="1:17" x14ac:dyDescent="0.25">
      <c r="A262" s="103"/>
      <c r="B262" s="104"/>
      <c r="C262" s="104"/>
      <c r="D262" s="104"/>
      <c r="E262" s="105"/>
      <c r="F262" s="104"/>
      <c r="G262" s="105"/>
      <c r="H262" s="105"/>
      <c r="I262" s="106"/>
      <c r="J262" s="104"/>
      <c r="K262" s="105"/>
      <c r="L262" s="105"/>
      <c r="M262" s="105"/>
      <c r="N262" s="111"/>
      <c r="O262" s="106"/>
      <c r="P262" s="105"/>
      <c r="Q262" s="105"/>
    </row>
    <row r="263" spans="1:17" x14ac:dyDescent="0.25">
      <c r="A263" s="103"/>
      <c r="B263" s="104"/>
      <c r="C263" s="104"/>
      <c r="D263" s="104"/>
      <c r="E263" s="105"/>
      <c r="F263" s="104"/>
      <c r="G263" s="105"/>
      <c r="H263" s="105"/>
      <c r="I263" s="106"/>
      <c r="J263" s="104"/>
      <c r="K263" s="105"/>
      <c r="L263" s="105"/>
      <c r="M263" s="105"/>
      <c r="N263" s="111"/>
      <c r="O263" s="106"/>
      <c r="P263" s="105"/>
      <c r="Q263" s="105"/>
    </row>
    <row r="264" spans="1:17" x14ac:dyDescent="0.25">
      <c r="A264" s="103"/>
      <c r="B264" s="104"/>
      <c r="C264" s="104"/>
      <c r="D264" s="104"/>
      <c r="E264" s="105"/>
      <c r="F264" s="104"/>
      <c r="G264" s="105"/>
      <c r="H264" s="105"/>
      <c r="I264" s="106"/>
      <c r="J264" s="104"/>
      <c r="K264" s="105"/>
      <c r="L264" s="105"/>
      <c r="M264" s="105"/>
      <c r="N264" s="111"/>
      <c r="O264" s="106"/>
      <c r="P264" s="105"/>
      <c r="Q264" s="105"/>
    </row>
    <row r="265" spans="1:17" x14ac:dyDescent="0.25">
      <c r="A265" s="103"/>
      <c r="B265" s="104"/>
      <c r="C265" s="104"/>
      <c r="D265" s="104"/>
      <c r="E265" s="105"/>
      <c r="F265" s="104"/>
      <c r="G265" s="105"/>
      <c r="H265" s="105"/>
      <c r="I265" s="106"/>
      <c r="J265" s="104"/>
      <c r="K265" s="105"/>
      <c r="L265" s="105"/>
      <c r="M265" s="105"/>
      <c r="N265" s="111"/>
      <c r="O265" s="106"/>
      <c r="P265" s="105"/>
      <c r="Q265" s="105"/>
    </row>
    <row r="266" spans="1:17" x14ac:dyDescent="0.25">
      <c r="A266" s="103"/>
      <c r="B266" s="104"/>
      <c r="C266" s="104"/>
      <c r="D266" s="104"/>
      <c r="E266" s="105"/>
      <c r="F266" s="104"/>
      <c r="G266" s="105"/>
      <c r="H266" s="105"/>
      <c r="I266" s="106"/>
      <c r="J266" s="104"/>
      <c r="K266" s="105"/>
      <c r="L266" s="105"/>
      <c r="M266" s="105"/>
      <c r="N266" s="111"/>
      <c r="O266" s="106"/>
      <c r="P266" s="105"/>
      <c r="Q266" s="105"/>
    </row>
    <row r="267" spans="1:17" x14ac:dyDescent="0.25">
      <c r="A267" s="103"/>
      <c r="B267" s="104"/>
      <c r="C267" s="104"/>
      <c r="D267" s="104"/>
      <c r="E267" s="105"/>
      <c r="F267" s="104"/>
      <c r="G267" s="105"/>
      <c r="H267" s="105"/>
      <c r="I267" s="106"/>
      <c r="J267" s="104"/>
      <c r="K267" s="105"/>
      <c r="L267" s="105"/>
      <c r="M267" s="105"/>
      <c r="N267" s="111"/>
      <c r="O267" s="106"/>
      <c r="P267" s="105"/>
      <c r="Q267" s="105"/>
    </row>
    <row r="268" spans="1:17" x14ac:dyDescent="0.25">
      <c r="A268" s="103"/>
      <c r="B268" s="104"/>
      <c r="C268" s="104"/>
      <c r="D268" s="104"/>
      <c r="E268" s="105"/>
      <c r="F268" s="104"/>
      <c r="G268" s="105"/>
      <c r="H268" s="105"/>
      <c r="I268" s="106"/>
      <c r="J268" s="104"/>
      <c r="K268" s="105"/>
      <c r="L268" s="105"/>
      <c r="M268" s="105"/>
      <c r="N268" s="111"/>
      <c r="O268" s="106"/>
      <c r="P268" s="105"/>
      <c r="Q268" s="105"/>
    </row>
    <row r="269" spans="1:17" x14ac:dyDescent="0.25">
      <c r="A269" s="103"/>
      <c r="B269" s="104"/>
      <c r="C269" s="104"/>
      <c r="D269" s="104"/>
      <c r="E269" s="105"/>
      <c r="F269" s="104"/>
      <c r="G269" s="105"/>
      <c r="H269" s="105"/>
      <c r="I269" s="106"/>
      <c r="J269" s="104"/>
      <c r="K269" s="105"/>
      <c r="L269" s="105"/>
      <c r="M269" s="105"/>
      <c r="N269" s="111"/>
      <c r="O269" s="106"/>
      <c r="P269" s="105"/>
      <c r="Q269" s="105"/>
    </row>
    <row r="270" spans="1:17" x14ac:dyDescent="0.25">
      <c r="A270" s="103"/>
      <c r="B270" s="104"/>
      <c r="C270" s="104"/>
      <c r="D270" s="104"/>
      <c r="E270" s="105"/>
      <c r="F270" s="104"/>
      <c r="G270" s="105"/>
      <c r="H270" s="105"/>
      <c r="I270" s="106"/>
      <c r="J270" s="104"/>
      <c r="K270" s="105"/>
      <c r="L270" s="105"/>
      <c r="M270" s="105"/>
      <c r="N270" s="111"/>
      <c r="O270" s="106"/>
      <c r="P270" s="105"/>
      <c r="Q270" s="105"/>
    </row>
    <row r="271" spans="1:17" x14ac:dyDescent="0.25">
      <c r="A271" s="103"/>
      <c r="B271" s="104"/>
      <c r="C271" s="104"/>
      <c r="D271" s="104"/>
      <c r="E271" s="105"/>
      <c r="F271" s="104"/>
      <c r="G271" s="105"/>
      <c r="H271" s="105"/>
      <c r="I271" s="106"/>
      <c r="J271" s="104"/>
      <c r="K271" s="105"/>
      <c r="L271" s="105"/>
      <c r="M271" s="105"/>
      <c r="N271" s="111"/>
      <c r="O271" s="106"/>
      <c r="P271" s="105"/>
      <c r="Q271" s="105"/>
    </row>
    <row r="272" spans="1:17" x14ac:dyDescent="0.25">
      <c r="A272" s="103"/>
      <c r="B272" s="104"/>
      <c r="C272" s="104"/>
      <c r="D272" s="104"/>
      <c r="E272" s="105"/>
      <c r="F272" s="104"/>
      <c r="G272" s="105"/>
      <c r="H272" s="105"/>
      <c r="I272" s="106"/>
      <c r="J272" s="104"/>
      <c r="K272" s="105"/>
      <c r="L272" s="105"/>
      <c r="M272" s="105"/>
      <c r="N272" s="111"/>
      <c r="O272" s="106"/>
      <c r="P272" s="105"/>
      <c r="Q272" s="105"/>
    </row>
    <row r="273" spans="1:17" x14ac:dyDescent="0.25">
      <c r="A273" s="103"/>
      <c r="B273" s="104"/>
      <c r="C273" s="104"/>
      <c r="D273" s="104"/>
      <c r="E273" s="105"/>
      <c r="F273" s="104"/>
      <c r="G273" s="105"/>
      <c r="H273" s="105"/>
      <c r="I273" s="106"/>
      <c r="J273" s="104"/>
      <c r="K273" s="105"/>
      <c r="L273" s="105"/>
      <c r="M273" s="105"/>
      <c r="N273" s="111"/>
      <c r="O273" s="106"/>
      <c r="P273" s="105"/>
      <c r="Q273" s="105"/>
    </row>
    <row r="274" spans="1:17" x14ac:dyDescent="0.25">
      <c r="A274" s="103"/>
      <c r="B274" s="104"/>
      <c r="C274" s="104"/>
      <c r="D274" s="104"/>
      <c r="E274" s="105"/>
      <c r="F274" s="104"/>
      <c r="G274" s="105"/>
      <c r="H274" s="105"/>
      <c r="I274" s="106"/>
      <c r="J274" s="104"/>
      <c r="K274" s="105"/>
      <c r="L274" s="105"/>
      <c r="M274" s="105"/>
      <c r="N274" s="111"/>
      <c r="O274" s="106"/>
      <c r="P274" s="105"/>
      <c r="Q274" s="105"/>
    </row>
    <row r="275" spans="1:17" x14ac:dyDescent="0.25">
      <c r="A275" s="103"/>
      <c r="B275" s="104"/>
      <c r="C275" s="104"/>
      <c r="D275" s="104"/>
      <c r="E275" s="105"/>
      <c r="F275" s="104"/>
      <c r="G275" s="105"/>
      <c r="H275" s="105"/>
      <c r="I275" s="106"/>
      <c r="J275" s="104"/>
      <c r="K275" s="105"/>
      <c r="L275" s="105"/>
      <c r="M275" s="105"/>
      <c r="N275" s="111"/>
      <c r="O275" s="106"/>
      <c r="P275" s="105"/>
      <c r="Q275" s="105"/>
    </row>
    <row r="276" spans="1:17" x14ac:dyDescent="0.25">
      <c r="A276" s="103"/>
      <c r="B276" s="104"/>
      <c r="C276" s="104"/>
      <c r="D276" s="104"/>
      <c r="E276" s="105"/>
      <c r="F276" s="104"/>
      <c r="G276" s="105"/>
      <c r="H276" s="105"/>
      <c r="I276" s="106"/>
      <c r="J276" s="104"/>
      <c r="K276" s="105"/>
      <c r="L276" s="105"/>
      <c r="M276" s="105"/>
      <c r="N276" s="111"/>
      <c r="O276" s="106"/>
      <c r="P276" s="105"/>
      <c r="Q276" s="105"/>
    </row>
    <row r="277" spans="1:17" x14ac:dyDescent="0.25">
      <c r="A277" s="103"/>
      <c r="B277" s="104"/>
      <c r="C277" s="104"/>
      <c r="D277" s="104"/>
      <c r="E277" s="105"/>
      <c r="F277" s="104"/>
      <c r="G277" s="105"/>
      <c r="H277" s="105"/>
      <c r="I277" s="106"/>
      <c r="J277" s="104"/>
      <c r="K277" s="105"/>
      <c r="L277" s="105"/>
      <c r="M277" s="105"/>
      <c r="N277" s="111"/>
      <c r="O277" s="106"/>
      <c r="P277" s="105"/>
      <c r="Q277" s="105"/>
    </row>
    <row r="278" spans="1:17" x14ac:dyDescent="0.25">
      <c r="A278" s="103"/>
      <c r="B278" s="104"/>
      <c r="C278" s="104"/>
      <c r="D278" s="104"/>
      <c r="E278" s="105"/>
      <c r="F278" s="104"/>
      <c r="G278" s="105"/>
      <c r="H278" s="105"/>
      <c r="I278" s="106"/>
      <c r="J278" s="104"/>
      <c r="K278" s="105"/>
      <c r="L278" s="105"/>
      <c r="M278" s="105"/>
      <c r="N278" s="111"/>
      <c r="O278" s="106"/>
      <c r="P278" s="105"/>
      <c r="Q278" s="105"/>
    </row>
    <row r="279" spans="1:17" x14ac:dyDescent="0.25">
      <c r="A279" s="103"/>
      <c r="B279" s="104"/>
      <c r="C279" s="104"/>
      <c r="D279" s="104"/>
      <c r="E279" s="105"/>
      <c r="F279" s="104"/>
      <c r="G279" s="105"/>
      <c r="H279" s="105"/>
      <c r="I279" s="106"/>
      <c r="J279" s="104"/>
      <c r="K279" s="105"/>
      <c r="L279" s="105"/>
      <c r="M279" s="105"/>
      <c r="N279" s="111"/>
      <c r="O279" s="106"/>
      <c r="P279" s="105"/>
      <c r="Q279" s="105"/>
    </row>
    <row r="280" spans="1:17" x14ac:dyDescent="0.25">
      <c r="A280" s="103"/>
      <c r="B280" s="104"/>
      <c r="C280" s="104"/>
      <c r="D280" s="104"/>
      <c r="E280" s="105"/>
      <c r="F280" s="104"/>
      <c r="G280" s="105"/>
      <c r="H280" s="105"/>
      <c r="I280" s="106"/>
      <c r="J280" s="104"/>
      <c r="K280" s="105"/>
      <c r="L280" s="105"/>
      <c r="M280" s="105"/>
      <c r="N280" s="111"/>
      <c r="O280" s="106"/>
      <c r="P280" s="105"/>
      <c r="Q280" s="105"/>
    </row>
    <row r="281" spans="1:17" x14ac:dyDescent="0.25">
      <c r="A281" s="103"/>
      <c r="B281" s="104"/>
      <c r="C281" s="104"/>
      <c r="D281" s="104"/>
      <c r="E281" s="105"/>
      <c r="F281" s="104"/>
      <c r="G281" s="105"/>
      <c r="H281" s="105"/>
      <c r="I281" s="106"/>
      <c r="J281" s="104"/>
      <c r="K281" s="105"/>
      <c r="L281" s="105"/>
      <c r="M281" s="105"/>
      <c r="N281" s="111"/>
      <c r="O281" s="106"/>
      <c r="P281" s="105"/>
      <c r="Q281" s="105"/>
    </row>
    <row r="282" spans="1:17" x14ac:dyDescent="0.25">
      <c r="A282" s="103"/>
      <c r="B282" s="104"/>
      <c r="C282" s="104"/>
      <c r="D282" s="104"/>
      <c r="E282" s="105"/>
      <c r="F282" s="104"/>
      <c r="G282" s="105"/>
      <c r="H282" s="105"/>
      <c r="I282" s="106"/>
      <c r="J282" s="104"/>
      <c r="K282" s="105"/>
      <c r="L282" s="105"/>
      <c r="M282" s="105"/>
      <c r="N282" s="111"/>
      <c r="O282" s="106"/>
      <c r="P282" s="105"/>
      <c r="Q282" s="105"/>
    </row>
    <row r="283" spans="1:17" x14ac:dyDescent="0.25">
      <c r="A283" s="103"/>
      <c r="B283" s="104"/>
      <c r="C283" s="104"/>
      <c r="D283" s="104"/>
      <c r="E283" s="105"/>
      <c r="F283" s="104"/>
      <c r="G283" s="105"/>
      <c r="H283" s="105"/>
      <c r="I283" s="106"/>
      <c r="J283" s="104"/>
      <c r="K283" s="105"/>
      <c r="L283" s="105"/>
      <c r="M283" s="105"/>
      <c r="N283" s="111"/>
      <c r="O283" s="106"/>
      <c r="P283" s="105"/>
      <c r="Q283" s="105"/>
    </row>
    <row r="284" spans="1:17" x14ac:dyDescent="0.25">
      <c r="A284" s="103"/>
      <c r="B284" s="104"/>
      <c r="C284" s="104"/>
      <c r="D284" s="104"/>
      <c r="E284" s="105"/>
      <c r="F284" s="104"/>
      <c r="G284" s="105"/>
      <c r="H284" s="105"/>
      <c r="I284" s="106"/>
      <c r="J284" s="104"/>
      <c r="K284" s="105"/>
      <c r="L284" s="105"/>
      <c r="M284" s="105"/>
      <c r="N284" s="111"/>
      <c r="O284" s="106"/>
      <c r="P284" s="105"/>
      <c r="Q284" s="105"/>
    </row>
    <row r="285" spans="1:17" x14ac:dyDescent="0.25">
      <c r="A285" s="103"/>
      <c r="B285" s="104"/>
      <c r="C285" s="104"/>
      <c r="D285" s="104"/>
      <c r="E285" s="105"/>
      <c r="F285" s="104"/>
      <c r="G285" s="105"/>
      <c r="H285" s="105"/>
      <c r="I285" s="106"/>
      <c r="J285" s="104"/>
      <c r="K285" s="105"/>
      <c r="L285" s="105"/>
      <c r="M285" s="105"/>
      <c r="N285" s="111"/>
      <c r="O285" s="106"/>
      <c r="P285" s="105"/>
      <c r="Q285" s="105"/>
    </row>
    <row r="286" spans="1:17" x14ac:dyDescent="0.25">
      <c r="A286" s="103"/>
      <c r="B286" s="104"/>
      <c r="C286" s="104"/>
      <c r="D286" s="104"/>
      <c r="E286" s="105"/>
      <c r="F286" s="104"/>
      <c r="G286" s="105"/>
      <c r="H286" s="105"/>
      <c r="I286" s="106"/>
      <c r="J286" s="104"/>
      <c r="K286" s="105"/>
      <c r="L286" s="105"/>
      <c r="M286" s="105"/>
      <c r="N286" s="111"/>
      <c r="O286" s="106"/>
      <c r="P286" s="105"/>
      <c r="Q286" s="105"/>
    </row>
    <row r="287" spans="1:17" x14ac:dyDescent="0.25">
      <c r="A287" s="103"/>
      <c r="B287" s="104"/>
      <c r="C287" s="104"/>
      <c r="D287" s="104"/>
      <c r="E287" s="105"/>
      <c r="F287" s="104"/>
      <c r="G287" s="105"/>
      <c r="H287" s="105"/>
      <c r="I287" s="106"/>
      <c r="J287" s="104"/>
      <c r="K287" s="105"/>
      <c r="L287" s="105"/>
      <c r="M287" s="105"/>
      <c r="N287" s="111"/>
      <c r="O287" s="106"/>
      <c r="P287" s="105"/>
      <c r="Q287" s="105"/>
    </row>
    <row r="288" spans="1:17" x14ac:dyDescent="0.25">
      <c r="A288" s="103"/>
      <c r="B288" s="104"/>
      <c r="C288" s="104"/>
      <c r="D288" s="104"/>
      <c r="E288" s="105"/>
      <c r="F288" s="104"/>
      <c r="G288" s="105"/>
      <c r="H288" s="105"/>
      <c r="I288" s="106"/>
      <c r="J288" s="104"/>
      <c r="K288" s="105"/>
      <c r="L288" s="105"/>
      <c r="M288" s="105"/>
      <c r="N288" s="111"/>
      <c r="O288" s="106"/>
      <c r="P288" s="105"/>
      <c r="Q288" s="105"/>
    </row>
    <row r="289" spans="1:17" x14ac:dyDescent="0.25">
      <c r="A289" s="103"/>
      <c r="B289" s="104"/>
      <c r="C289" s="104"/>
      <c r="D289" s="104"/>
      <c r="E289" s="105"/>
      <c r="F289" s="104"/>
      <c r="G289" s="105"/>
      <c r="H289" s="105"/>
      <c r="I289" s="106"/>
      <c r="J289" s="104"/>
      <c r="K289" s="105"/>
      <c r="L289" s="105"/>
      <c r="M289" s="105"/>
      <c r="N289" s="111"/>
      <c r="O289" s="106"/>
      <c r="P289" s="105"/>
      <c r="Q289" s="105"/>
    </row>
    <row r="290" spans="1:17" x14ac:dyDescent="0.25">
      <c r="A290" s="103"/>
      <c r="B290" s="104"/>
      <c r="C290" s="104"/>
      <c r="D290" s="104"/>
      <c r="E290" s="105"/>
      <c r="F290" s="104"/>
      <c r="G290" s="105"/>
      <c r="H290" s="105"/>
      <c r="I290" s="106"/>
      <c r="J290" s="104"/>
      <c r="K290" s="105"/>
      <c r="L290" s="105"/>
      <c r="M290" s="105"/>
      <c r="N290" s="111"/>
      <c r="O290" s="106"/>
      <c r="P290" s="105"/>
      <c r="Q290" s="105"/>
    </row>
    <row r="291" spans="1:17" x14ac:dyDescent="0.25">
      <c r="A291" s="103"/>
      <c r="B291" s="104"/>
      <c r="C291" s="104"/>
      <c r="D291" s="104"/>
      <c r="E291" s="105"/>
      <c r="F291" s="104"/>
      <c r="G291" s="105"/>
      <c r="H291" s="105"/>
      <c r="I291" s="106"/>
      <c r="J291" s="104"/>
      <c r="K291" s="105"/>
      <c r="L291" s="105"/>
      <c r="M291" s="105"/>
      <c r="N291" s="111"/>
      <c r="O291" s="106"/>
      <c r="P291" s="105"/>
      <c r="Q291" s="105"/>
    </row>
    <row r="292" spans="1:17" x14ac:dyDescent="0.25">
      <c r="A292" s="103"/>
      <c r="B292" s="104"/>
      <c r="C292" s="104"/>
      <c r="D292" s="104"/>
      <c r="E292" s="105"/>
      <c r="F292" s="104"/>
      <c r="G292" s="105"/>
      <c r="H292" s="105"/>
      <c r="I292" s="106"/>
      <c r="J292" s="104"/>
      <c r="K292" s="105"/>
      <c r="L292" s="105"/>
      <c r="M292" s="105"/>
      <c r="N292" s="111"/>
      <c r="O292" s="106"/>
      <c r="P292" s="105"/>
      <c r="Q292" s="105"/>
    </row>
    <row r="293" spans="1:17" x14ac:dyDescent="0.25">
      <c r="A293" s="103"/>
      <c r="B293" s="104"/>
      <c r="C293" s="104"/>
      <c r="D293" s="104"/>
      <c r="E293" s="105"/>
      <c r="F293" s="104"/>
      <c r="G293" s="105"/>
      <c r="H293" s="105"/>
      <c r="I293" s="106"/>
      <c r="J293" s="104"/>
      <c r="K293" s="105"/>
      <c r="L293" s="105"/>
      <c r="M293" s="105"/>
      <c r="N293" s="111"/>
      <c r="O293" s="106"/>
      <c r="P293" s="105"/>
      <c r="Q293" s="105"/>
    </row>
    <row r="294" spans="1:17" x14ac:dyDescent="0.25">
      <c r="A294" s="103"/>
      <c r="B294" s="104"/>
      <c r="C294" s="104"/>
      <c r="D294" s="104"/>
      <c r="E294" s="105"/>
      <c r="F294" s="104"/>
      <c r="G294" s="105"/>
      <c r="H294" s="105"/>
      <c r="I294" s="106"/>
      <c r="J294" s="104"/>
      <c r="K294" s="105"/>
      <c r="L294" s="105"/>
      <c r="M294" s="105"/>
      <c r="N294" s="111"/>
      <c r="O294" s="106"/>
      <c r="P294" s="105"/>
      <c r="Q294" s="105"/>
    </row>
    <row r="295" spans="1:17" x14ac:dyDescent="0.25">
      <c r="A295" s="103"/>
      <c r="B295" s="104"/>
      <c r="C295" s="104"/>
      <c r="D295" s="104"/>
      <c r="E295" s="105"/>
      <c r="F295" s="104"/>
      <c r="G295" s="105"/>
      <c r="H295" s="105"/>
      <c r="I295" s="106"/>
      <c r="J295" s="104"/>
      <c r="K295" s="105"/>
      <c r="L295" s="105"/>
      <c r="M295" s="105"/>
      <c r="N295" s="111"/>
      <c r="O295" s="106"/>
      <c r="P295" s="105"/>
      <c r="Q295" s="105"/>
    </row>
    <row r="296" spans="1:17" x14ac:dyDescent="0.25">
      <c r="A296" s="103"/>
      <c r="B296" s="104"/>
      <c r="C296" s="104"/>
      <c r="D296" s="104"/>
      <c r="E296" s="105"/>
      <c r="F296" s="104"/>
      <c r="G296" s="105"/>
      <c r="H296" s="105"/>
      <c r="I296" s="106"/>
      <c r="J296" s="104"/>
      <c r="K296" s="105"/>
      <c r="L296" s="105"/>
      <c r="M296" s="105"/>
      <c r="N296" s="111"/>
      <c r="O296" s="106"/>
      <c r="P296" s="105"/>
      <c r="Q296" s="105"/>
    </row>
    <row r="297" spans="1:17" x14ac:dyDescent="0.25">
      <c r="A297" s="103"/>
      <c r="B297" s="104"/>
      <c r="C297" s="104"/>
      <c r="D297" s="104"/>
      <c r="E297" s="105"/>
      <c r="F297" s="104"/>
      <c r="G297" s="105"/>
      <c r="H297" s="105"/>
      <c r="I297" s="106"/>
      <c r="J297" s="104"/>
      <c r="K297" s="105"/>
      <c r="L297" s="105"/>
      <c r="M297" s="105"/>
      <c r="N297" s="111"/>
      <c r="O297" s="106"/>
      <c r="P297" s="105"/>
      <c r="Q297" s="105"/>
    </row>
    <row r="298" spans="1:17" x14ac:dyDescent="0.25">
      <c r="A298" s="103"/>
      <c r="B298" s="104"/>
      <c r="C298" s="104"/>
      <c r="D298" s="104"/>
      <c r="E298" s="105"/>
      <c r="F298" s="104"/>
      <c r="G298" s="105"/>
      <c r="H298" s="105"/>
      <c r="I298" s="106"/>
      <c r="J298" s="104"/>
      <c r="K298" s="105"/>
      <c r="L298" s="105"/>
      <c r="M298" s="105"/>
      <c r="N298" s="111"/>
      <c r="O298" s="106"/>
      <c r="P298" s="105"/>
      <c r="Q298" s="105"/>
    </row>
    <row r="299" spans="1:17" x14ac:dyDescent="0.25">
      <c r="A299" s="103"/>
      <c r="B299" s="104"/>
      <c r="C299" s="104"/>
      <c r="D299" s="104"/>
      <c r="E299" s="105"/>
      <c r="F299" s="104"/>
      <c r="G299" s="105"/>
      <c r="H299" s="105"/>
      <c r="I299" s="106"/>
      <c r="J299" s="104"/>
      <c r="K299" s="105"/>
      <c r="L299" s="105"/>
      <c r="M299" s="105"/>
      <c r="N299" s="111"/>
      <c r="O299" s="106"/>
      <c r="P299" s="105"/>
      <c r="Q299" s="105"/>
    </row>
    <row r="300" spans="1:17" x14ac:dyDescent="0.25">
      <c r="A300" s="103"/>
      <c r="B300" s="104"/>
      <c r="C300" s="104"/>
      <c r="D300" s="104"/>
      <c r="E300" s="105"/>
      <c r="F300" s="104"/>
      <c r="G300" s="105"/>
      <c r="H300" s="105"/>
      <c r="I300" s="106"/>
      <c r="J300" s="104"/>
      <c r="K300" s="105"/>
      <c r="L300" s="105"/>
      <c r="M300" s="105"/>
      <c r="N300" s="111"/>
      <c r="O300" s="106"/>
      <c r="P300" s="105"/>
      <c r="Q300" s="105"/>
    </row>
    <row r="301" spans="1:17" x14ac:dyDescent="0.25">
      <c r="A301" s="103"/>
      <c r="B301" s="104"/>
      <c r="C301" s="104"/>
      <c r="D301" s="104"/>
      <c r="E301" s="105"/>
      <c r="F301" s="104"/>
      <c r="G301" s="105"/>
      <c r="H301" s="105"/>
      <c r="I301" s="106"/>
      <c r="J301" s="104"/>
      <c r="K301" s="105"/>
      <c r="L301" s="105"/>
      <c r="M301" s="105"/>
      <c r="N301" s="111"/>
      <c r="O301" s="106"/>
      <c r="P301" s="105"/>
      <c r="Q301" s="105"/>
    </row>
    <row r="302" spans="1:17" x14ac:dyDescent="0.25">
      <c r="A302" s="103"/>
      <c r="B302" s="104"/>
      <c r="C302" s="104"/>
      <c r="D302" s="104"/>
      <c r="E302" s="105"/>
      <c r="F302" s="104"/>
      <c r="G302" s="105"/>
      <c r="H302" s="105"/>
      <c r="I302" s="106"/>
      <c r="J302" s="104"/>
      <c r="K302" s="105"/>
      <c r="L302" s="105"/>
      <c r="M302" s="105"/>
      <c r="N302" s="111"/>
      <c r="O302" s="106"/>
      <c r="P302" s="105"/>
      <c r="Q302" s="105"/>
    </row>
    <row r="303" spans="1:17" x14ac:dyDescent="0.25">
      <c r="A303" s="103"/>
      <c r="B303" s="104"/>
      <c r="C303" s="104"/>
      <c r="D303" s="104"/>
      <c r="E303" s="105"/>
      <c r="F303" s="104"/>
      <c r="G303" s="105"/>
      <c r="H303" s="105"/>
      <c r="I303" s="106"/>
      <c r="J303" s="104"/>
      <c r="K303" s="105"/>
      <c r="L303" s="105"/>
      <c r="M303" s="105"/>
      <c r="N303" s="111"/>
      <c r="O303" s="106"/>
      <c r="P303" s="105"/>
      <c r="Q303" s="105"/>
    </row>
    <row r="304" spans="1:17" x14ac:dyDescent="0.25">
      <c r="A304" s="103"/>
      <c r="B304" s="104"/>
      <c r="C304" s="104"/>
      <c r="D304" s="104"/>
      <c r="E304" s="105"/>
      <c r="F304" s="104"/>
      <c r="G304" s="105"/>
      <c r="H304" s="105"/>
      <c r="I304" s="106"/>
      <c r="J304" s="104"/>
      <c r="K304" s="105"/>
      <c r="L304" s="105"/>
      <c r="M304" s="105"/>
      <c r="N304" s="111"/>
      <c r="O304" s="106"/>
      <c r="P304" s="105"/>
      <c r="Q304" s="105"/>
    </row>
    <row r="305" spans="1:17" x14ac:dyDescent="0.25">
      <c r="A305" s="103"/>
      <c r="B305" s="104"/>
      <c r="C305" s="104"/>
      <c r="D305" s="104"/>
      <c r="E305" s="105"/>
      <c r="F305" s="104"/>
      <c r="G305" s="105"/>
      <c r="H305" s="105"/>
      <c r="I305" s="106"/>
      <c r="J305" s="104"/>
      <c r="K305" s="105"/>
      <c r="L305" s="105"/>
      <c r="M305" s="105"/>
      <c r="N305" s="111"/>
      <c r="O305" s="106"/>
      <c r="P305" s="105"/>
      <c r="Q305" s="105"/>
    </row>
    <row r="306" spans="1:17" x14ac:dyDescent="0.25">
      <c r="A306" s="103"/>
      <c r="B306" s="104"/>
      <c r="C306" s="104"/>
      <c r="D306" s="104"/>
      <c r="E306" s="105"/>
      <c r="F306" s="104"/>
      <c r="G306" s="105"/>
      <c r="H306" s="105"/>
      <c r="I306" s="106"/>
      <c r="J306" s="104"/>
      <c r="K306" s="105"/>
      <c r="L306" s="105"/>
      <c r="M306" s="105"/>
      <c r="N306" s="111"/>
      <c r="O306" s="106"/>
      <c r="P306" s="105"/>
      <c r="Q306" s="105"/>
    </row>
    <row r="307" spans="1:17" x14ac:dyDescent="0.25">
      <c r="A307" s="103"/>
      <c r="B307" s="104"/>
      <c r="C307" s="104"/>
      <c r="D307" s="104"/>
      <c r="E307" s="105"/>
      <c r="F307" s="104"/>
      <c r="G307" s="105"/>
      <c r="H307" s="105"/>
      <c r="I307" s="106"/>
      <c r="J307" s="104"/>
      <c r="K307" s="105"/>
      <c r="L307" s="105"/>
      <c r="M307" s="105"/>
      <c r="N307" s="111"/>
      <c r="O307" s="106"/>
      <c r="P307" s="105"/>
      <c r="Q307" s="105"/>
    </row>
    <row r="308" spans="1:17" x14ac:dyDescent="0.25">
      <c r="A308" s="103"/>
      <c r="B308" s="104"/>
      <c r="C308" s="104"/>
      <c r="D308" s="104"/>
      <c r="E308" s="105"/>
      <c r="F308" s="104"/>
      <c r="G308" s="105"/>
      <c r="H308" s="105"/>
      <c r="I308" s="106"/>
      <c r="J308" s="104"/>
      <c r="K308" s="105"/>
      <c r="L308" s="105"/>
      <c r="M308" s="105"/>
      <c r="N308" s="111"/>
      <c r="O308" s="106"/>
      <c r="P308" s="105"/>
      <c r="Q308" s="105"/>
    </row>
    <row r="309" spans="1:17" x14ac:dyDescent="0.25">
      <c r="A309" s="103"/>
      <c r="B309" s="104"/>
      <c r="C309" s="104"/>
      <c r="D309" s="104"/>
      <c r="E309" s="105"/>
      <c r="F309" s="104"/>
      <c r="G309" s="105"/>
      <c r="H309" s="105"/>
      <c r="I309" s="106"/>
      <c r="J309" s="104"/>
      <c r="K309" s="105"/>
      <c r="L309" s="105"/>
      <c r="M309" s="105"/>
      <c r="N309" s="111"/>
      <c r="O309" s="106"/>
      <c r="P309" s="105"/>
      <c r="Q309" s="105"/>
    </row>
    <row r="310" spans="1:17" x14ac:dyDescent="0.25">
      <c r="A310" s="103"/>
      <c r="B310" s="104"/>
      <c r="C310" s="104"/>
      <c r="D310" s="104"/>
      <c r="E310" s="105"/>
      <c r="F310" s="104"/>
      <c r="G310" s="105"/>
      <c r="H310" s="105"/>
      <c r="I310" s="106"/>
      <c r="J310" s="104"/>
      <c r="K310" s="105"/>
      <c r="L310" s="105"/>
      <c r="M310" s="105"/>
      <c r="N310" s="111"/>
      <c r="O310" s="106"/>
      <c r="P310" s="105"/>
      <c r="Q310" s="105"/>
    </row>
    <row r="311" spans="1:17" x14ac:dyDescent="0.25">
      <c r="A311" s="103"/>
      <c r="B311" s="104"/>
      <c r="C311" s="104"/>
      <c r="D311" s="104"/>
      <c r="E311" s="105"/>
      <c r="F311" s="104"/>
      <c r="G311" s="105"/>
      <c r="H311" s="105"/>
      <c r="I311" s="106"/>
      <c r="J311" s="104"/>
      <c r="K311" s="105"/>
      <c r="L311" s="105"/>
      <c r="M311" s="105"/>
      <c r="N311" s="111"/>
      <c r="O311" s="106"/>
      <c r="P311" s="105"/>
      <c r="Q311" s="105"/>
    </row>
    <row r="312" spans="1:17" x14ac:dyDescent="0.25">
      <c r="A312" s="103"/>
      <c r="B312" s="104"/>
      <c r="C312" s="104"/>
      <c r="D312" s="104"/>
      <c r="E312" s="105"/>
      <c r="F312" s="104"/>
      <c r="G312" s="105"/>
      <c r="H312" s="105"/>
      <c r="I312" s="106"/>
      <c r="J312" s="104"/>
      <c r="K312" s="105"/>
      <c r="L312" s="105"/>
      <c r="M312" s="105"/>
      <c r="N312" s="111"/>
      <c r="O312" s="106"/>
      <c r="P312" s="105"/>
      <c r="Q312" s="105"/>
    </row>
    <row r="313" spans="1:17" x14ac:dyDescent="0.25">
      <c r="A313" s="103"/>
      <c r="B313" s="104"/>
      <c r="C313" s="104"/>
      <c r="D313" s="104"/>
      <c r="E313" s="105"/>
      <c r="F313" s="104"/>
      <c r="G313" s="105"/>
      <c r="H313" s="105"/>
      <c r="I313" s="106"/>
      <c r="J313" s="104"/>
      <c r="K313" s="105"/>
      <c r="L313" s="105"/>
      <c r="M313" s="105"/>
      <c r="N313" s="111"/>
      <c r="O313" s="106"/>
      <c r="P313" s="105"/>
      <c r="Q313" s="105"/>
    </row>
    <row r="314" spans="1:17" x14ac:dyDescent="0.25">
      <c r="A314" s="103"/>
      <c r="B314" s="104"/>
      <c r="C314" s="104"/>
      <c r="D314" s="104"/>
      <c r="E314" s="105"/>
      <c r="F314" s="104"/>
      <c r="G314" s="105"/>
      <c r="H314" s="105"/>
      <c r="I314" s="106"/>
      <c r="J314" s="104"/>
      <c r="K314" s="105"/>
      <c r="L314" s="105"/>
      <c r="M314" s="105"/>
      <c r="N314" s="111"/>
      <c r="O314" s="106"/>
      <c r="P314" s="105"/>
      <c r="Q314" s="105"/>
    </row>
    <row r="315" spans="1:17" x14ac:dyDescent="0.25">
      <c r="A315" s="103"/>
      <c r="B315" s="104"/>
      <c r="C315" s="104"/>
      <c r="D315" s="104"/>
      <c r="E315" s="105"/>
      <c r="F315" s="104"/>
      <c r="G315" s="105"/>
      <c r="H315" s="105"/>
      <c r="I315" s="106"/>
      <c r="J315" s="104"/>
      <c r="K315" s="105"/>
      <c r="L315" s="105"/>
      <c r="M315" s="105"/>
      <c r="N315" s="111"/>
      <c r="O315" s="106"/>
      <c r="P315" s="105"/>
      <c r="Q315" s="105"/>
    </row>
    <row r="316" spans="1:17" x14ac:dyDescent="0.25">
      <c r="A316" s="103"/>
      <c r="B316" s="104"/>
      <c r="C316" s="104"/>
      <c r="D316" s="104"/>
      <c r="E316" s="105"/>
      <c r="F316" s="104"/>
      <c r="G316" s="105"/>
      <c r="H316" s="105"/>
      <c r="I316" s="106"/>
      <c r="J316" s="104"/>
      <c r="K316" s="105"/>
      <c r="L316" s="105"/>
      <c r="M316" s="105"/>
      <c r="N316" s="111"/>
      <c r="O316" s="106"/>
      <c r="P316" s="105"/>
      <c r="Q316" s="105"/>
    </row>
    <row r="317" spans="1:17" x14ac:dyDescent="0.25">
      <c r="A317" s="103"/>
      <c r="B317" s="104"/>
      <c r="C317" s="104"/>
      <c r="D317" s="104"/>
      <c r="E317" s="105"/>
      <c r="F317" s="104"/>
      <c r="G317" s="105"/>
      <c r="H317" s="105"/>
      <c r="I317" s="106"/>
      <c r="J317" s="104"/>
      <c r="K317" s="105"/>
      <c r="L317" s="105"/>
      <c r="M317" s="105"/>
      <c r="N317" s="111"/>
      <c r="O317" s="106"/>
      <c r="P317" s="105"/>
      <c r="Q317" s="105"/>
    </row>
    <row r="318" spans="1:17" x14ac:dyDescent="0.25">
      <c r="A318" s="103"/>
      <c r="B318" s="104"/>
      <c r="C318" s="104"/>
      <c r="D318" s="104"/>
      <c r="E318" s="105"/>
      <c r="F318" s="104"/>
      <c r="G318" s="105"/>
      <c r="H318" s="105"/>
      <c r="I318" s="106"/>
      <c r="J318" s="104"/>
      <c r="K318" s="105"/>
      <c r="L318" s="105"/>
      <c r="M318" s="105"/>
      <c r="N318" s="111"/>
      <c r="O318" s="106"/>
      <c r="P318" s="105"/>
      <c r="Q318" s="105"/>
    </row>
    <row r="319" spans="1:17" x14ac:dyDescent="0.25">
      <c r="A319" s="103"/>
      <c r="B319" s="104"/>
      <c r="C319" s="104"/>
      <c r="D319" s="104"/>
      <c r="E319" s="105"/>
      <c r="F319" s="104"/>
      <c r="G319" s="105"/>
      <c r="H319" s="105"/>
      <c r="I319" s="106"/>
      <c r="J319" s="104"/>
      <c r="K319" s="105"/>
      <c r="L319" s="105"/>
      <c r="M319" s="105"/>
      <c r="N319" s="111"/>
      <c r="O319" s="106"/>
      <c r="P319" s="105"/>
      <c r="Q319" s="105"/>
    </row>
    <row r="320" spans="1:17" x14ac:dyDescent="0.25">
      <c r="A320" s="103"/>
      <c r="B320" s="104"/>
      <c r="C320" s="104"/>
      <c r="D320" s="104"/>
      <c r="E320" s="105"/>
      <c r="F320" s="104"/>
      <c r="G320" s="105"/>
      <c r="H320" s="105"/>
      <c r="I320" s="106"/>
      <c r="J320" s="104"/>
      <c r="K320" s="105"/>
      <c r="L320" s="105"/>
      <c r="M320" s="105"/>
      <c r="N320" s="111"/>
      <c r="O320" s="106"/>
      <c r="P320" s="105"/>
      <c r="Q320" s="105"/>
    </row>
    <row r="321" spans="1:17" x14ac:dyDescent="0.25">
      <c r="A321" s="103"/>
      <c r="B321" s="104"/>
      <c r="C321" s="104"/>
      <c r="D321" s="104"/>
      <c r="E321" s="105"/>
      <c r="F321" s="104"/>
      <c r="G321" s="105"/>
      <c r="H321" s="105"/>
      <c r="I321" s="106"/>
      <c r="J321" s="104"/>
      <c r="K321" s="105"/>
      <c r="L321" s="105"/>
      <c r="M321" s="105"/>
      <c r="N321" s="111"/>
      <c r="O321" s="106"/>
      <c r="P321" s="105"/>
      <c r="Q321" s="105"/>
    </row>
    <row r="322" spans="1:17" x14ac:dyDescent="0.25">
      <c r="A322" s="103"/>
      <c r="B322" s="104"/>
      <c r="C322" s="104"/>
      <c r="D322" s="104"/>
      <c r="E322" s="105"/>
      <c r="F322" s="104"/>
      <c r="G322" s="105"/>
      <c r="H322" s="105"/>
      <c r="I322" s="106"/>
      <c r="J322" s="104"/>
      <c r="K322" s="105"/>
      <c r="L322" s="105"/>
      <c r="M322" s="105"/>
      <c r="N322" s="111"/>
      <c r="O322" s="106"/>
      <c r="P322" s="105"/>
      <c r="Q322" s="105"/>
    </row>
    <row r="323" spans="1:17" x14ac:dyDescent="0.25">
      <c r="A323" s="103"/>
      <c r="B323" s="104"/>
      <c r="C323" s="104"/>
      <c r="D323" s="104"/>
      <c r="E323" s="105"/>
      <c r="F323" s="104"/>
      <c r="G323" s="105"/>
      <c r="H323" s="105"/>
      <c r="I323" s="106"/>
      <c r="J323" s="104"/>
      <c r="K323" s="105"/>
      <c r="L323" s="105"/>
      <c r="M323" s="105"/>
      <c r="N323" s="111"/>
      <c r="O323" s="106"/>
      <c r="P323" s="105"/>
      <c r="Q323" s="105"/>
    </row>
    <row r="324" spans="1:17" x14ac:dyDescent="0.25">
      <c r="A324" s="103"/>
      <c r="B324" s="104"/>
      <c r="C324" s="104"/>
      <c r="D324" s="104"/>
      <c r="E324" s="105"/>
      <c r="F324" s="104"/>
      <c r="G324" s="105"/>
      <c r="H324" s="105"/>
      <c r="I324" s="106"/>
      <c r="J324" s="104"/>
      <c r="K324" s="105"/>
      <c r="L324" s="105"/>
      <c r="M324" s="105"/>
      <c r="N324" s="111"/>
      <c r="O324" s="106"/>
      <c r="P324" s="105"/>
      <c r="Q324" s="105"/>
    </row>
    <row r="325" spans="1:17" x14ac:dyDescent="0.25">
      <c r="A325" s="103"/>
      <c r="B325" s="104"/>
      <c r="C325" s="104"/>
      <c r="D325" s="104"/>
      <c r="E325" s="105"/>
      <c r="F325" s="104"/>
      <c r="G325" s="105"/>
      <c r="H325" s="105"/>
      <c r="I325" s="106"/>
      <c r="J325" s="104"/>
      <c r="K325" s="105"/>
      <c r="L325" s="105"/>
      <c r="M325" s="105"/>
      <c r="N325" s="111"/>
      <c r="O325" s="106"/>
      <c r="P325" s="105"/>
      <c r="Q325" s="105"/>
    </row>
    <row r="326" spans="1:17" x14ac:dyDescent="0.25">
      <c r="A326" s="103"/>
      <c r="B326" s="104"/>
      <c r="C326" s="104"/>
      <c r="D326" s="104"/>
      <c r="E326" s="105"/>
      <c r="F326" s="104"/>
      <c r="G326" s="105"/>
      <c r="H326" s="105"/>
      <c r="I326" s="106"/>
      <c r="J326" s="104"/>
      <c r="K326" s="105"/>
      <c r="L326" s="105"/>
      <c r="M326" s="105"/>
      <c r="N326" s="111"/>
      <c r="O326" s="106"/>
      <c r="P326" s="105"/>
      <c r="Q326" s="105"/>
    </row>
    <row r="327" spans="1:17" x14ac:dyDescent="0.25">
      <c r="A327" s="103"/>
      <c r="B327" s="104"/>
      <c r="C327" s="104"/>
      <c r="D327" s="104"/>
      <c r="E327" s="105"/>
      <c r="F327" s="104"/>
      <c r="G327" s="105"/>
      <c r="H327" s="105"/>
      <c r="I327" s="106"/>
      <c r="J327" s="104"/>
      <c r="K327" s="105"/>
      <c r="L327" s="105"/>
      <c r="M327" s="105"/>
      <c r="N327" s="111"/>
      <c r="O327" s="106"/>
      <c r="P327" s="105"/>
      <c r="Q327" s="105"/>
    </row>
    <row r="328" spans="1:17" x14ac:dyDescent="0.25">
      <c r="A328" s="103"/>
      <c r="B328" s="104"/>
      <c r="C328" s="104"/>
      <c r="D328" s="104"/>
      <c r="E328" s="105"/>
      <c r="F328" s="104"/>
      <c r="G328" s="105"/>
      <c r="H328" s="105"/>
      <c r="I328" s="106"/>
      <c r="J328" s="104"/>
      <c r="K328" s="105"/>
      <c r="L328" s="105"/>
      <c r="M328" s="105"/>
      <c r="N328" s="111"/>
      <c r="O328" s="106"/>
      <c r="P328" s="105"/>
      <c r="Q328" s="105"/>
    </row>
    <row r="329" spans="1:17" x14ac:dyDescent="0.25">
      <c r="A329" s="103"/>
      <c r="B329" s="104"/>
      <c r="C329" s="104"/>
      <c r="D329" s="104"/>
      <c r="E329" s="105"/>
      <c r="F329" s="104"/>
      <c r="G329" s="105"/>
      <c r="H329" s="105"/>
      <c r="I329" s="106"/>
      <c r="J329" s="104"/>
      <c r="K329" s="105"/>
      <c r="L329" s="105"/>
      <c r="M329" s="105"/>
      <c r="N329" s="111"/>
      <c r="O329" s="106"/>
      <c r="P329" s="105"/>
      <c r="Q329" s="105"/>
    </row>
    <row r="330" spans="1:17" x14ac:dyDescent="0.25">
      <c r="A330" s="103"/>
      <c r="B330" s="104"/>
      <c r="C330" s="104"/>
      <c r="D330" s="104"/>
      <c r="E330" s="105"/>
      <c r="F330" s="104"/>
      <c r="G330" s="105"/>
      <c r="H330" s="105"/>
      <c r="I330" s="106"/>
      <c r="J330" s="104"/>
      <c r="K330" s="105"/>
      <c r="L330" s="105"/>
      <c r="M330" s="105"/>
      <c r="N330" s="111"/>
      <c r="O330" s="106"/>
      <c r="P330" s="105"/>
      <c r="Q330" s="105"/>
    </row>
    <row r="331" spans="1:17" x14ac:dyDescent="0.25">
      <c r="A331" s="103"/>
      <c r="B331" s="104"/>
      <c r="C331" s="104"/>
      <c r="D331" s="104"/>
      <c r="E331" s="105"/>
      <c r="F331" s="104"/>
      <c r="G331" s="105"/>
      <c r="H331" s="105"/>
      <c r="I331" s="106"/>
      <c r="J331" s="104"/>
      <c r="K331" s="105"/>
      <c r="L331" s="105"/>
      <c r="M331" s="105"/>
      <c r="N331" s="111"/>
      <c r="O331" s="106"/>
      <c r="P331" s="105"/>
      <c r="Q331" s="105"/>
    </row>
    <row r="332" spans="1:17" x14ac:dyDescent="0.25">
      <c r="A332" s="103"/>
      <c r="B332" s="104"/>
      <c r="C332" s="104"/>
      <c r="D332" s="104"/>
      <c r="E332" s="105"/>
      <c r="F332" s="104"/>
      <c r="G332" s="105"/>
      <c r="H332" s="105"/>
      <c r="I332" s="106"/>
      <c r="J332" s="104"/>
      <c r="K332" s="105"/>
      <c r="L332" s="105"/>
      <c r="M332" s="105"/>
      <c r="N332" s="111"/>
      <c r="O332" s="106"/>
      <c r="P332" s="105"/>
      <c r="Q332" s="105"/>
    </row>
    <row r="333" spans="1:17" x14ac:dyDescent="0.25">
      <c r="A333" s="103"/>
      <c r="B333" s="104"/>
      <c r="C333" s="104"/>
      <c r="D333" s="104"/>
      <c r="E333" s="105"/>
      <c r="F333" s="104"/>
      <c r="G333" s="105"/>
      <c r="H333" s="105"/>
      <c r="I333" s="106"/>
      <c r="J333" s="104"/>
      <c r="K333" s="105"/>
      <c r="L333" s="105"/>
      <c r="M333" s="105"/>
      <c r="N333" s="111"/>
      <c r="O333" s="106"/>
      <c r="P333" s="105"/>
      <c r="Q333" s="105"/>
    </row>
    <row r="334" spans="1:17" x14ac:dyDescent="0.25">
      <c r="A334" s="103"/>
      <c r="B334" s="104"/>
      <c r="C334" s="104"/>
      <c r="D334" s="104"/>
      <c r="E334" s="105"/>
      <c r="F334" s="104"/>
      <c r="G334" s="105"/>
      <c r="H334" s="105"/>
      <c r="I334" s="106"/>
      <c r="J334" s="104"/>
      <c r="K334" s="105"/>
      <c r="L334" s="105"/>
      <c r="M334" s="105"/>
      <c r="N334" s="111"/>
      <c r="O334" s="106"/>
      <c r="P334" s="105"/>
      <c r="Q334" s="105"/>
    </row>
    <row r="335" spans="1:17" x14ac:dyDescent="0.25">
      <c r="A335" s="103"/>
      <c r="B335" s="104"/>
      <c r="C335" s="104"/>
      <c r="D335" s="104"/>
      <c r="E335" s="105"/>
      <c r="F335" s="104"/>
      <c r="G335" s="105"/>
      <c r="H335" s="105"/>
      <c r="I335" s="106"/>
      <c r="J335" s="104"/>
      <c r="K335" s="105"/>
      <c r="L335" s="105"/>
      <c r="M335" s="105"/>
      <c r="N335" s="111"/>
      <c r="O335" s="106"/>
      <c r="P335" s="105"/>
      <c r="Q335" s="105"/>
    </row>
    <row r="336" spans="1:17" x14ac:dyDescent="0.25">
      <c r="A336" s="103"/>
      <c r="B336" s="104"/>
      <c r="C336" s="104"/>
      <c r="D336" s="104"/>
      <c r="E336" s="105"/>
      <c r="F336" s="104"/>
      <c r="G336" s="105"/>
      <c r="H336" s="105"/>
      <c r="I336" s="106"/>
      <c r="J336" s="104"/>
      <c r="K336" s="105"/>
      <c r="L336" s="105"/>
      <c r="M336" s="105"/>
      <c r="N336" s="111"/>
      <c r="O336" s="106"/>
      <c r="P336" s="105"/>
      <c r="Q336" s="105"/>
    </row>
    <row r="337" spans="1:17" x14ac:dyDescent="0.25">
      <c r="A337" s="103"/>
      <c r="B337" s="104"/>
      <c r="C337" s="104"/>
      <c r="D337" s="104"/>
      <c r="E337" s="105"/>
      <c r="F337" s="104"/>
      <c r="G337" s="105"/>
      <c r="H337" s="105"/>
      <c r="I337" s="106"/>
      <c r="J337" s="104"/>
      <c r="K337" s="105"/>
      <c r="L337" s="105"/>
      <c r="M337" s="105"/>
      <c r="N337" s="111"/>
      <c r="O337" s="106"/>
      <c r="P337" s="105"/>
      <c r="Q337" s="105"/>
    </row>
    <row r="338" spans="1:17" x14ac:dyDescent="0.25">
      <c r="A338" s="103"/>
      <c r="B338" s="104"/>
      <c r="C338" s="104"/>
      <c r="D338" s="104"/>
      <c r="E338" s="105"/>
      <c r="F338" s="104"/>
      <c r="G338" s="105"/>
      <c r="H338" s="105"/>
      <c r="I338" s="106"/>
      <c r="J338" s="104"/>
      <c r="K338" s="105"/>
      <c r="L338" s="105"/>
      <c r="M338" s="105"/>
      <c r="N338" s="111"/>
      <c r="O338" s="106"/>
      <c r="P338" s="105"/>
      <c r="Q338" s="105"/>
    </row>
    <row r="339" spans="1:17" x14ac:dyDescent="0.25">
      <c r="A339" s="103"/>
      <c r="B339" s="104"/>
      <c r="C339" s="104"/>
      <c r="D339" s="104"/>
      <c r="E339" s="105"/>
      <c r="F339" s="104"/>
      <c r="G339" s="105"/>
      <c r="H339" s="105"/>
      <c r="I339" s="106"/>
      <c r="J339" s="104"/>
      <c r="K339" s="105"/>
      <c r="L339" s="105"/>
      <c r="M339" s="105"/>
      <c r="N339" s="111"/>
      <c r="O339" s="106"/>
      <c r="P339" s="105"/>
      <c r="Q339" s="105"/>
    </row>
    <row r="340" spans="1:17" x14ac:dyDescent="0.25">
      <c r="A340" s="103"/>
      <c r="B340" s="104"/>
      <c r="C340" s="104"/>
      <c r="D340" s="104"/>
      <c r="E340" s="105"/>
      <c r="F340" s="104"/>
      <c r="G340" s="105"/>
      <c r="H340" s="105"/>
      <c r="I340" s="106"/>
      <c r="J340" s="104"/>
      <c r="K340" s="105"/>
      <c r="L340" s="105"/>
      <c r="M340" s="105"/>
      <c r="N340" s="111"/>
      <c r="O340" s="106"/>
      <c r="P340" s="105"/>
      <c r="Q340" s="105"/>
    </row>
    <row r="341" spans="1:17" x14ac:dyDescent="0.25">
      <c r="A341" s="103"/>
      <c r="B341" s="104"/>
      <c r="C341" s="104"/>
      <c r="D341" s="104"/>
      <c r="E341" s="105"/>
      <c r="F341" s="104"/>
      <c r="G341" s="105"/>
      <c r="H341" s="105"/>
      <c r="I341" s="106"/>
      <c r="J341" s="104"/>
      <c r="K341" s="105"/>
      <c r="L341" s="105"/>
      <c r="M341" s="105"/>
      <c r="N341" s="111"/>
      <c r="O341" s="106"/>
      <c r="P341" s="105"/>
      <c r="Q341" s="105"/>
    </row>
    <row r="342" spans="1:17" x14ac:dyDescent="0.25">
      <c r="A342" s="103"/>
      <c r="B342" s="104"/>
      <c r="C342" s="104"/>
      <c r="D342" s="104"/>
      <c r="E342" s="105"/>
      <c r="F342" s="104"/>
      <c r="G342" s="105"/>
      <c r="H342" s="105"/>
      <c r="I342" s="106"/>
      <c r="J342" s="104"/>
      <c r="K342" s="105"/>
      <c r="L342" s="105"/>
      <c r="M342" s="105"/>
      <c r="N342" s="111"/>
      <c r="O342" s="106"/>
      <c r="P342" s="105"/>
      <c r="Q342" s="105"/>
    </row>
    <row r="343" spans="1:17" x14ac:dyDescent="0.25">
      <c r="A343" s="103"/>
      <c r="B343" s="104"/>
      <c r="C343" s="104"/>
      <c r="D343" s="104"/>
      <c r="E343" s="105"/>
      <c r="F343" s="104"/>
      <c r="G343" s="105"/>
      <c r="H343" s="105"/>
      <c r="I343" s="106"/>
      <c r="J343" s="104"/>
      <c r="K343" s="105"/>
      <c r="L343" s="105"/>
      <c r="M343" s="105"/>
      <c r="N343" s="111"/>
      <c r="O343" s="106"/>
      <c r="P343" s="105"/>
      <c r="Q343" s="105"/>
    </row>
    <row r="344" spans="1:17" x14ac:dyDescent="0.25">
      <c r="A344" s="103"/>
      <c r="B344" s="104"/>
      <c r="C344" s="104"/>
      <c r="D344" s="104"/>
      <c r="E344" s="105"/>
      <c r="F344" s="104"/>
      <c r="G344" s="105"/>
      <c r="H344" s="105"/>
      <c r="I344" s="106"/>
      <c r="J344" s="104"/>
      <c r="K344" s="105"/>
      <c r="L344" s="105"/>
      <c r="M344" s="105"/>
      <c r="N344" s="111"/>
      <c r="O344" s="106"/>
      <c r="P344" s="105"/>
      <c r="Q344" s="105"/>
    </row>
    <row r="345" spans="1:17" x14ac:dyDescent="0.25">
      <c r="A345" s="103"/>
      <c r="B345" s="104"/>
      <c r="C345" s="104"/>
      <c r="D345" s="104"/>
      <c r="E345" s="105"/>
      <c r="F345" s="104"/>
      <c r="G345" s="105"/>
      <c r="H345" s="105"/>
      <c r="I345" s="106"/>
      <c r="J345" s="104"/>
      <c r="K345" s="105"/>
      <c r="L345" s="105"/>
      <c r="M345" s="105"/>
      <c r="N345" s="111"/>
      <c r="O345" s="106"/>
      <c r="P345" s="105"/>
      <c r="Q345" s="105"/>
    </row>
    <row r="346" spans="1:17" x14ac:dyDescent="0.25">
      <c r="A346" s="103"/>
      <c r="B346" s="104"/>
      <c r="C346" s="104"/>
      <c r="D346" s="104"/>
      <c r="E346" s="105"/>
      <c r="F346" s="104"/>
      <c r="G346" s="105"/>
      <c r="H346" s="105"/>
      <c r="I346" s="106"/>
      <c r="J346" s="104"/>
      <c r="K346" s="105"/>
      <c r="L346" s="105"/>
      <c r="M346" s="105"/>
      <c r="N346" s="111"/>
      <c r="O346" s="106"/>
      <c r="P346" s="105"/>
      <c r="Q346" s="105"/>
    </row>
    <row r="347" spans="1:17" x14ac:dyDescent="0.25">
      <c r="A347" s="103"/>
      <c r="B347" s="104"/>
      <c r="C347" s="104"/>
      <c r="D347" s="104"/>
      <c r="E347" s="105"/>
      <c r="F347" s="104"/>
      <c r="G347" s="105"/>
      <c r="H347" s="105"/>
      <c r="I347" s="106"/>
      <c r="J347" s="104"/>
      <c r="K347" s="105"/>
      <c r="L347" s="105"/>
      <c r="M347" s="105"/>
      <c r="N347" s="111"/>
      <c r="O347" s="106"/>
      <c r="P347" s="105"/>
      <c r="Q347" s="105"/>
    </row>
    <row r="348" spans="1:17" x14ac:dyDescent="0.25">
      <c r="A348" s="103"/>
      <c r="B348" s="104"/>
      <c r="C348" s="104"/>
      <c r="D348" s="104"/>
      <c r="E348" s="105"/>
      <c r="F348" s="104"/>
      <c r="G348" s="105"/>
      <c r="H348" s="105"/>
      <c r="I348" s="106"/>
      <c r="J348" s="104"/>
      <c r="K348" s="105"/>
      <c r="L348" s="105"/>
      <c r="M348" s="105"/>
      <c r="N348" s="111"/>
      <c r="O348" s="106"/>
      <c r="P348" s="105"/>
      <c r="Q348" s="105"/>
    </row>
    <row r="349" spans="1:17" x14ac:dyDescent="0.25">
      <c r="A349" s="103"/>
      <c r="B349" s="104"/>
      <c r="C349" s="104"/>
      <c r="D349" s="104"/>
      <c r="E349" s="105"/>
      <c r="F349" s="104"/>
      <c r="G349" s="105"/>
      <c r="H349" s="105"/>
      <c r="I349" s="106"/>
      <c r="J349" s="104"/>
      <c r="K349" s="105"/>
      <c r="L349" s="105"/>
      <c r="M349" s="105"/>
      <c r="N349" s="111"/>
      <c r="O349" s="106"/>
      <c r="P349" s="105"/>
      <c r="Q349" s="105"/>
    </row>
    <row r="350" spans="1:17" x14ac:dyDescent="0.25">
      <c r="A350" s="103"/>
      <c r="B350" s="104"/>
      <c r="C350" s="104"/>
      <c r="D350" s="104"/>
      <c r="E350" s="105"/>
      <c r="F350" s="104"/>
      <c r="G350" s="105"/>
      <c r="H350" s="105"/>
      <c r="I350" s="106"/>
      <c r="J350" s="104"/>
      <c r="K350" s="105"/>
      <c r="L350" s="105"/>
      <c r="M350" s="105"/>
      <c r="N350" s="111"/>
      <c r="O350" s="106"/>
      <c r="P350" s="105"/>
      <c r="Q350" s="105"/>
    </row>
    <row r="351" spans="1:17" x14ac:dyDescent="0.25">
      <c r="A351" s="103"/>
      <c r="B351" s="104"/>
      <c r="C351" s="104"/>
      <c r="D351" s="104"/>
      <c r="E351" s="105"/>
      <c r="F351" s="104"/>
      <c r="G351" s="105"/>
      <c r="H351" s="105"/>
      <c r="I351" s="106"/>
      <c r="J351" s="104"/>
      <c r="K351" s="105"/>
      <c r="L351" s="105"/>
      <c r="M351" s="105"/>
      <c r="N351" s="111"/>
      <c r="O351" s="106"/>
      <c r="P351" s="105"/>
      <c r="Q351" s="105"/>
    </row>
    <row r="352" spans="1:17" x14ac:dyDescent="0.25">
      <c r="A352" s="103"/>
      <c r="B352" s="104"/>
      <c r="C352" s="104"/>
      <c r="D352" s="104"/>
      <c r="E352" s="105"/>
      <c r="F352" s="104"/>
      <c r="G352" s="105"/>
      <c r="H352" s="105"/>
      <c r="I352" s="106"/>
      <c r="J352" s="104"/>
      <c r="K352" s="105"/>
      <c r="L352" s="105"/>
      <c r="M352" s="105"/>
      <c r="N352" s="111"/>
      <c r="O352" s="106"/>
      <c r="P352" s="105"/>
      <c r="Q352" s="105"/>
    </row>
    <row r="353" spans="1:17" x14ac:dyDescent="0.25">
      <c r="A353" s="103"/>
      <c r="B353" s="104"/>
      <c r="C353" s="104"/>
      <c r="D353" s="104"/>
      <c r="E353" s="105"/>
      <c r="F353" s="104"/>
      <c r="G353" s="105"/>
      <c r="H353" s="105"/>
      <c r="I353" s="106"/>
      <c r="J353" s="104"/>
      <c r="K353" s="105"/>
      <c r="L353" s="105"/>
      <c r="M353" s="105"/>
      <c r="N353" s="111"/>
      <c r="O353" s="106"/>
      <c r="P353" s="105"/>
      <c r="Q353" s="105"/>
    </row>
    <row r="354" spans="1:17" x14ac:dyDescent="0.25">
      <c r="A354" s="103"/>
      <c r="B354" s="104"/>
      <c r="C354" s="104"/>
      <c r="D354" s="104"/>
      <c r="E354" s="105"/>
      <c r="F354" s="104"/>
      <c r="G354" s="105"/>
      <c r="H354" s="105"/>
      <c r="I354" s="106"/>
      <c r="J354" s="104"/>
      <c r="K354" s="105"/>
      <c r="L354" s="105"/>
      <c r="M354" s="105"/>
      <c r="N354" s="111"/>
      <c r="O354" s="106"/>
      <c r="P354" s="105"/>
      <c r="Q354" s="105"/>
    </row>
    <row r="355" spans="1:17" x14ac:dyDescent="0.25">
      <c r="A355" s="103"/>
      <c r="B355" s="104"/>
      <c r="C355" s="104"/>
      <c r="D355" s="104"/>
      <c r="E355" s="105"/>
      <c r="F355" s="104"/>
      <c r="G355" s="105"/>
      <c r="H355" s="105"/>
      <c r="I355" s="106"/>
      <c r="J355" s="104"/>
      <c r="K355" s="105"/>
      <c r="L355" s="105"/>
      <c r="M355" s="105"/>
      <c r="N355" s="111"/>
      <c r="O355" s="106"/>
      <c r="P355" s="105"/>
      <c r="Q355" s="105"/>
    </row>
    <row r="356" spans="1:17" x14ac:dyDescent="0.25">
      <c r="A356" s="103"/>
      <c r="B356" s="104"/>
      <c r="C356" s="104"/>
      <c r="D356" s="104"/>
      <c r="E356" s="105"/>
      <c r="F356" s="104"/>
      <c r="G356" s="105"/>
      <c r="H356" s="105"/>
      <c r="I356" s="106"/>
      <c r="J356" s="104"/>
      <c r="K356" s="105"/>
      <c r="L356" s="105"/>
      <c r="M356" s="105"/>
      <c r="N356" s="111"/>
      <c r="O356" s="106"/>
      <c r="P356" s="105"/>
      <c r="Q356" s="105"/>
    </row>
    <row r="357" spans="1:17" x14ac:dyDescent="0.25">
      <c r="A357" s="103"/>
      <c r="B357" s="104"/>
      <c r="C357" s="104"/>
      <c r="D357" s="104"/>
      <c r="E357" s="105"/>
      <c r="F357" s="104"/>
      <c r="G357" s="105"/>
      <c r="H357" s="105"/>
      <c r="I357" s="106"/>
      <c r="J357" s="104"/>
      <c r="K357" s="105"/>
      <c r="L357" s="105"/>
      <c r="M357" s="105"/>
      <c r="N357" s="111"/>
      <c r="O357" s="106"/>
      <c r="P357" s="105"/>
      <c r="Q357" s="105"/>
    </row>
    <row r="358" spans="1:17" x14ac:dyDescent="0.25">
      <c r="A358" s="103"/>
      <c r="B358" s="104"/>
      <c r="C358" s="104"/>
      <c r="D358" s="104"/>
      <c r="E358" s="105"/>
      <c r="F358" s="104"/>
      <c r="G358" s="105"/>
      <c r="H358" s="105"/>
      <c r="I358" s="106"/>
      <c r="J358" s="104"/>
      <c r="K358" s="105"/>
      <c r="L358" s="105"/>
      <c r="M358" s="105"/>
      <c r="N358" s="111"/>
      <c r="O358" s="106"/>
      <c r="P358" s="105"/>
      <c r="Q358" s="105"/>
    </row>
    <row r="359" spans="1:17" x14ac:dyDescent="0.25">
      <c r="A359" s="103"/>
      <c r="B359" s="104"/>
      <c r="C359" s="104"/>
      <c r="D359" s="104"/>
      <c r="E359" s="105"/>
      <c r="F359" s="104"/>
      <c r="G359" s="105"/>
      <c r="H359" s="105"/>
      <c r="I359" s="106"/>
      <c r="J359" s="104"/>
      <c r="K359" s="105"/>
      <c r="L359" s="105"/>
      <c r="M359" s="105"/>
      <c r="N359" s="111"/>
      <c r="O359" s="106"/>
      <c r="P359" s="105"/>
      <c r="Q359" s="105"/>
    </row>
    <row r="360" spans="1:17" x14ac:dyDescent="0.25">
      <c r="A360" s="103"/>
      <c r="B360" s="104"/>
      <c r="C360" s="104"/>
      <c r="D360" s="104"/>
      <c r="E360" s="105"/>
      <c r="F360" s="104"/>
      <c r="G360" s="105"/>
      <c r="H360" s="105"/>
      <c r="I360" s="106"/>
      <c r="J360" s="104"/>
      <c r="K360" s="105"/>
      <c r="L360" s="105"/>
      <c r="M360" s="105"/>
      <c r="N360" s="111"/>
      <c r="O360" s="106"/>
      <c r="P360" s="105"/>
      <c r="Q360" s="105"/>
    </row>
    <row r="361" spans="1:17" x14ac:dyDescent="0.25">
      <c r="A361" s="103"/>
      <c r="B361" s="104"/>
      <c r="C361" s="104"/>
      <c r="D361" s="104"/>
      <c r="E361" s="105"/>
      <c r="F361" s="104"/>
      <c r="G361" s="105"/>
      <c r="H361" s="105"/>
      <c r="I361" s="106"/>
      <c r="J361" s="104"/>
      <c r="K361" s="105"/>
      <c r="L361" s="105"/>
      <c r="M361" s="105"/>
      <c r="N361" s="111"/>
      <c r="O361" s="106"/>
      <c r="P361" s="105"/>
      <c r="Q361" s="105"/>
    </row>
    <row r="362" spans="1:17" x14ac:dyDescent="0.25">
      <c r="A362" s="103"/>
      <c r="B362" s="104"/>
      <c r="C362" s="104"/>
      <c r="D362" s="104"/>
      <c r="E362" s="105"/>
      <c r="F362" s="104"/>
      <c r="G362" s="105"/>
      <c r="H362" s="105"/>
      <c r="I362" s="106"/>
      <c r="J362" s="104"/>
      <c r="K362" s="105"/>
      <c r="L362" s="105"/>
      <c r="M362" s="105"/>
      <c r="N362" s="111"/>
      <c r="O362" s="106"/>
      <c r="P362" s="105"/>
      <c r="Q362" s="105"/>
    </row>
    <row r="363" spans="1:17" x14ac:dyDescent="0.25">
      <c r="A363" s="103"/>
      <c r="B363" s="104"/>
      <c r="C363" s="104"/>
      <c r="D363" s="104"/>
      <c r="E363" s="105"/>
      <c r="F363" s="104"/>
      <c r="G363" s="105"/>
      <c r="H363" s="105"/>
      <c r="I363" s="106"/>
      <c r="J363" s="104"/>
      <c r="K363" s="105"/>
      <c r="L363" s="105"/>
      <c r="M363" s="105"/>
      <c r="N363" s="111"/>
      <c r="O363" s="106"/>
      <c r="P363" s="105"/>
      <c r="Q363" s="105"/>
    </row>
    <row r="364" spans="1:17" x14ac:dyDescent="0.25">
      <c r="A364" s="103"/>
      <c r="B364" s="104"/>
      <c r="C364" s="104"/>
      <c r="D364" s="104"/>
      <c r="E364" s="105"/>
      <c r="F364" s="104"/>
      <c r="G364" s="105"/>
      <c r="H364" s="105"/>
      <c r="I364" s="106"/>
      <c r="J364" s="104"/>
      <c r="K364" s="105"/>
      <c r="L364" s="105"/>
      <c r="M364" s="105"/>
      <c r="N364" s="111"/>
      <c r="O364" s="106"/>
      <c r="P364" s="105"/>
      <c r="Q364" s="105"/>
    </row>
    <row r="365" spans="1:17" x14ac:dyDescent="0.25">
      <c r="A365" s="103"/>
      <c r="B365" s="104"/>
      <c r="C365" s="104"/>
      <c r="D365" s="104"/>
      <c r="E365" s="105"/>
      <c r="F365" s="104"/>
      <c r="G365" s="105"/>
      <c r="H365" s="105"/>
      <c r="I365" s="106"/>
      <c r="J365" s="104"/>
      <c r="K365" s="105"/>
      <c r="L365" s="105"/>
      <c r="M365" s="105"/>
      <c r="N365" s="111"/>
      <c r="O365" s="106"/>
      <c r="P365" s="105"/>
      <c r="Q365" s="105"/>
    </row>
    <row r="366" spans="1:17" x14ac:dyDescent="0.25">
      <c r="A366" s="103"/>
      <c r="B366" s="104"/>
      <c r="C366" s="104"/>
      <c r="D366" s="104"/>
      <c r="E366" s="105"/>
      <c r="F366" s="104"/>
      <c r="G366" s="105"/>
      <c r="H366" s="105"/>
      <c r="I366" s="106"/>
      <c r="J366" s="104"/>
      <c r="K366" s="105"/>
      <c r="L366" s="105"/>
      <c r="M366" s="105"/>
      <c r="N366" s="111"/>
      <c r="O366" s="106"/>
      <c r="P366" s="105"/>
      <c r="Q366" s="105"/>
    </row>
    <row r="367" spans="1:17" x14ac:dyDescent="0.25">
      <c r="A367" s="103"/>
      <c r="B367" s="104"/>
      <c r="C367" s="104"/>
      <c r="D367" s="104"/>
      <c r="E367" s="105"/>
      <c r="F367" s="104"/>
      <c r="G367" s="105"/>
      <c r="H367" s="105"/>
      <c r="I367" s="106"/>
      <c r="J367" s="104"/>
      <c r="K367" s="105"/>
      <c r="L367" s="105"/>
      <c r="M367" s="105"/>
      <c r="N367" s="111"/>
      <c r="O367" s="106"/>
      <c r="P367" s="105"/>
      <c r="Q367" s="105"/>
    </row>
    <row r="368" spans="1:17" x14ac:dyDescent="0.25">
      <c r="A368" s="103"/>
      <c r="B368" s="104"/>
      <c r="C368" s="104"/>
      <c r="D368" s="104"/>
      <c r="E368" s="105"/>
      <c r="F368" s="104"/>
      <c r="G368" s="105"/>
      <c r="H368" s="105"/>
      <c r="I368" s="106"/>
      <c r="J368" s="104"/>
      <c r="K368" s="105"/>
      <c r="L368" s="105"/>
      <c r="M368" s="105"/>
      <c r="N368" s="111"/>
      <c r="O368" s="106"/>
      <c r="P368" s="105"/>
      <c r="Q368" s="105"/>
    </row>
    <row r="369" spans="1:17" x14ac:dyDescent="0.25">
      <c r="A369" s="103"/>
      <c r="B369" s="104"/>
      <c r="C369" s="104"/>
      <c r="D369" s="104"/>
      <c r="E369" s="105"/>
      <c r="F369" s="104"/>
      <c r="G369" s="105"/>
      <c r="H369" s="105"/>
      <c r="I369" s="106"/>
      <c r="J369" s="104"/>
      <c r="K369" s="105"/>
      <c r="L369" s="105"/>
      <c r="M369" s="105"/>
      <c r="N369" s="111"/>
      <c r="O369" s="106"/>
      <c r="P369" s="105"/>
      <c r="Q369" s="105"/>
    </row>
    <row r="370" spans="1:17" x14ac:dyDescent="0.25">
      <c r="A370" s="103"/>
      <c r="B370" s="104"/>
      <c r="C370" s="104"/>
      <c r="D370" s="104"/>
      <c r="E370" s="105"/>
      <c r="F370" s="104"/>
      <c r="G370" s="105"/>
      <c r="H370" s="105"/>
      <c r="I370" s="106"/>
      <c r="J370" s="104"/>
      <c r="K370" s="105"/>
      <c r="L370" s="105"/>
      <c r="M370" s="105"/>
      <c r="N370" s="111"/>
      <c r="O370" s="106"/>
      <c r="P370" s="105"/>
      <c r="Q370" s="105"/>
    </row>
    <row r="371" spans="1:17" x14ac:dyDescent="0.25">
      <c r="A371" s="103"/>
      <c r="B371" s="104"/>
      <c r="C371" s="104"/>
      <c r="D371" s="104"/>
      <c r="E371" s="105"/>
      <c r="F371" s="104"/>
      <c r="G371" s="105"/>
      <c r="H371" s="105"/>
      <c r="I371" s="106"/>
      <c r="J371" s="104"/>
      <c r="K371" s="105"/>
      <c r="L371" s="105"/>
      <c r="M371" s="105"/>
      <c r="N371" s="111"/>
      <c r="O371" s="106"/>
      <c r="P371" s="105"/>
      <c r="Q371" s="105"/>
    </row>
    <row r="372" spans="1:17" x14ac:dyDescent="0.25">
      <c r="A372" s="103"/>
      <c r="B372" s="104"/>
      <c r="C372" s="104"/>
      <c r="D372" s="104"/>
      <c r="E372" s="105"/>
      <c r="F372" s="104"/>
      <c r="G372" s="105"/>
      <c r="H372" s="105"/>
      <c r="I372" s="106"/>
      <c r="J372" s="104"/>
      <c r="K372" s="105"/>
      <c r="L372" s="105"/>
      <c r="M372" s="105"/>
      <c r="N372" s="111"/>
      <c r="O372" s="106"/>
      <c r="P372" s="105"/>
      <c r="Q372" s="105"/>
    </row>
    <row r="373" spans="1:17" x14ac:dyDescent="0.25">
      <c r="A373" s="103"/>
      <c r="B373" s="104"/>
      <c r="C373" s="104"/>
      <c r="D373" s="104"/>
      <c r="E373" s="105"/>
      <c r="F373" s="104"/>
      <c r="G373" s="105"/>
      <c r="H373" s="105"/>
      <c r="I373" s="106"/>
      <c r="J373" s="104"/>
      <c r="K373" s="105"/>
      <c r="L373" s="105"/>
      <c r="M373" s="105"/>
      <c r="N373" s="111"/>
      <c r="O373" s="106"/>
      <c r="P373" s="105"/>
      <c r="Q373" s="105"/>
    </row>
    <row r="374" spans="1:17" x14ac:dyDescent="0.25">
      <c r="A374" s="103"/>
      <c r="B374" s="104"/>
      <c r="C374" s="104"/>
      <c r="D374" s="104"/>
      <c r="E374" s="105"/>
      <c r="F374" s="104"/>
      <c r="G374" s="105"/>
      <c r="H374" s="105"/>
      <c r="I374" s="106"/>
      <c r="J374" s="104"/>
      <c r="K374" s="105"/>
      <c r="L374" s="105"/>
      <c r="M374" s="105"/>
      <c r="N374" s="111"/>
      <c r="O374" s="106"/>
      <c r="P374" s="105"/>
      <c r="Q374" s="105"/>
    </row>
    <row r="375" spans="1:17" x14ac:dyDescent="0.25">
      <c r="A375" s="103"/>
      <c r="B375" s="104"/>
      <c r="C375" s="104"/>
      <c r="D375" s="104"/>
      <c r="E375" s="105"/>
      <c r="F375" s="104"/>
      <c r="G375" s="105"/>
      <c r="H375" s="105"/>
      <c r="I375" s="106"/>
      <c r="J375" s="104"/>
      <c r="K375" s="105"/>
      <c r="L375" s="105"/>
      <c r="M375" s="105"/>
      <c r="N375" s="111"/>
      <c r="O375" s="106"/>
      <c r="P375" s="105"/>
      <c r="Q375" s="105"/>
    </row>
    <row r="376" spans="1:17" x14ac:dyDescent="0.25">
      <c r="A376" s="103"/>
      <c r="B376" s="104"/>
      <c r="C376" s="104"/>
      <c r="D376" s="104"/>
      <c r="E376" s="105"/>
      <c r="F376" s="104"/>
      <c r="G376" s="105"/>
      <c r="H376" s="105"/>
      <c r="I376" s="106"/>
      <c r="J376" s="104"/>
      <c r="K376" s="105"/>
      <c r="L376" s="105"/>
      <c r="M376" s="105"/>
      <c r="N376" s="111"/>
      <c r="O376" s="106"/>
      <c r="P376" s="105"/>
      <c r="Q376" s="105"/>
    </row>
    <row r="377" spans="1:17" x14ac:dyDescent="0.25">
      <c r="A377" s="103"/>
      <c r="B377" s="104"/>
      <c r="C377" s="104"/>
      <c r="D377" s="104"/>
      <c r="E377" s="105"/>
      <c r="F377" s="104"/>
      <c r="G377" s="105"/>
      <c r="H377" s="105"/>
      <c r="I377" s="106"/>
      <c r="J377" s="104"/>
      <c r="K377" s="105"/>
      <c r="L377" s="105"/>
      <c r="M377" s="105"/>
      <c r="N377" s="111"/>
      <c r="O377" s="106"/>
      <c r="P377" s="105"/>
      <c r="Q377" s="105"/>
    </row>
    <row r="378" spans="1:17" x14ac:dyDescent="0.25">
      <c r="A378" s="103"/>
      <c r="B378" s="104"/>
      <c r="C378" s="104"/>
      <c r="D378" s="104"/>
      <c r="E378" s="105"/>
      <c r="F378" s="104"/>
      <c r="G378" s="105"/>
      <c r="H378" s="105"/>
      <c r="I378" s="106"/>
      <c r="J378" s="104"/>
      <c r="K378" s="105"/>
      <c r="L378" s="105"/>
      <c r="M378" s="105"/>
      <c r="N378" s="111"/>
      <c r="O378" s="106"/>
      <c r="P378" s="105"/>
      <c r="Q378" s="105"/>
    </row>
    <row r="379" spans="1:17" x14ac:dyDescent="0.25">
      <c r="A379" s="103"/>
      <c r="B379" s="104"/>
      <c r="C379" s="104"/>
      <c r="D379" s="104"/>
      <c r="E379" s="105"/>
      <c r="F379" s="104"/>
      <c r="G379" s="105"/>
      <c r="H379" s="105"/>
      <c r="I379" s="106"/>
      <c r="J379" s="104"/>
      <c r="K379" s="105"/>
      <c r="L379" s="105"/>
      <c r="M379" s="105"/>
      <c r="N379" s="111"/>
      <c r="O379" s="106"/>
      <c r="P379" s="105"/>
      <c r="Q379" s="105"/>
    </row>
    <row r="380" spans="1:17" x14ac:dyDescent="0.25">
      <c r="A380" s="103"/>
      <c r="B380" s="104"/>
      <c r="C380" s="104"/>
      <c r="D380" s="104"/>
      <c r="E380" s="105"/>
      <c r="F380" s="104"/>
      <c r="G380" s="105"/>
      <c r="H380" s="105"/>
      <c r="I380" s="106"/>
      <c r="J380" s="104"/>
      <c r="K380" s="105"/>
      <c r="L380" s="105"/>
      <c r="M380" s="105"/>
      <c r="N380" s="111"/>
      <c r="O380" s="106"/>
      <c r="P380" s="105"/>
      <c r="Q380" s="105"/>
    </row>
    <row r="381" spans="1:17" x14ac:dyDescent="0.25">
      <c r="A381" s="103"/>
      <c r="B381" s="104"/>
      <c r="C381" s="104"/>
      <c r="D381" s="104"/>
      <c r="E381" s="105"/>
      <c r="F381" s="104"/>
      <c r="G381" s="105"/>
      <c r="H381" s="105"/>
      <c r="I381" s="106"/>
      <c r="J381" s="104"/>
      <c r="K381" s="105"/>
      <c r="L381" s="105"/>
      <c r="M381" s="105"/>
      <c r="N381" s="111"/>
      <c r="O381" s="106"/>
      <c r="P381" s="105"/>
      <c r="Q381" s="105"/>
    </row>
    <row r="382" spans="1:17" x14ac:dyDescent="0.25">
      <c r="A382" s="103"/>
      <c r="B382" s="104"/>
      <c r="C382" s="104"/>
      <c r="D382" s="104"/>
      <c r="E382" s="105"/>
      <c r="F382" s="104"/>
      <c r="G382" s="105"/>
      <c r="H382" s="105"/>
      <c r="I382" s="106"/>
      <c r="J382" s="104"/>
      <c r="K382" s="105"/>
      <c r="L382" s="105"/>
      <c r="M382" s="105"/>
      <c r="N382" s="111"/>
      <c r="O382" s="106"/>
      <c r="P382" s="105"/>
      <c r="Q382" s="105"/>
    </row>
    <row r="383" spans="1:17" x14ac:dyDescent="0.25">
      <c r="A383" s="103"/>
      <c r="B383" s="104"/>
      <c r="C383" s="104"/>
      <c r="D383" s="104"/>
      <c r="E383" s="105"/>
      <c r="F383" s="104"/>
      <c r="G383" s="105"/>
      <c r="H383" s="105"/>
      <c r="I383" s="106"/>
      <c r="J383" s="104"/>
      <c r="K383" s="105"/>
      <c r="L383" s="105"/>
      <c r="M383" s="105"/>
      <c r="N383" s="111"/>
      <c r="O383" s="106"/>
      <c r="P383" s="105"/>
      <c r="Q383" s="105"/>
    </row>
    <row r="384" spans="1:17" x14ac:dyDescent="0.25">
      <c r="A384" s="103"/>
      <c r="B384" s="104"/>
      <c r="C384" s="104"/>
      <c r="D384" s="104"/>
      <c r="E384" s="105"/>
      <c r="F384" s="104"/>
      <c r="G384" s="105"/>
      <c r="H384" s="105"/>
      <c r="I384" s="106"/>
      <c r="J384" s="104"/>
      <c r="K384" s="105"/>
      <c r="L384" s="105"/>
      <c r="M384" s="105"/>
      <c r="N384" s="111"/>
      <c r="O384" s="106"/>
      <c r="P384" s="105"/>
      <c r="Q384" s="105"/>
    </row>
    <row r="385" spans="1:17" x14ac:dyDescent="0.25">
      <c r="A385" s="103"/>
      <c r="B385" s="104"/>
      <c r="C385" s="104"/>
      <c r="D385" s="104"/>
      <c r="E385" s="105"/>
      <c r="F385" s="104"/>
      <c r="G385" s="105"/>
      <c r="H385" s="105"/>
      <c r="I385" s="106"/>
      <c r="J385" s="104"/>
      <c r="K385" s="105"/>
      <c r="L385" s="105"/>
      <c r="M385" s="105"/>
      <c r="N385" s="111"/>
      <c r="O385" s="106"/>
      <c r="P385" s="105"/>
      <c r="Q385" s="105"/>
    </row>
    <row r="386" spans="1:17" x14ac:dyDescent="0.25">
      <c r="A386" s="103"/>
      <c r="B386" s="104"/>
      <c r="C386" s="104"/>
      <c r="D386" s="104"/>
      <c r="E386" s="105"/>
      <c r="F386" s="104"/>
      <c r="G386" s="105"/>
      <c r="H386" s="105"/>
      <c r="I386" s="106"/>
      <c r="J386" s="104"/>
      <c r="K386" s="105"/>
      <c r="L386" s="105"/>
      <c r="M386" s="105"/>
      <c r="N386" s="111"/>
      <c r="O386" s="106"/>
      <c r="P386" s="105"/>
      <c r="Q386" s="105"/>
    </row>
    <row r="387" spans="1:17" x14ac:dyDescent="0.25">
      <c r="A387" s="103"/>
      <c r="B387" s="104"/>
      <c r="C387" s="104"/>
      <c r="D387" s="104"/>
      <c r="E387" s="105"/>
      <c r="F387" s="104"/>
      <c r="G387" s="105"/>
      <c r="H387" s="105"/>
      <c r="I387" s="106"/>
      <c r="J387" s="104"/>
      <c r="K387" s="105"/>
      <c r="L387" s="105"/>
      <c r="M387" s="105"/>
      <c r="N387" s="111"/>
      <c r="O387" s="106"/>
      <c r="P387" s="105"/>
      <c r="Q387" s="105"/>
    </row>
    <row r="388" spans="1:17" x14ac:dyDescent="0.25">
      <c r="A388" s="103"/>
      <c r="B388" s="104"/>
      <c r="C388" s="104"/>
      <c r="D388" s="104"/>
      <c r="E388" s="105"/>
      <c r="F388" s="104"/>
      <c r="G388" s="105"/>
      <c r="H388" s="105"/>
      <c r="I388" s="106"/>
      <c r="J388" s="104"/>
      <c r="K388" s="105"/>
      <c r="L388" s="105"/>
      <c r="M388" s="105"/>
      <c r="N388" s="111"/>
      <c r="O388" s="106"/>
      <c r="P388" s="105"/>
      <c r="Q388" s="105"/>
    </row>
    <row r="389" spans="1:17" x14ac:dyDescent="0.25">
      <c r="A389" s="103"/>
      <c r="B389" s="104"/>
      <c r="C389" s="104"/>
      <c r="D389" s="104"/>
      <c r="E389" s="105"/>
      <c r="F389" s="104"/>
      <c r="G389" s="105"/>
      <c r="H389" s="105"/>
      <c r="I389" s="106"/>
      <c r="J389" s="104"/>
      <c r="K389" s="105"/>
      <c r="L389" s="105"/>
      <c r="M389" s="105"/>
      <c r="N389" s="111"/>
      <c r="O389" s="106"/>
      <c r="P389" s="105"/>
      <c r="Q389" s="105"/>
    </row>
    <row r="390" spans="1:17" x14ac:dyDescent="0.25">
      <c r="A390" s="103"/>
      <c r="B390" s="104"/>
      <c r="C390" s="104"/>
      <c r="D390" s="104"/>
      <c r="E390" s="105"/>
      <c r="F390" s="104"/>
      <c r="G390" s="105"/>
      <c r="H390" s="105"/>
      <c r="I390" s="106"/>
      <c r="J390" s="104"/>
      <c r="K390" s="105"/>
      <c r="L390" s="105"/>
      <c r="M390" s="105"/>
      <c r="N390" s="111"/>
      <c r="O390" s="106"/>
      <c r="P390" s="105"/>
      <c r="Q390" s="105"/>
    </row>
    <row r="391" spans="1:17" x14ac:dyDescent="0.25">
      <c r="A391" s="103"/>
      <c r="B391" s="104"/>
      <c r="C391" s="104"/>
      <c r="D391" s="104"/>
      <c r="E391" s="105"/>
      <c r="F391" s="104"/>
      <c r="G391" s="105"/>
      <c r="H391" s="105"/>
      <c r="I391" s="106"/>
      <c r="J391" s="104"/>
      <c r="K391" s="105"/>
      <c r="L391" s="105"/>
      <c r="M391" s="105"/>
      <c r="N391" s="111"/>
      <c r="O391" s="106"/>
      <c r="P391" s="105"/>
      <c r="Q391" s="105"/>
    </row>
    <row r="392" spans="1:17" x14ac:dyDescent="0.25">
      <c r="A392" s="103"/>
      <c r="B392" s="104"/>
      <c r="C392" s="104"/>
      <c r="D392" s="104"/>
      <c r="E392" s="105"/>
      <c r="F392" s="104"/>
      <c r="G392" s="105"/>
      <c r="H392" s="105"/>
      <c r="I392" s="106"/>
      <c r="J392" s="104"/>
      <c r="K392" s="105"/>
      <c r="L392" s="105"/>
      <c r="M392" s="105"/>
      <c r="N392" s="111"/>
      <c r="O392" s="106"/>
      <c r="P392" s="105"/>
      <c r="Q392" s="105"/>
    </row>
    <row r="393" spans="1:17" x14ac:dyDescent="0.25">
      <c r="A393" s="103"/>
      <c r="B393" s="104"/>
      <c r="C393" s="104"/>
      <c r="D393" s="104"/>
      <c r="E393" s="105"/>
      <c r="F393" s="104"/>
      <c r="G393" s="105"/>
      <c r="H393" s="105"/>
      <c r="I393" s="106"/>
      <c r="J393" s="104"/>
      <c r="K393" s="105"/>
      <c r="L393" s="105"/>
      <c r="M393" s="105"/>
      <c r="N393" s="111"/>
      <c r="O393" s="106"/>
      <c r="P393" s="105"/>
      <c r="Q393" s="105"/>
    </row>
    <row r="394" spans="1:17" x14ac:dyDescent="0.25">
      <c r="A394" s="103"/>
      <c r="B394" s="104"/>
      <c r="C394" s="104"/>
      <c r="D394" s="104"/>
      <c r="E394" s="105"/>
      <c r="F394" s="104"/>
      <c r="G394" s="105"/>
      <c r="H394" s="105"/>
      <c r="I394" s="106"/>
      <c r="J394" s="104"/>
      <c r="K394" s="105"/>
      <c r="L394" s="105"/>
      <c r="M394" s="105"/>
      <c r="N394" s="111"/>
      <c r="O394" s="106"/>
      <c r="P394" s="105"/>
      <c r="Q394" s="105"/>
    </row>
    <row r="395" spans="1:17" x14ac:dyDescent="0.25">
      <c r="A395" s="103"/>
      <c r="B395" s="104"/>
      <c r="C395" s="104"/>
      <c r="D395" s="104"/>
      <c r="E395" s="105"/>
      <c r="F395" s="104"/>
      <c r="G395" s="105"/>
      <c r="H395" s="105"/>
      <c r="I395" s="106"/>
      <c r="J395" s="104"/>
      <c r="K395" s="105"/>
      <c r="L395" s="105"/>
      <c r="M395" s="105"/>
      <c r="N395" s="111"/>
      <c r="O395" s="106"/>
      <c r="P395" s="105"/>
      <c r="Q395" s="105"/>
    </row>
    <row r="396" spans="1:17" x14ac:dyDescent="0.25">
      <c r="A396" s="103"/>
      <c r="B396" s="104"/>
      <c r="C396" s="104"/>
      <c r="D396" s="104"/>
      <c r="E396" s="105"/>
      <c r="F396" s="104"/>
      <c r="G396" s="105"/>
      <c r="H396" s="105"/>
      <c r="I396" s="106"/>
      <c r="J396" s="104"/>
      <c r="K396" s="105"/>
      <c r="L396" s="105"/>
      <c r="M396" s="105"/>
      <c r="N396" s="111"/>
      <c r="O396" s="106"/>
      <c r="P396" s="105"/>
      <c r="Q396" s="105"/>
    </row>
    <row r="397" spans="1:17" x14ac:dyDescent="0.25">
      <c r="A397" s="103"/>
      <c r="B397" s="104"/>
      <c r="C397" s="104"/>
      <c r="D397" s="104"/>
      <c r="E397" s="105"/>
      <c r="F397" s="104"/>
      <c r="G397" s="105"/>
      <c r="H397" s="105"/>
      <c r="I397" s="106"/>
      <c r="J397" s="104"/>
      <c r="K397" s="105"/>
      <c r="L397" s="105"/>
      <c r="M397" s="105"/>
      <c r="N397" s="111"/>
      <c r="O397" s="106"/>
      <c r="P397" s="105"/>
      <c r="Q397" s="105"/>
    </row>
    <row r="398" spans="1:17" x14ac:dyDescent="0.25">
      <c r="A398" s="103"/>
      <c r="B398" s="104"/>
      <c r="C398" s="104"/>
      <c r="D398" s="104"/>
      <c r="E398" s="105"/>
      <c r="F398" s="104"/>
      <c r="G398" s="105"/>
      <c r="H398" s="105"/>
      <c r="I398" s="106"/>
      <c r="J398" s="104"/>
      <c r="K398" s="105"/>
      <c r="L398" s="105"/>
      <c r="M398" s="105"/>
      <c r="N398" s="111"/>
      <c r="O398" s="106"/>
      <c r="P398" s="105"/>
      <c r="Q398" s="105"/>
    </row>
    <row r="399" spans="1:17" x14ac:dyDescent="0.25">
      <c r="A399" s="103"/>
      <c r="B399" s="104"/>
      <c r="C399" s="104"/>
      <c r="D399" s="104"/>
      <c r="E399" s="105"/>
      <c r="F399" s="104"/>
      <c r="G399" s="105"/>
      <c r="H399" s="105"/>
      <c r="I399" s="106"/>
      <c r="J399" s="104"/>
      <c r="K399" s="105"/>
      <c r="L399" s="105"/>
      <c r="M399" s="105"/>
      <c r="N399" s="111"/>
      <c r="O399" s="106"/>
      <c r="P399" s="105"/>
      <c r="Q399" s="105"/>
    </row>
    <row r="400" spans="1:17" x14ac:dyDescent="0.25">
      <c r="A400" s="103"/>
      <c r="B400" s="104"/>
      <c r="C400" s="104"/>
      <c r="D400" s="104"/>
      <c r="E400" s="105"/>
      <c r="F400" s="104"/>
      <c r="G400" s="105"/>
      <c r="H400" s="105"/>
      <c r="I400" s="106"/>
      <c r="J400" s="104"/>
      <c r="K400" s="105"/>
      <c r="L400" s="105"/>
      <c r="M400" s="105"/>
      <c r="N400" s="111"/>
      <c r="O400" s="106"/>
      <c r="P400" s="105"/>
      <c r="Q400" s="105"/>
    </row>
    <row r="401" spans="1:17" x14ac:dyDescent="0.25">
      <c r="A401" s="103"/>
      <c r="B401" s="104"/>
      <c r="C401" s="104"/>
      <c r="D401" s="104"/>
      <c r="E401" s="105"/>
      <c r="F401" s="104"/>
      <c r="G401" s="105"/>
      <c r="H401" s="105"/>
      <c r="I401" s="106"/>
      <c r="J401" s="104"/>
      <c r="K401" s="105"/>
      <c r="L401" s="105"/>
      <c r="M401" s="105"/>
      <c r="N401" s="111"/>
      <c r="O401" s="106"/>
      <c r="P401" s="105"/>
      <c r="Q401" s="105"/>
    </row>
    <row r="402" spans="1:17" x14ac:dyDescent="0.25">
      <c r="A402" s="103"/>
      <c r="B402" s="104"/>
      <c r="C402" s="104"/>
      <c r="D402" s="104"/>
      <c r="E402" s="105"/>
      <c r="F402" s="104"/>
      <c r="G402" s="105"/>
      <c r="H402" s="105"/>
      <c r="I402" s="106"/>
      <c r="J402" s="104"/>
      <c r="K402" s="105"/>
      <c r="L402" s="105"/>
      <c r="M402" s="105"/>
      <c r="N402" s="111"/>
      <c r="O402" s="106"/>
      <c r="P402" s="105"/>
      <c r="Q402" s="105"/>
    </row>
    <row r="403" spans="1:17" x14ac:dyDescent="0.25">
      <c r="A403" s="103"/>
      <c r="B403" s="104"/>
      <c r="C403" s="104"/>
      <c r="D403" s="104"/>
      <c r="E403" s="105"/>
      <c r="F403" s="104"/>
      <c r="G403" s="105"/>
      <c r="H403" s="105"/>
      <c r="I403" s="106"/>
      <c r="J403" s="104"/>
      <c r="K403" s="105"/>
      <c r="L403" s="105"/>
      <c r="M403" s="105"/>
      <c r="N403" s="111"/>
      <c r="O403" s="106"/>
      <c r="P403" s="105"/>
      <c r="Q403" s="105"/>
    </row>
    <row r="404" spans="1:17" x14ac:dyDescent="0.25">
      <c r="A404" s="103"/>
      <c r="B404" s="104"/>
      <c r="C404" s="104"/>
      <c r="D404" s="104"/>
      <c r="E404" s="105"/>
      <c r="F404" s="104"/>
      <c r="G404" s="105"/>
      <c r="H404" s="105"/>
      <c r="I404" s="106"/>
      <c r="J404" s="104"/>
      <c r="K404" s="105"/>
      <c r="L404" s="105"/>
      <c r="M404" s="105"/>
      <c r="N404" s="111"/>
      <c r="O404" s="106"/>
      <c r="P404" s="105"/>
      <c r="Q404" s="105"/>
    </row>
    <row r="405" spans="1:17" x14ac:dyDescent="0.25">
      <c r="A405" s="103"/>
      <c r="B405" s="104"/>
      <c r="C405" s="104"/>
      <c r="D405" s="104"/>
      <c r="E405" s="105"/>
      <c r="F405" s="104"/>
      <c r="G405" s="105"/>
      <c r="H405" s="105"/>
      <c r="I405" s="106"/>
      <c r="J405" s="104"/>
      <c r="K405" s="105"/>
      <c r="L405" s="105"/>
      <c r="M405" s="105"/>
      <c r="N405" s="111"/>
      <c r="O405" s="106"/>
      <c r="P405" s="105"/>
      <c r="Q405" s="105"/>
    </row>
    <row r="406" spans="1:17" x14ac:dyDescent="0.25">
      <c r="A406" s="103"/>
      <c r="B406" s="104"/>
      <c r="C406" s="104"/>
      <c r="D406" s="104"/>
      <c r="E406" s="105"/>
      <c r="F406" s="104"/>
      <c r="G406" s="105"/>
      <c r="H406" s="105"/>
      <c r="I406" s="106"/>
      <c r="J406" s="104"/>
      <c r="K406" s="105"/>
      <c r="L406" s="105"/>
      <c r="M406" s="105"/>
      <c r="N406" s="111"/>
      <c r="O406" s="106"/>
      <c r="P406" s="105"/>
      <c r="Q406" s="105"/>
    </row>
    <row r="407" spans="1:17" x14ac:dyDescent="0.25">
      <c r="A407" s="103"/>
      <c r="B407" s="104"/>
      <c r="C407" s="104"/>
      <c r="D407" s="104"/>
      <c r="E407" s="105"/>
      <c r="F407" s="104"/>
      <c r="G407" s="105"/>
      <c r="H407" s="105"/>
      <c r="I407" s="106"/>
      <c r="J407" s="104"/>
      <c r="K407" s="105"/>
      <c r="L407" s="105"/>
      <c r="M407" s="105"/>
      <c r="N407" s="111"/>
      <c r="O407" s="106"/>
      <c r="P407" s="105"/>
      <c r="Q407" s="105"/>
    </row>
    <row r="408" spans="1:17" x14ac:dyDescent="0.25">
      <c r="A408" s="103"/>
      <c r="B408" s="104"/>
      <c r="C408" s="104"/>
      <c r="D408" s="104"/>
      <c r="E408" s="105"/>
      <c r="F408" s="104"/>
      <c r="G408" s="105"/>
      <c r="H408" s="105"/>
      <c r="I408" s="106"/>
      <c r="J408" s="104"/>
      <c r="K408" s="105"/>
      <c r="L408" s="105"/>
      <c r="M408" s="105"/>
      <c r="N408" s="111"/>
      <c r="O408" s="106"/>
      <c r="P408" s="105"/>
      <c r="Q408" s="105"/>
    </row>
    <row r="409" spans="1:17" x14ac:dyDescent="0.25">
      <c r="A409" s="103"/>
      <c r="B409" s="104"/>
      <c r="C409" s="104"/>
      <c r="D409" s="104"/>
      <c r="E409" s="105"/>
      <c r="F409" s="104"/>
      <c r="G409" s="105"/>
      <c r="H409" s="105"/>
      <c r="I409" s="106"/>
      <c r="J409" s="104"/>
      <c r="K409" s="105"/>
      <c r="L409" s="105"/>
      <c r="M409" s="105"/>
      <c r="N409" s="111"/>
      <c r="O409" s="106"/>
      <c r="P409" s="105"/>
      <c r="Q409" s="105"/>
    </row>
    <row r="410" spans="1:17" x14ac:dyDescent="0.25">
      <c r="A410" s="103"/>
      <c r="B410" s="104"/>
      <c r="C410" s="104"/>
      <c r="D410" s="104"/>
      <c r="E410" s="105"/>
      <c r="F410" s="104"/>
      <c r="G410" s="105"/>
      <c r="H410" s="105"/>
      <c r="I410" s="106"/>
      <c r="J410" s="104"/>
      <c r="K410" s="105"/>
      <c r="L410" s="105"/>
      <c r="M410" s="105"/>
      <c r="N410" s="111"/>
      <c r="O410" s="106"/>
      <c r="P410" s="105"/>
      <c r="Q410" s="105"/>
    </row>
    <row r="411" spans="1:17" x14ac:dyDescent="0.25">
      <c r="A411" s="103"/>
      <c r="B411" s="104"/>
      <c r="C411" s="104"/>
      <c r="D411" s="104"/>
      <c r="E411" s="105"/>
      <c r="F411" s="104"/>
      <c r="G411" s="105"/>
      <c r="H411" s="105"/>
      <c r="I411" s="106"/>
      <c r="J411" s="104"/>
      <c r="K411" s="105"/>
      <c r="L411" s="105"/>
      <c r="M411" s="105"/>
      <c r="N411" s="111"/>
      <c r="O411" s="106"/>
      <c r="P411" s="105"/>
      <c r="Q411" s="105"/>
    </row>
    <row r="412" spans="1:17" x14ac:dyDescent="0.25">
      <c r="A412" s="103"/>
      <c r="B412" s="104"/>
      <c r="C412" s="104"/>
      <c r="D412" s="104"/>
      <c r="E412" s="105"/>
      <c r="F412" s="104"/>
      <c r="G412" s="105"/>
      <c r="H412" s="105"/>
      <c r="I412" s="106"/>
      <c r="J412" s="104"/>
      <c r="K412" s="105"/>
      <c r="L412" s="105"/>
      <c r="M412" s="105"/>
      <c r="N412" s="111"/>
      <c r="O412" s="106"/>
      <c r="P412" s="105"/>
      <c r="Q412" s="105"/>
    </row>
    <row r="413" spans="1:17" x14ac:dyDescent="0.25">
      <c r="A413" s="103"/>
      <c r="B413" s="104"/>
      <c r="C413" s="104"/>
      <c r="D413" s="104"/>
      <c r="E413" s="105"/>
      <c r="F413" s="104"/>
      <c r="G413" s="105"/>
      <c r="H413" s="105"/>
      <c r="I413" s="106"/>
      <c r="J413" s="104"/>
      <c r="K413" s="105"/>
      <c r="L413" s="105"/>
      <c r="M413" s="105"/>
      <c r="N413" s="111"/>
      <c r="O413" s="106"/>
      <c r="P413" s="105"/>
      <c r="Q413" s="105"/>
    </row>
    <row r="414" spans="1:17" x14ac:dyDescent="0.25">
      <c r="A414" s="103"/>
      <c r="B414" s="104"/>
      <c r="C414" s="104"/>
      <c r="D414" s="104"/>
      <c r="E414" s="105"/>
      <c r="F414" s="104"/>
      <c r="G414" s="105"/>
      <c r="H414" s="105"/>
      <c r="I414" s="106"/>
      <c r="J414" s="104"/>
      <c r="K414" s="105"/>
      <c r="L414" s="105"/>
      <c r="M414" s="105"/>
      <c r="N414" s="111"/>
      <c r="O414" s="106"/>
      <c r="P414" s="105"/>
      <c r="Q414" s="105"/>
    </row>
    <row r="415" spans="1:17" x14ac:dyDescent="0.25">
      <c r="A415" s="103"/>
      <c r="B415" s="104"/>
      <c r="C415" s="104"/>
      <c r="D415" s="104"/>
      <c r="E415" s="105"/>
      <c r="F415" s="104"/>
      <c r="G415" s="105"/>
      <c r="H415" s="105"/>
      <c r="I415" s="106"/>
      <c r="J415" s="104"/>
      <c r="K415" s="105"/>
      <c r="L415" s="105"/>
      <c r="M415" s="105"/>
      <c r="N415" s="111"/>
      <c r="O415" s="106"/>
      <c r="P415" s="105"/>
      <c r="Q415" s="105"/>
    </row>
    <row r="416" spans="1:17" x14ac:dyDescent="0.25">
      <c r="A416" s="103"/>
      <c r="B416" s="104"/>
      <c r="C416" s="104"/>
      <c r="D416" s="104"/>
      <c r="E416" s="105"/>
      <c r="F416" s="104"/>
      <c r="G416" s="105"/>
      <c r="H416" s="105"/>
      <c r="I416" s="106"/>
      <c r="J416" s="104"/>
      <c r="K416" s="105"/>
      <c r="L416" s="105"/>
      <c r="M416" s="105"/>
      <c r="N416" s="111"/>
      <c r="O416" s="106"/>
      <c r="P416" s="105"/>
      <c r="Q416" s="105"/>
    </row>
    <row r="417" spans="1:17" x14ac:dyDescent="0.25">
      <c r="A417" s="103"/>
      <c r="B417" s="104"/>
      <c r="C417" s="104"/>
      <c r="D417" s="104"/>
      <c r="E417" s="105"/>
      <c r="F417" s="104"/>
      <c r="G417" s="105"/>
      <c r="H417" s="105"/>
      <c r="I417" s="106"/>
      <c r="J417" s="104"/>
      <c r="K417" s="105"/>
      <c r="L417" s="105"/>
      <c r="M417" s="105"/>
      <c r="N417" s="111"/>
      <c r="O417" s="106"/>
      <c r="P417" s="105"/>
      <c r="Q417" s="105"/>
    </row>
    <row r="418" spans="1:17" x14ac:dyDescent="0.25">
      <c r="A418" s="103"/>
      <c r="B418" s="104"/>
      <c r="C418" s="104"/>
      <c r="D418" s="104"/>
      <c r="E418" s="105"/>
      <c r="F418" s="104"/>
      <c r="G418" s="105"/>
      <c r="H418" s="105"/>
      <c r="I418" s="106"/>
      <c r="J418" s="104"/>
      <c r="K418" s="105"/>
      <c r="L418" s="105"/>
      <c r="M418" s="105"/>
      <c r="N418" s="111"/>
      <c r="O418" s="106"/>
      <c r="P418" s="105"/>
      <c r="Q418" s="105"/>
    </row>
    <row r="419" spans="1:17" x14ac:dyDescent="0.25">
      <c r="A419" s="103"/>
      <c r="B419" s="104"/>
      <c r="C419" s="104"/>
      <c r="D419" s="104"/>
      <c r="E419" s="105"/>
      <c r="F419" s="104"/>
      <c r="G419" s="105"/>
      <c r="H419" s="105"/>
      <c r="I419" s="106"/>
      <c r="J419" s="104"/>
      <c r="K419" s="105"/>
      <c r="L419" s="105"/>
      <c r="M419" s="105"/>
      <c r="N419" s="111"/>
      <c r="O419" s="106"/>
      <c r="P419" s="105"/>
      <c r="Q419" s="105"/>
    </row>
    <row r="420" spans="1:17" x14ac:dyDescent="0.25">
      <c r="A420" s="103"/>
      <c r="B420" s="104"/>
      <c r="C420" s="104"/>
      <c r="D420" s="104"/>
      <c r="E420" s="105"/>
      <c r="F420" s="104"/>
      <c r="G420" s="105"/>
      <c r="H420" s="105"/>
      <c r="I420" s="106"/>
      <c r="J420" s="104"/>
      <c r="K420" s="105"/>
      <c r="L420" s="105"/>
      <c r="M420" s="105"/>
      <c r="N420" s="111"/>
      <c r="O420" s="106"/>
      <c r="P420" s="105"/>
      <c r="Q420" s="105"/>
    </row>
    <row r="421" spans="1:17" x14ac:dyDescent="0.25">
      <c r="A421" s="103"/>
      <c r="B421" s="104"/>
      <c r="C421" s="104"/>
      <c r="D421" s="104"/>
      <c r="E421" s="105"/>
      <c r="F421" s="104"/>
      <c r="G421" s="105"/>
      <c r="H421" s="105"/>
      <c r="I421" s="106"/>
      <c r="J421" s="104"/>
      <c r="K421" s="105"/>
      <c r="L421" s="105"/>
      <c r="M421" s="105"/>
      <c r="N421" s="111"/>
      <c r="O421" s="106"/>
      <c r="P421" s="105"/>
      <c r="Q421" s="105"/>
    </row>
    <row r="422" spans="1:17" x14ac:dyDescent="0.25">
      <c r="A422" s="103"/>
      <c r="B422" s="104"/>
      <c r="C422" s="104"/>
      <c r="D422" s="104"/>
      <c r="E422" s="105"/>
      <c r="F422" s="104"/>
      <c r="G422" s="105"/>
      <c r="H422" s="105"/>
      <c r="I422" s="106"/>
      <c r="J422" s="104"/>
      <c r="K422" s="105"/>
      <c r="L422" s="105"/>
      <c r="M422" s="105"/>
      <c r="N422" s="111"/>
      <c r="O422" s="106"/>
      <c r="P422" s="105"/>
      <c r="Q422" s="105"/>
    </row>
    <row r="423" spans="1:17" x14ac:dyDescent="0.25">
      <c r="A423" s="103"/>
      <c r="B423" s="104"/>
      <c r="C423" s="104"/>
      <c r="D423" s="104"/>
      <c r="E423" s="105"/>
      <c r="F423" s="104"/>
      <c r="G423" s="105"/>
      <c r="H423" s="105"/>
      <c r="I423" s="106"/>
      <c r="J423" s="104"/>
      <c r="K423" s="105"/>
      <c r="L423" s="105"/>
      <c r="M423" s="105"/>
      <c r="N423" s="111"/>
      <c r="O423" s="106"/>
      <c r="P423" s="105"/>
      <c r="Q423" s="105"/>
    </row>
    <row r="424" spans="1:17" x14ac:dyDescent="0.25">
      <c r="A424" s="103"/>
      <c r="B424" s="104"/>
      <c r="C424" s="104"/>
      <c r="D424" s="104"/>
      <c r="E424" s="105"/>
      <c r="F424" s="104"/>
      <c r="G424" s="105"/>
      <c r="H424" s="105"/>
      <c r="I424" s="106"/>
      <c r="J424" s="104"/>
      <c r="K424" s="105"/>
      <c r="L424" s="105"/>
      <c r="M424" s="105"/>
      <c r="N424" s="111"/>
      <c r="O424" s="106"/>
      <c r="P424" s="105"/>
      <c r="Q424" s="105"/>
    </row>
    <row r="425" spans="1:17" x14ac:dyDescent="0.25">
      <c r="A425" s="103"/>
      <c r="B425" s="104"/>
      <c r="C425" s="104"/>
      <c r="D425" s="104"/>
      <c r="E425" s="105"/>
      <c r="F425" s="104"/>
      <c r="G425" s="105"/>
      <c r="H425" s="105"/>
      <c r="I425" s="106"/>
      <c r="J425" s="104"/>
      <c r="K425" s="105"/>
      <c r="L425" s="105"/>
      <c r="M425" s="105"/>
      <c r="N425" s="111"/>
      <c r="O425" s="106"/>
      <c r="P425" s="105"/>
      <c r="Q425" s="105"/>
    </row>
    <row r="426" spans="1:17" x14ac:dyDescent="0.25">
      <c r="A426" s="103"/>
      <c r="B426" s="104"/>
      <c r="C426" s="104"/>
      <c r="D426" s="104"/>
      <c r="E426" s="105"/>
      <c r="F426" s="104"/>
      <c r="G426" s="105"/>
      <c r="H426" s="105"/>
      <c r="I426" s="106"/>
      <c r="J426" s="104"/>
      <c r="K426" s="105"/>
      <c r="L426" s="105"/>
      <c r="M426" s="105"/>
      <c r="N426" s="111"/>
      <c r="O426" s="106"/>
      <c r="P426" s="105"/>
      <c r="Q426" s="105"/>
    </row>
    <row r="427" spans="1:17" x14ac:dyDescent="0.25">
      <c r="A427" s="103"/>
      <c r="B427" s="104"/>
      <c r="C427" s="104"/>
      <c r="D427" s="104"/>
      <c r="E427" s="105"/>
      <c r="F427" s="104"/>
      <c r="G427" s="105"/>
      <c r="H427" s="105"/>
      <c r="I427" s="106"/>
      <c r="J427" s="104"/>
      <c r="K427" s="105"/>
      <c r="L427" s="105"/>
      <c r="M427" s="105"/>
      <c r="N427" s="111"/>
      <c r="O427" s="106"/>
      <c r="P427" s="105"/>
      <c r="Q427" s="105"/>
    </row>
    <row r="428" spans="1:17" x14ac:dyDescent="0.25">
      <c r="A428" s="103"/>
      <c r="B428" s="104"/>
      <c r="C428" s="104"/>
      <c r="D428" s="104"/>
      <c r="E428" s="105"/>
      <c r="F428" s="104"/>
      <c r="G428" s="105"/>
      <c r="H428" s="105"/>
      <c r="I428" s="106"/>
      <c r="J428" s="104"/>
      <c r="K428" s="105"/>
      <c r="L428" s="105"/>
      <c r="M428" s="105"/>
      <c r="N428" s="111"/>
      <c r="O428" s="106"/>
      <c r="P428" s="105"/>
      <c r="Q428" s="105"/>
    </row>
    <row r="429" spans="1:17" x14ac:dyDescent="0.25">
      <c r="A429" s="103"/>
      <c r="B429" s="104"/>
      <c r="C429" s="104"/>
      <c r="D429" s="104"/>
      <c r="E429" s="105"/>
      <c r="F429" s="104"/>
      <c r="G429" s="105"/>
      <c r="H429" s="105"/>
      <c r="I429" s="106"/>
      <c r="J429" s="104"/>
      <c r="K429" s="105"/>
      <c r="L429" s="105"/>
      <c r="M429" s="105"/>
      <c r="N429" s="111"/>
      <c r="O429" s="106"/>
      <c r="P429" s="105"/>
      <c r="Q429" s="105"/>
    </row>
    <row r="430" spans="1:17" x14ac:dyDescent="0.25">
      <c r="A430" s="103"/>
      <c r="B430" s="104"/>
      <c r="C430" s="104"/>
      <c r="D430" s="104"/>
      <c r="E430" s="105"/>
      <c r="F430" s="104"/>
      <c r="G430" s="105"/>
      <c r="H430" s="105"/>
      <c r="I430" s="106"/>
      <c r="J430" s="104"/>
      <c r="K430" s="105"/>
      <c r="L430" s="105"/>
      <c r="M430" s="105"/>
      <c r="N430" s="111"/>
      <c r="O430" s="106"/>
      <c r="P430" s="105"/>
      <c r="Q430" s="105"/>
    </row>
    <row r="431" spans="1:17" x14ac:dyDescent="0.25">
      <c r="A431" s="103"/>
      <c r="B431" s="104"/>
      <c r="C431" s="104"/>
      <c r="D431" s="104"/>
      <c r="E431" s="105"/>
      <c r="F431" s="104"/>
      <c r="G431" s="105"/>
      <c r="H431" s="105"/>
      <c r="I431" s="106"/>
      <c r="J431" s="104"/>
      <c r="K431" s="105"/>
      <c r="L431" s="105"/>
      <c r="M431" s="105"/>
      <c r="N431" s="111"/>
      <c r="O431" s="106"/>
      <c r="P431" s="105"/>
      <c r="Q431" s="105"/>
    </row>
    <row r="432" spans="1:17" x14ac:dyDescent="0.25">
      <c r="A432" s="103"/>
      <c r="B432" s="104"/>
      <c r="C432" s="104"/>
      <c r="D432" s="104"/>
      <c r="E432" s="105"/>
      <c r="F432" s="104"/>
      <c r="G432" s="105"/>
      <c r="H432" s="105"/>
      <c r="I432" s="106"/>
      <c r="J432" s="104"/>
      <c r="K432" s="105"/>
      <c r="L432" s="105"/>
      <c r="M432" s="105"/>
      <c r="N432" s="111"/>
      <c r="O432" s="106"/>
      <c r="P432" s="105"/>
      <c r="Q432" s="105"/>
    </row>
    <row r="433" spans="1:17" x14ac:dyDescent="0.25">
      <c r="A433" s="103"/>
      <c r="B433" s="104"/>
      <c r="C433" s="104"/>
      <c r="D433" s="104"/>
      <c r="E433" s="105"/>
      <c r="F433" s="104"/>
      <c r="G433" s="105"/>
      <c r="H433" s="105"/>
      <c r="I433" s="106"/>
      <c r="J433" s="104"/>
      <c r="K433" s="105"/>
      <c r="L433" s="105"/>
      <c r="M433" s="105"/>
      <c r="N433" s="111"/>
      <c r="O433" s="106"/>
      <c r="P433" s="105"/>
      <c r="Q433" s="105"/>
    </row>
    <row r="434" spans="1:17" x14ac:dyDescent="0.25">
      <c r="A434" s="103"/>
      <c r="B434" s="104"/>
      <c r="C434" s="104"/>
      <c r="D434" s="104"/>
      <c r="E434" s="105"/>
      <c r="F434" s="104"/>
      <c r="G434" s="105"/>
      <c r="H434" s="105"/>
      <c r="I434" s="106"/>
      <c r="J434" s="104"/>
      <c r="K434" s="105"/>
      <c r="L434" s="105"/>
      <c r="M434" s="105"/>
      <c r="N434" s="111"/>
      <c r="O434" s="106"/>
      <c r="P434" s="105"/>
      <c r="Q434" s="105"/>
    </row>
    <row r="435" spans="1:17" x14ac:dyDescent="0.25">
      <c r="A435" s="103"/>
      <c r="B435" s="104"/>
      <c r="C435" s="104"/>
      <c r="D435" s="104"/>
      <c r="E435" s="105"/>
      <c r="F435" s="104"/>
      <c r="G435" s="105"/>
      <c r="H435" s="105"/>
      <c r="I435" s="106"/>
      <c r="J435" s="104"/>
      <c r="K435" s="105"/>
      <c r="L435" s="105"/>
      <c r="M435" s="105"/>
      <c r="N435" s="111"/>
      <c r="O435" s="106"/>
      <c r="P435" s="105"/>
      <c r="Q435" s="105"/>
    </row>
    <row r="436" spans="1:17" x14ac:dyDescent="0.25">
      <c r="A436" s="103"/>
      <c r="B436" s="104"/>
      <c r="C436" s="104"/>
      <c r="D436" s="104"/>
      <c r="E436" s="105"/>
      <c r="F436" s="104"/>
      <c r="G436" s="105"/>
      <c r="H436" s="105"/>
      <c r="I436" s="106"/>
      <c r="J436" s="104"/>
      <c r="K436" s="105"/>
      <c r="L436" s="105"/>
      <c r="M436" s="105"/>
      <c r="N436" s="111"/>
      <c r="O436" s="106"/>
      <c r="P436" s="105"/>
      <c r="Q436" s="105"/>
    </row>
    <row r="437" spans="1:17" x14ac:dyDescent="0.25">
      <c r="A437" s="103"/>
      <c r="B437" s="104"/>
      <c r="C437" s="104"/>
      <c r="D437" s="104"/>
      <c r="E437" s="105"/>
      <c r="F437" s="104"/>
      <c r="G437" s="105"/>
      <c r="H437" s="105"/>
      <c r="I437" s="106"/>
      <c r="J437" s="104"/>
      <c r="K437" s="105"/>
      <c r="L437" s="105"/>
      <c r="M437" s="105"/>
      <c r="N437" s="111"/>
      <c r="O437" s="106"/>
      <c r="P437" s="105"/>
      <c r="Q437" s="105"/>
    </row>
    <row r="438" spans="1:17" x14ac:dyDescent="0.25">
      <c r="A438" s="103"/>
      <c r="B438" s="104"/>
      <c r="C438" s="104"/>
      <c r="D438" s="104"/>
      <c r="E438" s="105"/>
      <c r="F438" s="104"/>
      <c r="G438" s="105"/>
      <c r="H438" s="105"/>
      <c r="I438" s="106"/>
      <c r="J438" s="104"/>
      <c r="K438" s="105"/>
      <c r="L438" s="105"/>
      <c r="M438" s="105"/>
      <c r="N438" s="111"/>
      <c r="O438" s="106"/>
      <c r="P438" s="105"/>
      <c r="Q438" s="105"/>
    </row>
    <row r="439" spans="1:17" x14ac:dyDescent="0.25">
      <c r="A439" s="103"/>
      <c r="B439" s="104"/>
      <c r="C439" s="104"/>
      <c r="D439" s="104"/>
      <c r="E439" s="105"/>
      <c r="F439" s="104"/>
      <c r="G439" s="105"/>
      <c r="H439" s="105"/>
      <c r="I439" s="106"/>
      <c r="J439" s="104"/>
      <c r="K439" s="105"/>
      <c r="L439" s="105"/>
      <c r="M439" s="105"/>
      <c r="N439" s="111"/>
      <c r="O439" s="106"/>
      <c r="P439" s="105"/>
      <c r="Q439" s="105"/>
    </row>
    <row r="440" spans="1:17" x14ac:dyDescent="0.25">
      <c r="A440" s="103"/>
      <c r="B440" s="104"/>
      <c r="C440" s="104"/>
      <c r="D440" s="104"/>
      <c r="E440" s="105"/>
      <c r="F440" s="104"/>
      <c r="G440" s="105"/>
      <c r="H440" s="105"/>
      <c r="I440" s="106"/>
      <c r="J440" s="104"/>
      <c r="K440" s="105"/>
      <c r="L440" s="105"/>
      <c r="M440" s="105"/>
      <c r="N440" s="111"/>
      <c r="O440" s="106"/>
      <c r="P440" s="105"/>
      <c r="Q440" s="105"/>
    </row>
    <row r="441" spans="1:17" x14ac:dyDescent="0.25">
      <c r="A441" s="103"/>
      <c r="B441" s="104"/>
      <c r="C441" s="104"/>
      <c r="D441" s="104"/>
      <c r="E441" s="105"/>
      <c r="F441" s="104"/>
      <c r="G441" s="105"/>
      <c r="H441" s="105"/>
      <c r="I441" s="106"/>
      <c r="J441" s="104"/>
      <c r="K441" s="105"/>
      <c r="L441" s="105"/>
      <c r="M441" s="105"/>
      <c r="N441" s="111"/>
      <c r="O441" s="106"/>
      <c r="P441" s="105"/>
      <c r="Q441" s="105"/>
    </row>
    <row r="442" spans="1:17" x14ac:dyDescent="0.25">
      <c r="A442" s="103"/>
      <c r="B442" s="104"/>
      <c r="C442" s="104"/>
      <c r="D442" s="104"/>
      <c r="E442" s="105"/>
      <c r="F442" s="104"/>
      <c r="G442" s="105"/>
      <c r="H442" s="105"/>
      <c r="I442" s="106"/>
      <c r="J442" s="104"/>
      <c r="K442" s="105"/>
      <c r="L442" s="105"/>
      <c r="M442" s="105"/>
      <c r="N442" s="111"/>
      <c r="O442" s="106"/>
      <c r="P442" s="105"/>
      <c r="Q442" s="105"/>
    </row>
    <row r="443" spans="1:17" x14ac:dyDescent="0.25">
      <c r="A443" s="103"/>
      <c r="B443" s="104"/>
      <c r="C443" s="104"/>
      <c r="D443" s="104"/>
      <c r="E443" s="105"/>
      <c r="F443" s="104"/>
      <c r="G443" s="105"/>
      <c r="H443" s="105"/>
      <c r="I443" s="106"/>
      <c r="J443" s="104"/>
      <c r="K443" s="105"/>
      <c r="L443" s="105"/>
      <c r="M443" s="105"/>
      <c r="N443" s="111"/>
      <c r="O443" s="106"/>
      <c r="P443" s="105"/>
      <c r="Q443" s="105"/>
    </row>
    <row r="444" spans="1:17" x14ac:dyDescent="0.25">
      <c r="A444" s="103"/>
      <c r="B444" s="104"/>
      <c r="C444" s="104"/>
      <c r="D444" s="104"/>
      <c r="E444" s="105"/>
      <c r="F444" s="104"/>
      <c r="G444" s="105"/>
      <c r="H444" s="105"/>
      <c r="I444" s="106"/>
      <c r="J444" s="104"/>
      <c r="K444" s="105"/>
      <c r="L444" s="105"/>
      <c r="M444" s="105"/>
      <c r="N444" s="111"/>
      <c r="O444" s="106"/>
      <c r="P444" s="105"/>
      <c r="Q444" s="105"/>
    </row>
    <row r="445" spans="1:17" x14ac:dyDescent="0.25">
      <c r="A445" s="103"/>
      <c r="B445" s="104"/>
      <c r="C445" s="104"/>
      <c r="D445" s="104"/>
      <c r="E445" s="105"/>
      <c r="F445" s="104"/>
      <c r="G445" s="105"/>
      <c r="H445" s="105"/>
      <c r="I445" s="106"/>
      <c r="J445" s="104"/>
      <c r="K445" s="105"/>
      <c r="L445" s="105"/>
      <c r="M445" s="105"/>
      <c r="N445" s="111"/>
      <c r="O445" s="106"/>
      <c r="P445" s="105"/>
      <c r="Q445" s="105"/>
    </row>
    <row r="446" spans="1:17" x14ac:dyDescent="0.25">
      <c r="A446" s="103"/>
      <c r="B446" s="104"/>
      <c r="C446" s="104"/>
      <c r="D446" s="104"/>
      <c r="E446" s="105"/>
      <c r="F446" s="104"/>
      <c r="G446" s="105"/>
      <c r="H446" s="105"/>
      <c r="I446" s="106"/>
      <c r="J446" s="104"/>
      <c r="K446" s="105"/>
      <c r="L446" s="105"/>
      <c r="M446" s="105"/>
      <c r="N446" s="111"/>
      <c r="O446" s="106"/>
      <c r="P446" s="105"/>
      <c r="Q446" s="105"/>
    </row>
    <row r="447" spans="1:17" x14ac:dyDescent="0.25">
      <c r="A447" s="103"/>
      <c r="B447" s="104"/>
      <c r="C447" s="104"/>
      <c r="D447" s="104"/>
      <c r="E447" s="105"/>
      <c r="F447" s="104"/>
      <c r="G447" s="105"/>
      <c r="H447" s="105"/>
      <c r="I447" s="106"/>
      <c r="J447" s="104"/>
      <c r="K447" s="105"/>
      <c r="L447" s="105"/>
      <c r="M447" s="105"/>
      <c r="N447" s="111"/>
      <c r="O447" s="106"/>
      <c r="P447" s="105"/>
      <c r="Q447" s="105"/>
    </row>
    <row r="448" spans="1:17" x14ac:dyDescent="0.25">
      <c r="A448" s="103"/>
      <c r="B448" s="104"/>
      <c r="C448" s="104"/>
      <c r="D448" s="104"/>
      <c r="E448" s="105"/>
      <c r="F448" s="104"/>
      <c r="G448" s="105"/>
      <c r="H448" s="105"/>
      <c r="I448" s="106"/>
      <c r="J448" s="104"/>
      <c r="K448" s="105"/>
      <c r="L448" s="105"/>
      <c r="M448" s="105"/>
      <c r="N448" s="111"/>
      <c r="O448" s="106"/>
      <c r="P448" s="105"/>
      <c r="Q448" s="105"/>
    </row>
    <row r="449" spans="1:17" x14ac:dyDescent="0.25">
      <c r="A449" s="103"/>
      <c r="B449" s="104"/>
      <c r="C449" s="104"/>
      <c r="D449" s="104"/>
      <c r="E449" s="105"/>
      <c r="F449" s="104"/>
      <c r="G449" s="105"/>
      <c r="H449" s="105"/>
      <c r="I449" s="106"/>
      <c r="J449" s="104"/>
      <c r="K449" s="105"/>
      <c r="L449" s="105"/>
      <c r="M449" s="105"/>
      <c r="N449" s="111"/>
      <c r="O449" s="106"/>
      <c r="P449" s="105"/>
      <c r="Q449" s="105"/>
    </row>
    <row r="450" spans="1:17" x14ac:dyDescent="0.25">
      <c r="A450" s="103"/>
      <c r="B450" s="104"/>
      <c r="C450" s="104"/>
      <c r="D450" s="104"/>
      <c r="E450" s="105"/>
      <c r="F450" s="104"/>
      <c r="G450" s="105"/>
      <c r="H450" s="105"/>
      <c r="I450" s="106"/>
      <c r="J450" s="104"/>
      <c r="K450" s="105"/>
      <c r="L450" s="105"/>
      <c r="M450" s="105"/>
      <c r="N450" s="111"/>
      <c r="O450" s="106"/>
      <c r="P450" s="105"/>
      <c r="Q450" s="105"/>
    </row>
    <row r="451" spans="1:17" x14ac:dyDescent="0.25">
      <c r="A451" s="103"/>
      <c r="B451" s="104"/>
      <c r="C451" s="104"/>
      <c r="D451" s="104"/>
      <c r="E451" s="105"/>
      <c r="F451" s="104"/>
      <c r="G451" s="105"/>
      <c r="H451" s="105"/>
      <c r="I451" s="106"/>
      <c r="J451" s="104"/>
      <c r="K451" s="105"/>
      <c r="L451" s="105"/>
      <c r="M451" s="105"/>
      <c r="N451" s="111"/>
      <c r="O451" s="106"/>
      <c r="P451" s="105"/>
      <c r="Q451" s="105"/>
    </row>
    <row r="452" spans="1:17" x14ac:dyDescent="0.25">
      <c r="A452" s="103"/>
      <c r="B452" s="104"/>
      <c r="C452" s="104"/>
      <c r="D452" s="104"/>
      <c r="E452" s="105"/>
      <c r="F452" s="104"/>
      <c r="G452" s="105"/>
      <c r="H452" s="105"/>
      <c r="I452" s="106"/>
      <c r="J452" s="104"/>
      <c r="K452" s="105"/>
      <c r="L452" s="105"/>
      <c r="M452" s="105"/>
      <c r="N452" s="111"/>
      <c r="O452" s="106"/>
      <c r="P452" s="105"/>
      <c r="Q452" s="105"/>
    </row>
    <row r="453" spans="1:17" x14ac:dyDescent="0.25">
      <c r="A453" s="103"/>
      <c r="B453" s="104"/>
      <c r="C453" s="104"/>
      <c r="D453" s="104"/>
      <c r="E453" s="105"/>
      <c r="F453" s="104"/>
      <c r="G453" s="105"/>
      <c r="H453" s="105"/>
      <c r="I453" s="106"/>
      <c r="J453" s="104"/>
      <c r="K453" s="105"/>
      <c r="L453" s="105"/>
      <c r="M453" s="105"/>
      <c r="N453" s="111"/>
      <c r="O453" s="106"/>
      <c r="P453" s="105"/>
      <c r="Q453" s="105"/>
    </row>
    <row r="454" spans="1:17" x14ac:dyDescent="0.25">
      <c r="A454" s="103"/>
      <c r="B454" s="104"/>
      <c r="C454" s="104"/>
      <c r="D454" s="104"/>
      <c r="E454" s="105"/>
      <c r="F454" s="104"/>
      <c r="G454" s="105"/>
      <c r="H454" s="105"/>
      <c r="I454" s="106"/>
      <c r="J454" s="104"/>
      <c r="K454" s="105"/>
      <c r="L454" s="105"/>
      <c r="M454" s="105"/>
      <c r="N454" s="111"/>
      <c r="O454" s="106"/>
      <c r="P454" s="105"/>
      <c r="Q454" s="105"/>
    </row>
    <row r="455" spans="1:17" x14ac:dyDescent="0.25">
      <c r="A455" s="103"/>
      <c r="B455" s="104"/>
      <c r="C455" s="104"/>
      <c r="D455" s="104"/>
      <c r="E455" s="105"/>
      <c r="F455" s="104"/>
      <c r="G455" s="105"/>
      <c r="H455" s="105"/>
      <c r="I455" s="106"/>
      <c r="J455" s="104"/>
      <c r="K455" s="105"/>
      <c r="L455" s="105"/>
      <c r="M455" s="105"/>
      <c r="N455" s="111"/>
      <c r="O455" s="106"/>
      <c r="P455" s="105"/>
      <c r="Q455" s="105"/>
    </row>
    <row r="456" spans="1:17" x14ac:dyDescent="0.25">
      <c r="A456" s="103"/>
      <c r="B456" s="104"/>
      <c r="C456" s="104"/>
      <c r="D456" s="104"/>
      <c r="E456" s="105"/>
      <c r="F456" s="104"/>
      <c r="G456" s="105"/>
      <c r="H456" s="105"/>
      <c r="I456" s="106"/>
      <c r="J456" s="104"/>
      <c r="K456" s="105"/>
      <c r="L456" s="105"/>
      <c r="M456" s="105"/>
      <c r="N456" s="111"/>
      <c r="O456" s="106"/>
      <c r="P456" s="105"/>
      <c r="Q456" s="105"/>
    </row>
    <row r="457" spans="1:17" x14ac:dyDescent="0.25">
      <c r="A457" s="103"/>
      <c r="B457" s="104"/>
      <c r="C457" s="104"/>
      <c r="D457" s="104"/>
      <c r="E457" s="105"/>
      <c r="F457" s="104"/>
      <c r="G457" s="105"/>
      <c r="H457" s="105"/>
      <c r="I457" s="106"/>
      <c r="J457" s="104"/>
      <c r="K457" s="105"/>
      <c r="L457" s="105"/>
      <c r="M457" s="105"/>
      <c r="N457" s="111"/>
      <c r="O457" s="106"/>
      <c r="P457" s="105"/>
      <c r="Q457" s="105"/>
    </row>
    <row r="458" spans="1:17" x14ac:dyDescent="0.25">
      <c r="A458" s="103"/>
      <c r="B458" s="104"/>
      <c r="C458" s="104"/>
      <c r="D458" s="104"/>
      <c r="E458" s="105"/>
      <c r="F458" s="104"/>
      <c r="G458" s="105"/>
      <c r="H458" s="105"/>
      <c r="I458" s="106"/>
      <c r="J458" s="104"/>
      <c r="K458" s="105"/>
      <c r="L458" s="105"/>
      <c r="M458" s="105"/>
      <c r="N458" s="111"/>
      <c r="O458" s="106"/>
      <c r="P458" s="105"/>
      <c r="Q458" s="105"/>
    </row>
    <row r="459" spans="1:17" x14ac:dyDescent="0.25">
      <c r="A459" s="103"/>
      <c r="B459" s="104"/>
      <c r="C459" s="104"/>
      <c r="D459" s="104"/>
      <c r="E459" s="105"/>
      <c r="F459" s="104"/>
      <c r="G459" s="105"/>
      <c r="H459" s="105"/>
      <c r="I459" s="106"/>
      <c r="J459" s="104"/>
      <c r="K459" s="105"/>
      <c r="L459" s="105"/>
      <c r="M459" s="105"/>
      <c r="N459" s="111"/>
      <c r="O459" s="106"/>
      <c r="P459" s="105"/>
      <c r="Q459" s="105"/>
    </row>
    <row r="460" spans="1:17" x14ac:dyDescent="0.25">
      <c r="A460" s="103"/>
      <c r="B460" s="104"/>
      <c r="C460" s="104"/>
      <c r="D460" s="104"/>
      <c r="E460" s="105"/>
      <c r="F460" s="104"/>
      <c r="G460" s="105"/>
      <c r="H460" s="105"/>
      <c r="I460" s="106"/>
      <c r="J460" s="104"/>
      <c r="K460" s="105"/>
      <c r="L460" s="105"/>
      <c r="M460" s="105"/>
      <c r="N460" s="111"/>
      <c r="O460" s="106"/>
      <c r="P460" s="105"/>
      <c r="Q460" s="105"/>
    </row>
    <row r="461" spans="1:17" x14ac:dyDescent="0.25">
      <c r="A461" s="103"/>
      <c r="B461" s="104"/>
      <c r="C461" s="104"/>
      <c r="D461" s="104"/>
      <c r="E461" s="105"/>
      <c r="F461" s="104"/>
      <c r="G461" s="105"/>
      <c r="H461" s="105"/>
      <c r="I461" s="106"/>
      <c r="J461" s="104"/>
      <c r="K461" s="105"/>
      <c r="L461" s="105"/>
      <c r="M461" s="105"/>
      <c r="N461" s="111"/>
      <c r="O461" s="106"/>
      <c r="P461" s="105"/>
      <c r="Q461" s="105"/>
    </row>
    <row r="462" spans="1:17" x14ac:dyDescent="0.25">
      <c r="A462" s="103"/>
      <c r="B462" s="104"/>
      <c r="C462" s="104"/>
      <c r="D462" s="104"/>
      <c r="E462" s="105"/>
      <c r="F462" s="104"/>
      <c r="G462" s="105"/>
      <c r="H462" s="105"/>
      <c r="I462" s="106"/>
      <c r="J462" s="104"/>
      <c r="K462" s="105"/>
      <c r="L462" s="105"/>
      <c r="M462" s="105"/>
      <c r="N462" s="111"/>
      <c r="O462" s="106"/>
      <c r="P462" s="105"/>
      <c r="Q462" s="105"/>
    </row>
    <row r="463" spans="1:17" x14ac:dyDescent="0.25">
      <c r="A463" s="103"/>
      <c r="B463" s="104"/>
      <c r="C463" s="104"/>
      <c r="D463" s="104"/>
      <c r="E463" s="105"/>
      <c r="F463" s="104"/>
      <c r="G463" s="105"/>
      <c r="H463" s="105"/>
      <c r="I463" s="106"/>
      <c r="J463" s="104"/>
      <c r="K463" s="105"/>
      <c r="L463" s="105"/>
      <c r="M463" s="105"/>
      <c r="N463" s="111"/>
      <c r="O463" s="106"/>
      <c r="P463" s="105"/>
      <c r="Q463" s="105"/>
    </row>
    <row r="464" spans="1:17" x14ac:dyDescent="0.25">
      <c r="A464" s="103"/>
      <c r="B464" s="104"/>
      <c r="C464" s="104"/>
      <c r="D464" s="104"/>
      <c r="E464" s="105"/>
      <c r="F464" s="104"/>
      <c r="G464" s="105"/>
      <c r="H464" s="105"/>
      <c r="I464" s="106"/>
      <c r="J464" s="104"/>
      <c r="K464" s="105"/>
      <c r="L464" s="105"/>
      <c r="M464" s="105"/>
      <c r="N464" s="111"/>
      <c r="O464" s="106"/>
      <c r="P464" s="105"/>
      <c r="Q464" s="105"/>
    </row>
    <row r="465" spans="1:17" x14ac:dyDescent="0.25">
      <c r="A465" s="103"/>
      <c r="B465" s="104"/>
      <c r="C465" s="104"/>
      <c r="D465" s="104"/>
      <c r="E465" s="105"/>
      <c r="F465" s="104"/>
      <c r="G465" s="105"/>
      <c r="H465" s="105"/>
      <c r="I465" s="106"/>
      <c r="J465" s="104"/>
      <c r="K465" s="105"/>
      <c r="L465" s="105"/>
      <c r="M465" s="105"/>
      <c r="N465" s="111"/>
      <c r="O465" s="106"/>
      <c r="P465" s="105"/>
      <c r="Q465" s="105"/>
    </row>
    <row r="466" spans="1:17" x14ac:dyDescent="0.25">
      <c r="A466" s="103"/>
      <c r="B466" s="104"/>
      <c r="C466" s="104"/>
      <c r="D466" s="104"/>
      <c r="E466" s="105"/>
      <c r="F466" s="104"/>
      <c r="G466" s="105"/>
      <c r="H466" s="105"/>
      <c r="I466" s="106"/>
      <c r="J466" s="104"/>
      <c r="K466" s="105"/>
      <c r="L466" s="105"/>
      <c r="M466" s="105"/>
      <c r="N466" s="111"/>
      <c r="O466" s="106"/>
      <c r="P466" s="105"/>
      <c r="Q466" s="105"/>
    </row>
    <row r="467" spans="1:17" x14ac:dyDescent="0.25">
      <c r="A467" s="103"/>
      <c r="B467" s="104"/>
      <c r="C467" s="104"/>
      <c r="D467" s="104"/>
      <c r="E467" s="105"/>
      <c r="F467" s="104"/>
      <c r="G467" s="105"/>
      <c r="H467" s="105"/>
      <c r="I467" s="106"/>
      <c r="J467" s="104"/>
      <c r="K467" s="105"/>
      <c r="L467" s="105"/>
      <c r="M467" s="105"/>
      <c r="N467" s="111"/>
      <c r="O467" s="106"/>
      <c r="P467" s="105"/>
      <c r="Q467" s="105"/>
    </row>
    <row r="468" spans="1:17" x14ac:dyDescent="0.25">
      <c r="A468" s="103"/>
      <c r="B468" s="104"/>
      <c r="C468" s="104"/>
      <c r="D468" s="104"/>
      <c r="E468" s="105"/>
      <c r="F468" s="104"/>
      <c r="G468" s="105"/>
      <c r="H468" s="105"/>
      <c r="I468" s="106"/>
      <c r="J468" s="104"/>
      <c r="K468" s="105"/>
      <c r="L468" s="105"/>
      <c r="M468" s="105"/>
      <c r="N468" s="111"/>
      <c r="O468" s="106"/>
      <c r="P468" s="105"/>
      <c r="Q468" s="105"/>
    </row>
    <row r="469" spans="1:17" x14ac:dyDescent="0.25">
      <c r="A469" s="103"/>
      <c r="B469" s="104"/>
      <c r="C469" s="104"/>
      <c r="D469" s="104"/>
      <c r="E469" s="105"/>
      <c r="F469" s="104"/>
      <c r="G469" s="105"/>
      <c r="H469" s="105"/>
      <c r="I469" s="106"/>
      <c r="J469" s="104"/>
      <c r="K469" s="105"/>
      <c r="L469" s="105"/>
      <c r="M469" s="105"/>
      <c r="N469" s="111"/>
      <c r="O469" s="106"/>
      <c r="P469" s="105"/>
      <c r="Q469" s="105"/>
    </row>
    <row r="470" spans="1:17" x14ac:dyDescent="0.25">
      <c r="A470" s="103"/>
      <c r="B470" s="104"/>
      <c r="C470" s="104"/>
      <c r="D470" s="104"/>
      <c r="E470" s="105"/>
      <c r="F470" s="104"/>
      <c r="G470" s="105"/>
      <c r="H470" s="105"/>
      <c r="I470" s="106"/>
      <c r="J470" s="104"/>
      <c r="K470" s="105"/>
      <c r="L470" s="105"/>
      <c r="M470" s="105"/>
      <c r="N470" s="111"/>
      <c r="O470" s="106"/>
      <c r="P470" s="105"/>
      <c r="Q470" s="105"/>
    </row>
    <row r="471" spans="1:17" x14ac:dyDescent="0.25">
      <c r="A471" s="103"/>
      <c r="B471" s="104"/>
      <c r="C471" s="104"/>
      <c r="D471" s="104"/>
      <c r="E471" s="105"/>
      <c r="F471" s="104"/>
      <c r="G471" s="105"/>
      <c r="H471" s="105"/>
      <c r="I471" s="106"/>
      <c r="J471" s="104"/>
      <c r="K471" s="105"/>
      <c r="L471" s="105"/>
      <c r="M471" s="105"/>
      <c r="N471" s="111"/>
      <c r="O471" s="106"/>
      <c r="P471" s="105"/>
      <c r="Q471" s="105"/>
    </row>
    <row r="472" spans="1:17" x14ac:dyDescent="0.25">
      <c r="A472" s="103"/>
      <c r="B472" s="104"/>
      <c r="C472" s="104"/>
      <c r="D472" s="104"/>
      <c r="E472" s="105"/>
      <c r="F472" s="104"/>
      <c r="G472" s="105"/>
      <c r="H472" s="105"/>
      <c r="I472" s="106"/>
      <c r="J472" s="104"/>
      <c r="K472" s="105"/>
      <c r="L472" s="105"/>
      <c r="M472" s="105"/>
      <c r="N472" s="111"/>
      <c r="O472" s="106"/>
      <c r="P472" s="105"/>
      <c r="Q472" s="105"/>
    </row>
    <row r="473" spans="1:17" x14ac:dyDescent="0.25">
      <c r="A473" s="103"/>
      <c r="B473" s="104"/>
      <c r="C473" s="104"/>
      <c r="D473" s="104"/>
      <c r="E473" s="105"/>
      <c r="F473" s="104"/>
      <c r="G473" s="105"/>
      <c r="H473" s="105"/>
      <c r="I473" s="106"/>
      <c r="J473" s="104"/>
      <c r="K473" s="105"/>
      <c r="L473" s="105"/>
      <c r="M473" s="105"/>
      <c r="N473" s="111"/>
      <c r="O473" s="106"/>
      <c r="P473" s="105"/>
      <c r="Q473" s="105"/>
    </row>
    <row r="474" spans="1:17" x14ac:dyDescent="0.25">
      <c r="A474" s="103"/>
      <c r="B474" s="104"/>
      <c r="C474" s="104"/>
      <c r="D474" s="104"/>
      <c r="E474" s="105"/>
      <c r="F474" s="104"/>
      <c r="G474" s="105"/>
      <c r="H474" s="105"/>
      <c r="I474" s="106"/>
      <c r="J474" s="104"/>
      <c r="K474" s="105"/>
      <c r="L474" s="105"/>
      <c r="M474" s="105"/>
      <c r="N474" s="111"/>
      <c r="O474" s="106"/>
      <c r="P474" s="105"/>
      <c r="Q474" s="105"/>
    </row>
    <row r="475" spans="1:17" x14ac:dyDescent="0.25">
      <c r="A475" s="103"/>
      <c r="B475" s="104"/>
      <c r="C475" s="104"/>
      <c r="D475" s="104"/>
      <c r="E475" s="105"/>
      <c r="F475" s="104"/>
      <c r="G475" s="105"/>
      <c r="H475" s="105"/>
      <c r="I475" s="106"/>
      <c r="J475" s="104"/>
      <c r="K475" s="105"/>
      <c r="L475" s="105"/>
      <c r="M475" s="105"/>
      <c r="N475" s="111"/>
      <c r="O475" s="106"/>
      <c r="P475" s="105"/>
      <c r="Q475" s="105"/>
    </row>
    <row r="476" spans="1:17" x14ac:dyDescent="0.25">
      <c r="A476" s="103"/>
      <c r="B476" s="104"/>
      <c r="C476" s="104"/>
      <c r="D476" s="104"/>
      <c r="E476" s="105"/>
      <c r="F476" s="104"/>
      <c r="G476" s="105"/>
      <c r="H476" s="105"/>
      <c r="I476" s="106"/>
      <c r="J476" s="104"/>
      <c r="K476" s="105"/>
      <c r="L476" s="105"/>
      <c r="M476" s="105"/>
      <c r="N476" s="111"/>
      <c r="O476" s="106"/>
      <c r="P476" s="105"/>
      <c r="Q476" s="105"/>
    </row>
    <row r="477" spans="1:17" x14ac:dyDescent="0.25">
      <c r="A477" s="103"/>
      <c r="B477" s="104"/>
      <c r="C477" s="104"/>
      <c r="D477" s="104"/>
      <c r="E477" s="105"/>
      <c r="F477" s="104"/>
      <c r="G477" s="105"/>
      <c r="H477" s="105"/>
      <c r="I477" s="106"/>
      <c r="J477" s="104"/>
      <c r="K477" s="105"/>
      <c r="L477" s="105"/>
      <c r="M477" s="105"/>
      <c r="N477" s="111"/>
      <c r="O477" s="106"/>
      <c r="P477" s="105"/>
      <c r="Q477" s="105"/>
    </row>
    <row r="478" spans="1:17" x14ac:dyDescent="0.25">
      <c r="A478" s="103"/>
      <c r="B478" s="104"/>
      <c r="C478" s="104"/>
      <c r="D478" s="104"/>
      <c r="E478" s="105"/>
      <c r="F478" s="104"/>
      <c r="G478" s="105"/>
      <c r="H478" s="105"/>
      <c r="I478" s="106"/>
      <c r="J478" s="104"/>
      <c r="K478" s="105"/>
      <c r="L478" s="105"/>
      <c r="M478" s="105"/>
      <c r="N478" s="111"/>
      <c r="O478" s="106"/>
      <c r="P478" s="105"/>
      <c r="Q478" s="105"/>
    </row>
    <row r="479" spans="1:17" x14ac:dyDescent="0.25">
      <c r="A479" s="103"/>
      <c r="B479" s="104"/>
      <c r="C479" s="104"/>
      <c r="D479" s="104"/>
      <c r="E479" s="105"/>
      <c r="F479" s="104"/>
      <c r="G479" s="105"/>
      <c r="H479" s="105"/>
      <c r="I479" s="106"/>
      <c r="J479" s="104"/>
      <c r="K479" s="105"/>
      <c r="L479" s="105"/>
      <c r="M479" s="105"/>
      <c r="N479" s="111"/>
      <c r="O479" s="106"/>
      <c r="P479" s="105"/>
      <c r="Q479" s="105"/>
    </row>
    <row r="480" spans="1:17" x14ac:dyDescent="0.25">
      <c r="A480" s="103"/>
      <c r="B480" s="104"/>
      <c r="C480" s="104"/>
      <c r="D480" s="104"/>
      <c r="E480" s="105"/>
      <c r="F480" s="104"/>
      <c r="G480" s="105"/>
      <c r="H480" s="105"/>
      <c r="I480" s="106"/>
      <c r="J480" s="104"/>
      <c r="K480" s="105"/>
      <c r="L480" s="105"/>
      <c r="M480" s="105"/>
      <c r="N480" s="111"/>
      <c r="O480" s="106"/>
      <c r="P480" s="105"/>
      <c r="Q480" s="105"/>
    </row>
    <row r="481" spans="1:17" x14ac:dyDescent="0.25">
      <c r="A481" s="103"/>
      <c r="B481" s="104"/>
      <c r="C481" s="104"/>
      <c r="D481" s="104"/>
      <c r="E481" s="105"/>
      <c r="F481" s="104"/>
      <c r="G481" s="105"/>
      <c r="H481" s="105"/>
      <c r="I481" s="106"/>
      <c r="J481" s="104"/>
      <c r="K481" s="105"/>
      <c r="L481" s="105"/>
      <c r="M481" s="105"/>
      <c r="N481" s="111"/>
      <c r="O481" s="106"/>
      <c r="P481" s="105"/>
      <c r="Q481" s="105"/>
    </row>
    <row r="482" spans="1:17" x14ac:dyDescent="0.25">
      <c r="A482" s="103"/>
      <c r="B482" s="104"/>
      <c r="C482" s="104"/>
      <c r="D482" s="104"/>
      <c r="E482" s="105"/>
      <c r="F482" s="104"/>
      <c r="G482" s="105"/>
      <c r="H482" s="105"/>
      <c r="I482" s="106"/>
      <c r="J482" s="104"/>
      <c r="K482" s="105"/>
      <c r="L482" s="105"/>
      <c r="M482" s="105"/>
      <c r="N482" s="111"/>
      <c r="O482" s="106"/>
      <c r="P482" s="105"/>
      <c r="Q482" s="105"/>
    </row>
    <row r="483" spans="1:17" x14ac:dyDescent="0.25">
      <c r="A483" s="103"/>
      <c r="B483" s="104"/>
      <c r="C483" s="104"/>
      <c r="D483" s="104"/>
      <c r="E483" s="105"/>
      <c r="F483" s="104"/>
      <c r="G483" s="105"/>
      <c r="H483" s="105"/>
      <c r="I483" s="106"/>
      <c r="J483" s="104"/>
      <c r="K483" s="105"/>
      <c r="L483" s="105"/>
      <c r="M483" s="105"/>
      <c r="N483" s="111"/>
      <c r="O483" s="106"/>
      <c r="P483" s="105"/>
      <c r="Q483" s="105"/>
    </row>
    <row r="484" spans="1:17" x14ac:dyDescent="0.25">
      <c r="A484" s="103"/>
      <c r="B484" s="104"/>
      <c r="C484" s="104"/>
      <c r="D484" s="104"/>
      <c r="E484" s="105"/>
      <c r="F484" s="104"/>
      <c r="G484" s="105"/>
      <c r="H484" s="105"/>
      <c r="I484" s="106"/>
      <c r="J484" s="104"/>
      <c r="K484" s="105"/>
      <c r="L484" s="105"/>
      <c r="M484" s="105"/>
      <c r="N484" s="111"/>
      <c r="O484" s="106"/>
      <c r="P484" s="105"/>
      <c r="Q484" s="105"/>
    </row>
    <row r="485" spans="1:17" x14ac:dyDescent="0.25">
      <c r="A485" s="103"/>
      <c r="B485" s="104"/>
      <c r="C485" s="104"/>
      <c r="D485" s="104"/>
      <c r="E485" s="105"/>
      <c r="F485" s="104"/>
      <c r="G485" s="105"/>
      <c r="H485" s="105"/>
      <c r="I485" s="106"/>
      <c r="J485" s="104"/>
      <c r="K485" s="105"/>
      <c r="L485" s="105"/>
      <c r="M485" s="105"/>
      <c r="N485" s="111"/>
      <c r="O485" s="106"/>
      <c r="P485" s="105"/>
      <c r="Q485" s="105"/>
    </row>
    <row r="486" spans="1:17" x14ac:dyDescent="0.25">
      <c r="A486" s="103"/>
      <c r="B486" s="104"/>
      <c r="C486" s="104"/>
      <c r="D486" s="104"/>
      <c r="E486" s="105"/>
      <c r="F486" s="104"/>
      <c r="G486" s="105"/>
      <c r="H486" s="105"/>
      <c r="I486" s="106"/>
      <c r="J486" s="104"/>
      <c r="K486" s="105"/>
      <c r="L486" s="105"/>
      <c r="M486" s="105"/>
      <c r="N486" s="111"/>
      <c r="O486" s="106"/>
      <c r="P486" s="105"/>
      <c r="Q486" s="105"/>
    </row>
    <row r="487" spans="1:17" x14ac:dyDescent="0.25">
      <c r="A487" s="103"/>
      <c r="B487" s="104"/>
      <c r="C487" s="104"/>
      <c r="D487" s="104"/>
      <c r="E487" s="105"/>
      <c r="F487" s="104"/>
      <c r="G487" s="105"/>
      <c r="H487" s="105"/>
      <c r="I487" s="106"/>
      <c r="J487" s="104"/>
      <c r="K487" s="105"/>
      <c r="L487" s="105"/>
      <c r="M487" s="105"/>
      <c r="N487" s="111"/>
      <c r="O487" s="106"/>
      <c r="P487" s="105"/>
      <c r="Q487" s="105"/>
    </row>
    <row r="488" spans="1:17" x14ac:dyDescent="0.25">
      <c r="A488" s="103"/>
      <c r="B488" s="104"/>
      <c r="C488" s="104"/>
      <c r="D488" s="104"/>
      <c r="E488" s="105"/>
      <c r="F488" s="104"/>
      <c r="G488" s="105"/>
      <c r="H488" s="105"/>
      <c r="I488" s="106"/>
      <c r="J488" s="104"/>
      <c r="K488" s="105"/>
      <c r="L488" s="105"/>
      <c r="M488" s="105"/>
      <c r="N488" s="111"/>
      <c r="O488" s="106"/>
      <c r="P488" s="105"/>
      <c r="Q488" s="105"/>
    </row>
    <row r="489" spans="1:17" x14ac:dyDescent="0.25">
      <c r="A489" s="103"/>
      <c r="B489" s="104"/>
      <c r="C489" s="104"/>
      <c r="D489" s="104"/>
      <c r="E489" s="105"/>
      <c r="F489" s="104"/>
      <c r="G489" s="105"/>
      <c r="H489" s="105"/>
      <c r="I489" s="106"/>
      <c r="J489" s="104"/>
      <c r="K489" s="105"/>
      <c r="L489" s="105"/>
      <c r="M489" s="105"/>
      <c r="N489" s="111"/>
      <c r="O489" s="106"/>
      <c r="P489" s="105"/>
      <c r="Q489" s="105"/>
    </row>
    <row r="490" spans="1:17" x14ac:dyDescent="0.25">
      <c r="A490" s="103"/>
      <c r="B490" s="104"/>
      <c r="C490" s="104"/>
      <c r="D490" s="104"/>
      <c r="E490" s="105"/>
      <c r="F490" s="104"/>
      <c r="G490" s="105"/>
      <c r="H490" s="105"/>
      <c r="I490" s="106"/>
      <c r="J490" s="104"/>
      <c r="K490" s="105"/>
      <c r="L490" s="105"/>
      <c r="M490" s="105"/>
      <c r="N490" s="111"/>
      <c r="O490" s="106"/>
      <c r="P490" s="105"/>
      <c r="Q490" s="105"/>
    </row>
    <row r="491" spans="1:17" x14ac:dyDescent="0.25">
      <c r="A491" s="103"/>
      <c r="B491" s="104"/>
      <c r="C491" s="104"/>
      <c r="D491" s="104"/>
      <c r="E491" s="105"/>
      <c r="F491" s="104"/>
      <c r="G491" s="105"/>
      <c r="H491" s="105"/>
      <c r="I491" s="106"/>
      <c r="J491" s="104"/>
      <c r="K491" s="105"/>
      <c r="L491" s="105"/>
      <c r="M491" s="105"/>
      <c r="N491" s="111"/>
      <c r="O491" s="106"/>
      <c r="P491" s="105"/>
      <c r="Q491" s="105"/>
    </row>
    <row r="492" spans="1:17" x14ac:dyDescent="0.25">
      <c r="A492" s="103"/>
      <c r="B492" s="104"/>
      <c r="C492" s="104"/>
      <c r="D492" s="104"/>
      <c r="E492" s="105"/>
      <c r="F492" s="104"/>
      <c r="G492" s="105"/>
      <c r="H492" s="105"/>
      <c r="I492" s="106"/>
      <c r="J492" s="104"/>
      <c r="K492" s="105"/>
      <c r="L492" s="105"/>
      <c r="M492" s="105"/>
      <c r="N492" s="111"/>
      <c r="O492" s="106"/>
      <c r="P492" s="105"/>
      <c r="Q492" s="105"/>
    </row>
    <row r="493" spans="1:17" x14ac:dyDescent="0.25">
      <c r="A493" s="103"/>
      <c r="B493" s="104"/>
      <c r="C493" s="104"/>
      <c r="D493" s="104"/>
      <c r="E493" s="105"/>
      <c r="F493" s="104"/>
      <c r="G493" s="105"/>
      <c r="H493" s="105"/>
      <c r="I493" s="106"/>
      <c r="J493" s="104"/>
      <c r="K493" s="105"/>
      <c r="L493" s="105"/>
      <c r="M493" s="105"/>
      <c r="N493" s="111"/>
      <c r="O493" s="106"/>
      <c r="P493" s="105"/>
      <c r="Q493" s="105"/>
    </row>
    <row r="494" spans="1:17" x14ac:dyDescent="0.25">
      <c r="A494" s="103"/>
      <c r="B494" s="104"/>
      <c r="C494" s="104"/>
      <c r="D494" s="104"/>
      <c r="E494" s="105"/>
      <c r="F494" s="104"/>
      <c r="G494" s="105"/>
      <c r="H494" s="105"/>
      <c r="I494" s="106"/>
      <c r="J494" s="104"/>
      <c r="K494" s="105"/>
      <c r="L494" s="105"/>
      <c r="M494" s="105"/>
      <c r="N494" s="111"/>
      <c r="O494" s="106"/>
      <c r="P494" s="105"/>
      <c r="Q494" s="105"/>
    </row>
    <row r="495" spans="1:17" x14ac:dyDescent="0.25">
      <c r="A495" s="103"/>
      <c r="B495" s="104"/>
      <c r="C495" s="104"/>
      <c r="D495" s="104"/>
      <c r="E495" s="105"/>
      <c r="F495" s="104"/>
      <c r="G495" s="105"/>
      <c r="H495" s="105"/>
      <c r="I495" s="106"/>
      <c r="J495" s="104"/>
      <c r="K495" s="105"/>
      <c r="L495" s="105"/>
      <c r="M495" s="105"/>
      <c r="N495" s="111"/>
      <c r="O495" s="106"/>
      <c r="P495" s="105"/>
      <c r="Q495" s="105"/>
    </row>
    <row r="496" spans="1:17" x14ac:dyDescent="0.25">
      <c r="A496" s="103"/>
      <c r="B496" s="104"/>
      <c r="C496" s="104"/>
      <c r="D496" s="104"/>
      <c r="E496" s="105"/>
      <c r="F496" s="104"/>
      <c r="G496" s="105"/>
      <c r="H496" s="105"/>
      <c r="I496" s="106"/>
      <c r="J496" s="104"/>
      <c r="K496" s="105"/>
      <c r="L496" s="105"/>
      <c r="M496" s="105"/>
      <c r="N496" s="111"/>
      <c r="O496" s="106"/>
      <c r="P496" s="105"/>
      <c r="Q496" s="105"/>
    </row>
    <row r="497" spans="1:17" x14ac:dyDescent="0.25">
      <c r="A497" s="103"/>
      <c r="B497" s="104"/>
      <c r="C497" s="104"/>
      <c r="D497" s="104"/>
      <c r="E497" s="105"/>
      <c r="F497" s="104"/>
      <c r="G497" s="105"/>
      <c r="H497" s="105"/>
      <c r="I497" s="106"/>
      <c r="J497" s="104"/>
      <c r="K497" s="105"/>
      <c r="L497" s="105"/>
      <c r="M497" s="105"/>
      <c r="N497" s="111"/>
      <c r="O497" s="106"/>
      <c r="P497" s="105"/>
      <c r="Q497" s="105"/>
    </row>
    <row r="498" spans="1:17" x14ac:dyDescent="0.25">
      <c r="A498" s="103"/>
      <c r="B498" s="104"/>
      <c r="C498" s="104"/>
      <c r="D498" s="104"/>
      <c r="E498" s="105"/>
      <c r="F498" s="104"/>
      <c r="G498" s="105"/>
      <c r="H498" s="105"/>
      <c r="I498" s="106"/>
      <c r="J498" s="104"/>
      <c r="K498" s="105"/>
      <c r="L498" s="105"/>
      <c r="M498" s="105"/>
      <c r="N498" s="111"/>
      <c r="O498" s="106"/>
      <c r="P498" s="105"/>
      <c r="Q498" s="105"/>
    </row>
    <row r="499" spans="1:17" x14ac:dyDescent="0.25">
      <c r="A499" s="103"/>
      <c r="B499" s="104"/>
      <c r="C499" s="104"/>
      <c r="D499" s="104"/>
      <c r="E499" s="105"/>
      <c r="F499" s="104"/>
      <c r="G499" s="105"/>
      <c r="H499" s="105"/>
      <c r="I499" s="106"/>
      <c r="J499" s="104"/>
      <c r="K499" s="105"/>
      <c r="L499" s="105"/>
      <c r="M499" s="105"/>
      <c r="N499" s="111"/>
      <c r="O499" s="106"/>
      <c r="P499" s="105"/>
      <c r="Q499" s="105"/>
    </row>
    <row r="500" spans="1:17" x14ac:dyDescent="0.25">
      <c r="A500" s="103"/>
      <c r="B500" s="104"/>
      <c r="C500" s="104"/>
      <c r="D500" s="104"/>
      <c r="E500" s="105"/>
      <c r="F500" s="104"/>
      <c r="G500" s="105"/>
      <c r="H500" s="105"/>
      <c r="I500" s="106"/>
      <c r="J500" s="104"/>
      <c r="K500" s="105"/>
      <c r="L500" s="105"/>
      <c r="M500" s="105"/>
      <c r="N500" s="111"/>
      <c r="O500" s="106"/>
      <c r="P500" s="105"/>
      <c r="Q500" s="105"/>
    </row>
    <row r="501" spans="1:17" x14ac:dyDescent="0.25">
      <c r="A501" s="103"/>
      <c r="B501" s="104"/>
      <c r="C501" s="104"/>
      <c r="D501" s="104"/>
      <c r="E501" s="105"/>
      <c r="F501" s="104"/>
      <c r="G501" s="105"/>
      <c r="H501" s="105"/>
      <c r="I501" s="106"/>
      <c r="J501" s="104"/>
      <c r="K501" s="105"/>
      <c r="L501" s="105"/>
      <c r="M501" s="105"/>
      <c r="N501" s="111"/>
      <c r="O501" s="106"/>
      <c r="P501" s="105"/>
      <c r="Q501" s="105"/>
    </row>
    <row r="502" spans="1:17" x14ac:dyDescent="0.25">
      <c r="A502" s="103"/>
      <c r="B502" s="104"/>
      <c r="C502" s="104"/>
      <c r="D502" s="104"/>
      <c r="E502" s="105"/>
      <c r="F502" s="104"/>
      <c r="G502" s="105"/>
      <c r="H502" s="105"/>
      <c r="I502" s="106"/>
      <c r="J502" s="104"/>
      <c r="K502" s="105"/>
      <c r="L502" s="105"/>
      <c r="M502" s="105"/>
      <c r="N502" s="111"/>
      <c r="O502" s="106"/>
      <c r="P502" s="105"/>
      <c r="Q502" s="105"/>
    </row>
    <row r="503" spans="1:17" x14ac:dyDescent="0.25">
      <c r="A503" s="103"/>
      <c r="B503" s="104"/>
      <c r="C503" s="104"/>
      <c r="D503" s="104"/>
      <c r="E503" s="105"/>
      <c r="F503" s="104"/>
      <c r="G503" s="105"/>
      <c r="H503" s="105"/>
      <c r="I503" s="106"/>
      <c r="J503" s="104"/>
      <c r="K503" s="105"/>
      <c r="L503" s="105"/>
      <c r="M503" s="105"/>
      <c r="N503" s="111"/>
      <c r="O503" s="106"/>
      <c r="P503" s="105"/>
      <c r="Q503" s="105"/>
    </row>
    <row r="504" spans="1:17" x14ac:dyDescent="0.25">
      <c r="A504" s="103"/>
      <c r="B504" s="104"/>
      <c r="C504" s="104"/>
      <c r="D504" s="104"/>
      <c r="E504" s="105"/>
      <c r="F504" s="104"/>
      <c r="G504" s="105"/>
      <c r="H504" s="105"/>
      <c r="I504" s="106"/>
      <c r="J504" s="104"/>
      <c r="K504" s="105"/>
      <c r="L504" s="105"/>
      <c r="M504" s="105"/>
      <c r="N504" s="111"/>
      <c r="O504" s="106"/>
      <c r="P504" s="105"/>
      <c r="Q504" s="105"/>
    </row>
    <row r="505" spans="1:17" x14ac:dyDescent="0.25">
      <c r="A505" s="103"/>
      <c r="B505" s="104"/>
      <c r="C505" s="104"/>
      <c r="D505" s="104"/>
      <c r="E505" s="105"/>
      <c r="F505" s="104"/>
      <c r="G505" s="105"/>
      <c r="H505" s="105"/>
      <c r="I505" s="106"/>
      <c r="J505" s="104"/>
      <c r="K505" s="105"/>
      <c r="L505" s="105"/>
      <c r="M505" s="105"/>
      <c r="N505" s="111"/>
      <c r="O505" s="106"/>
      <c r="P505" s="105"/>
      <c r="Q505" s="105"/>
    </row>
    <row r="506" spans="1:17" x14ac:dyDescent="0.25">
      <c r="A506" s="103"/>
      <c r="B506" s="104"/>
      <c r="C506" s="104"/>
      <c r="D506" s="104"/>
      <c r="E506" s="105"/>
      <c r="F506" s="104"/>
      <c r="G506" s="105"/>
      <c r="H506" s="105"/>
      <c r="I506" s="106"/>
      <c r="J506" s="104"/>
      <c r="K506" s="105"/>
      <c r="L506" s="105"/>
      <c r="M506" s="105"/>
      <c r="N506" s="111"/>
      <c r="O506" s="106"/>
      <c r="P506" s="105"/>
      <c r="Q506" s="105"/>
    </row>
    <row r="507" spans="1:17" x14ac:dyDescent="0.25">
      <c r="A507" s="103"/>
      <c r="B507" s="104"/>
      <c r="C507" s="104"/>
      <c r="D507" s="104"/>
      <c r="E507" s="105"/>
      <c r="F507" s="104"/>
      <c r="G507" s="105"/>
      <c r="H507" s="105"/>
      <c r="I507" s="106"/>
      <c r="J507" s="104"/>
      <c r="K507" s="105"/>
      <c r="L507" s="105"/>
      <c r="M507" s="105"/>
      <c r="N507" s="111"/>
      <c r="O507" s="106"/>
      <c r="P507" s="105"/>
      <c r="Q507" s="105"/>
    </row>
    <row r="508" spans="1:17" x14ac:dyDescent="0.25">
      <c r="A508" s="103"/>
      <c r="B508" s="104"/>
      <c r="C508" s="104"/>
      <c r="D508" s="104"/>
      <c r="E508" s="105"/>
      <c r="F508" s="104"/>
      <c r="G508" s="105"/>
      <c r="H508" s="105"/>
      <c r="I508" s="106"/>
      <c r="J508" s="104"/>
      <c r="K508" s="105"/>
      <c r="L508" s="105"/>
      <c r="M508" s="105"/>
      <c r="N508" s="111"/>
      <c r="O508" s="106"/>
      <c r="P508" s="105"/>
      <c r="Q508" s="105"/>
    </row>
    <row r="509" spans="1:17" x14ac:dyDescent="0.25">
      <c r="A509" s="103"/>
      <c r="B509" s="104"/>
      <c r="C509" s="104"/>
      <c r="D509" s="104"/>
      <c r="E509" s="105"/>
      <c r="F509" s="104"/>
      <c r="G509" s="105"/>
      <c r="H509" s="105"/>
      <c r="I509" s="106"/>
      <c r="J509" s="104"/>
      <c r="K509" s="105"/>
      <c r="L509" s="105"/>
      <c r="M509" s="105"/>
      <c r="N509" s="111"/>
      <c r="O509" s="106"/>
      <c r="P509" s="105"/>
      <c r="Q509" s="105"/>
    </row>
    <row r="510" spans="1:17" x14ac:dyDescent="0.25">
      <c r="A510" s="103"/>
      <c r="B510" s="104"/>
      <c r="C510" s="104"/>
      <c r="D510" s="104"/>
      <c r="E510" s="105"/>
      <c r="F510" s="104"/>
      <c r="G510" s="105"/>
      <c r="H510" s="105"/>
      <c r="I510" s="106"/>
      <c r="J510" s="104"/>
      <c r="K510" s="105"/>
      <c r="L510" s="105"/>
      <c r="M510" s="105"/>
      <c r="N510" s="111"/>
      <c r="O510" s="106"/>
      <c r="P510" s="105"/>
      <c r="Q510" s="105"/>
    </row>
    <row r="511" spans="1:17" x14ac:dyDescent="0.25">
      <c r="A511" s="103"/>
      <c r="B511" s="104"/>
      <c r="C511" s="104"/>
      <c r="D511" s="104"/>
      <c r="E511" s="105"/>
      <c r="F511" s="104"/>
      <c r="G511" s="105"/>
      <c r="H511" s="105"/>
      <c r="I511" s="106"/>
      <c r="J511" s="104"/>
      <c r="K511" s="105"/>
      <c r="L511" s="105"/>
      <c r="M511" s="105"/>
      <c r="N511" s="111"/>
      <c r="O511" s="106"/>
      <c r="P511" s="105"/>
      <c r="Q511" s="105"/>
    </row>
    <row r="512" spans="1:17" x14ac:dyDescent="0.25">
      <c r="A512" s="103"/>
      <c r="B512" s="104"/>
      <c r="C512" s="104"/>
      <c r="D512" s="104"/>
      <c r="E512" s="105"/>
      <c r="F512" s="104"/>
      <c r="G512" s="105"/>
      <c r="H512" s="105"/>
      <c r="I512" s="106"/>
      <c r="J512" s="104"/>
      <c r="K512" s="105"/>
      <c r="L512" s="105"/>
      <c r="M512" s="105"/>
      <c r="N512" s="111"/>
      <c r="O512" s="106"/>
      <c r="P512" s="105"/>
      <c r="Q512" s="105"/>
    </row>
    <row r="513" spans="1:17" x14ac:dyDescent="0.25">
      <c r="A513" s="103"/>
      <c r="B513" s="104"/>
      <c r="C513" s="104"/>
      <c r="D513" s="104"/>
      <c r="E513" s="105"/>
      <c r="F513" s="104"/>
      <c r="G513" s="105"/>
      <c r="H513" s="105"/>
      <c r="I513" s="106"/>
      <c r="J513" s="104"/>
      <c r="K513" s="105"/>
      <c r="L513" s="105"/>
      <c r="M513" s="105"/>
      <c r="N513" s="111"/>
      <c r="O513" s="106"/>
      <c r="P513" s="105"/>
      <c r="Q513" s="105"/>
    </row>
    <row r="514" spans="1:17" x14ac:dyDescent="0.25">
      <c r="A514" s="103"/>
      <c r="B514" s="104"/>
      <c r="C514" s="104"/>
      <c r="D514" s="104"/>
      <c r="E514" s="105"/>
      <c r="F514" s="104"/>
      <c r="G514" s="105"/>
      <c r="H514" s="105"/>
      <c r="I514" s="106"/>
      <c r="J514" s="104"/>
      <c r="K514" s="105"/>
      <c r="L514" s="105"/>
      <c r="M514" s="105"/>
      <c r="N514" s="111"/>
      <c r="O514" s="106"/>
      <c r="P514" s="105"/>
      <c r="Q514" s="105"/>
    </row>
    <row r="515" spans="1:17" x14ac:dyDescent="0.25">
      <c r="A515" s="103"/>
      <c r="B515" s="104"/>
      <c r="C515" s="104"/>
      <c r="D515" s="104"/>
      <c r="E515" s="105"/>
      <c r="F515" s="104"/>
      <c r="G515" s="105"/>
      <c r="H515" s="105"/>
      <c r="I515" s="106"/>
      <c r="J515" s="104"/>
      <c r="K515" s="105"/>
      <c r="L515" s="105"/>
      <c r="M515" s="105"/>
      <c r="N515" s="111"/>
      <c r="O515" s="106"/>
      <c r="P515" s="105"/>
      <c r="Q515" s="105"/>
    </row>
    <row r="516" spans="1:17" x14ac:dyDescent="0.25">
      <c r="A516" s="103"/>
      <c r="B516" s="104"/>
      <c r="C516" s="104"/>
      <c r="D516" s="104"/>
      <c r="E516" s="105"/>
      <c r="F516" s="104"/>
      <c r="G516" s="105"/>
      <c r="H516" s="105"/>
      <c r="I516" s="106"/>
      <c r="J516" s="104"/>
      <c r="K516" s="105"/>
      <c r="L516" s="105"/>
      <c r="M516" s="105"/>
      <c r="N516" s="111"/>
      <c r="O516" s="106"/>
      <c r="P516" s="105"/>
      <c r="Q516" s="105"/>
    </row>
    <row r="517" spans="1:17" x14ac:dyDescent="0.25">
      <c r="A517" s="103"/>
      <c r="B517" s="104"/>
      <c r="C517" s="104"/>
      <c r="D517" s="104"/>
      <c r="E517" s="105"/>
      <c r="F517" s="104"/>
      <c r="G517" s="105"/>
      <c r="H517" s="105"/>
      <c r="I517" s="106"/>
      <c r="J517" s="104"/>
      <c r="K517" s="105"/>
      <c r="L517" s="105"/>
      <c r="M517" s="105"/>
      <c r="N517" s="111"/>
      <c r="O517" s="106"/>
      <c r="P517" s="105"/>
      <c r="Q517" s="105"/>
    </row>
    <row r="518" spans="1:17" x14ac:dyDescent="0.25">
      <c r="A518" s="103"/>
      <c r="B518" s="104"/>
      <c r="C518" s="104"/>
      <c r="D518" s="104"/>
      <c r="E518" s="105"/>
      <c r="F518" s="104"/>
      <c r="G518" s="105"/>
      <c r="H518" s="105"/>
      <c r="I518" s="106"/>
      <c r="J518" s="104"/>
      <c r="K518" s="105"/>
      <c r="L518" s="105"/>
      <c r="M518" s="105"/>
      <c r="N518" s="111"/>
      <c r="O518" s="106"/>
      <c r="P518" s="105"/>
      <c r="Q518" s="105"/>
    </row>
    <row r="519" spans="1:17" x14ac:dyDescent="0.25">
      <c r="A519" s="103"/>
      <c r="B519" s="104"/>
      <c r="C519" s="104"/>
      <c r="D519" s="104"/>
      <c r="E519" s="105"/>
      <c r="F519" s="104"/>
      <c r="G519" s="105"/>
      <c r="H519" s="105"/>
      <c r="I519" s="106"/>
      <c r="J519" s="104"/>
      <c r="K519" s="105"/>
      <c r="L519" s="105"/>
      <c r="M519" s="105"/>
      <c r="N519" s="111"/>
      <c r="O519" s="106"/>
      <c r="P519" s="105"/>
      <c r="Q519" s="105"/>
    </row>
    <row r="520" spans="1:17" x14ac:dyDescent="0.25">
      <c r="A520" s="103"/>
      <c r="B520" s="104"/>
      <c r="C520" s="104"/>
      <c r="D520" s="104"/>
      <c r="E520" s="105"/>
      <c r="F520" s="104"/>
      <c r="G520" s="105"/>
      <c r="H520" s="105"/>
      <c r="I520" s="106"/>
      <c r="J520" s="104"/>
      <c r="K520" s="105"/>
      <c r="L520" s="105"/>
      <c r="M520" s="105"/>
      <c r="N520" s="111"/>
      <c r="O520" s="106"/>
      <c r="P520" s="105"/>
      <c r="Q520" s="105"/>
    </row>
    <row r="521" spans="1:17" x14ac:dyDescent="0.25">
      <c r="A521" s="103"/>
      <c r="B521" s="104"/>
      <c r="C521" s="104"/>
      <c r="D521" s="104"/>
      <c r="E521" s="105"/>
      <c r="F521" s="104"/>
      <c r="G521" s="105"/>
      <c r="H521" s="105"/>
      <c r="I521" s="106"/>
      <c r="J521" s="104"/>
      <c r="K521" s="105"/>
      <c r="L521" s="105"/>
      <c r="M521" s="105"/>
      <c r="N521" s="111"/>
      <c r="O521" s="106"/>
      <c r="P521" s="105"/>
      <c r="Q521" s="105"/>
    </row>
    <row r="522" spans="1:17" x14ac:dyDescent="0.25">
      <c r="A522" s="103"/>
      <c r="B522" s="104"/>
      <c r="C522" s="104"/>
      <c r="D522" s="104"/>
      <c r="E522" s="105"/>
      <c r="F522" s="104"/>
      <c r="G522" s="105"/>
      <c r="H522" s="105"/>
      <c r="I522" s="106"/>
      <c r="J522" s="104"/>
      <c r="K522" s="105"/>
      <c r="L522" s="105"/>
      <c r="M522" s="105"/>
      <c r="N522" s="111"/>
      <c r="O522" s="106"/>
      <c r="P522" s="105"/>
      <c r="Q522" s="105"/>
    </row>
    <row r="523" spans="1:17" x14ac:dyDescent="0.25">
      <c r="A523" s="103"/>
      <c r="B523" s="104"/>
      <c r="C523" s="104"/>
      <c r="D523" s="104"/>
      <c r="E523" s="105"/>
      <c r="F523" s="104"/>
      <c r="G523" s="105"/>
      <c r="H523" s="105"/>
      <c r="I523" s="106"/>
      <c r="J523" s="104"/>
      <c r="K523" s="105"/>
      <c r="L523" s="105"/>
      <c r="M523" s="105"/>
      <c r="N523" s="111"/>
      <c r="O523" s="106"/>
      <c r="P523" s="105"/>
      <c r="Q523" s="105"/>
    </row>
    <row r="524" spans="1:17" x14ac:dyDescent="0.25">
      <c r="A524" s="103"/>
      <c r="B524" s="104"/>
      <c r="C524" s="104"/>
      <c r="D524" s="104"/>
      <c r="E524" s="105"/>
      <c r="F524" s="104"/>
      <c r="G524" s="105"/>
      <c r="H524" s="105"/>
      <c r="I524" s="106"/>
      <c r="J524" s="104"/>
      <c r="K524" s="105"/>
      <c r="L524" s="105"/>
      <c r="M524" s="105"/>
      <c r="N524" s="111"/>
      <c r="O524" s="106"/>
      <c r="P524" s="105"/>
      <c r="Q524" s="105"/>
    </row>
    <row r="525" spans="1:17" x14ac:dyDescent="0.25">
      <c r="A525" s="103"/>
      <c r="B525" s="104"/>
      <c r="C525" s="104"/>
      <c r="D525" s="104"/>
      <c r="E525" s="105"/>
      <c r="F525" s="104"/>
      <c r="G525" s="105"/>
      <c r="H525" s="105"/>
      <c r="I525" s="106"/>
      <c r="J525" s="104"/>
      <c r="K525" s="105"/>
      <c r="L525" s="105"/>
      <c r="M525" s="105"/>
      <c r="N525" s="111"/>
      <c r="O525" s="106"/>
      <c r="P525" s="105"/>
      <c r="Q525" s="105"/>
    </row>
    <row r="526" spans="1:17" x14ac:dyDescent="0.25">
      <c r="A526" s="103"/>
      <c r="B526" s="104"/>
      <c r="C526" s="104"/>
      <c r="D526" s="104"/>
      <c r="E526" s="105"/>
      <c r="F526" s="104"/>
      <c r="G526" s="105"/>
      <c r="H526" s="105"/>
      <c r="I526" s="106"/>
      <c r="J526" s="104"/>
      <c r="K526" s="105"/>
      <c r="L526" s="105"/>
      <c r="M526" s="105"/>
      <c r="N526" s="111"/>
      <c r="O526" s="106"/>
      <c r="P526" s="105"/>
      <c r="Q526" s="105"/>
    </row>
    <row r="527" spans="1:17" x14ac:dyDescent="0.25">
      <c r="A527" s="103"/>
      <c r="B527" s="104"/>
      <c r="C527" s="104"/>
      <c r="D527" s="104"/>
      <c r="E527" s="105"/>
      <c r="F527" s="104"/>
      <c r="G527" s="105"/>
      <c r="H527" s="105"/>
      <c r="I527" s="106"/>
      <c r="J527" s="104"/>
      <c r="K527" s="105"/>
      <c r="L527" s="105"/>
      <c r="M527" s="105"/>
      <c r="N527" s="111"/>
      <c r="O527" s="106"/>
      <c r="P527" s="105"/>
      <c r="Q527" s="105"/>
    </row>
    <row r="528" spans="1:17" x14ac:dyDescent="0.25">
      <c r="A528" s="103"/>
      <c r="B528" s="104"/>
      <c r="C528" s="104"/>
      <c r="D528" s="104"/>
      <c r="E528" s="105"/>
      <c r="F528" s="104"/>
      <c r="G528" s="105"/>
      <c r="H528" s="105"/>
      <c r="I528" s="106"/>
      <c r="J528" s="104"/>
      <c r="K528" s="105"/>
      <c r="L528" s="105"/>
      <c r="M528" s="105"/>
      <c r="N528" s="111"/>
      <c r="O528" s="106"/>
      <c r="P528" s="105"/>
      <c r="Q528" s="105"/>
    </row>
    <row r="529" spans="1:17" x14ac:dyDescent="0.25">
      <c r="A529" s="103"/>
      <c r="B529" s="104"/>
      <c r="C529" s="104"/>
      <c r="D529" s="104"/>
      <c r="E529" s="105"/>
      <c r="F529" s="104"/>
      <c r="G529" s="105"/>
      <c r="H529" s="105"/>
      <c r="I529" s="106"/>
      <c r="J529" s="104"/>
      <c r="K529" s="105"/>
      <c r="L529" s="105"/>
      <c r="M529" s="105"/>
      <c r="N529" s="111"/>
      <c r="O529" s="106"/>
      <c r="P529" s="105"/>
      <c r="Q529" s="105"/>
    </row>
    <row r="530" spans="1:17" x14ac:dyDescent="0.25">
      <c r="A530" s="103"/>
      <c r="B530" s="104"/>
      <c r="C530" s="104"/>
      <c r="D530" s="104"/>
      <c r="E530" s="105"/>
      <c r="F530" s="104"/>
      <c r="G530" s="105"/>
      <c r="H530" s="105"/>
      <c r="I530" s="106"/>
      <c r="J530" s="104"/>
      <c r="K530" s="105"/>
      <c r="L530" s="105"/>
      <c r="M530" s="105"/>
      <c r="N530" s="111"/>
      <c r="O530" s="106"/>
      <c r="P530" s="105"/>
      <c r="Q530" s="105"/>
    </row>
    <row r="531" spans="1:17" x14ac:dyDescent="0.25">
      <c r="A531" s="103"/>
      <c r="B531" s="104"/>
      <c r="C531" s="104"/>
      <c r="D531" s="104"/>
      <c r="E531" s="105"/>
      <c r="F531" s="104"/>
      <c r="G531" s="105"/>
      <c r="H531" s="105"/>
      <c r="I531" s="106"/>
      <c r="J531" s="104"/>
      <c r="K531" s="105"/>
      <c r="L531" s="105"/>
      <c r="M531" s="105"/>
      <c r="N531" s="111"/>
      <c r="O531" s="106"/>
      <c r="P531" s="105"/>
      <c r="Q531" s="105"/>
    </row>
    <row r="532" spans="1:17" x14ac:dyDescent="0.25">
      <c r="A532" s="103"/>
      <c r="B532" s="104"/>
      <c r="C532" s="104"/>
      <c r="D532" s="104"/>
      <c r="E532" s="105"/>
      <c r="F532" s="104"/>
      <c r="G532" s="105"/>
      <c r="H532" s="105"/>
      <c r="I532" s="106"/>
      <c r="J532" s="104"/>
      <c r="K532" s="105"/>
      <c r="L532" s="105"/>
      <c r="M532" s="105"/>
      <c r="N532" s="111"/>
      <c r="O532" s="106"/>
      <c r="P532" s="105"/>
      <c r="Q532" s="105"/>
    </row>
    <row r="533" spans="1:17" x14ac:dyDescent="0.25">
      <c r="A533" s="103"/>
      <c r="B533" s="104"/>
      <c r="C533" s="104"/>
      <c r="D533" s="104"/>
      <c r="E533" s="105"/>
      <c r="F533" s="104"/>
      <c r="G533" s="105"/>
      <c r="H533" s="105"/>
      <c r="I533" s="106"/>
      <c r="J533" s="104"/>
      <c r="K533" s="105"/>
      <c r="L533" s="105"/>
      <c r="M533" s="105"/>
      <c r="N533" s="111"/>
      <c r="O533" s="106"/>
      <c r="P533" s="105"/>
      <c r="Q533" s="105"/>
    </row>
    <row r="534" spans="1:17" x14ac:dyDescent="0.25">
      <c r="A534" s="103"/>
      <c r="B534" s="104"/>
      <c r="C534" s="104"/>
      <c r="D534" s="104"/>
      <c r="E534" s="105"/>
      <c r="F534" s="104"/>
      <c r="G534" s="105"/>
      <c r="H534" s="105"/>
      <c r="I534" s="106"/>
      <c r="J534" s="104"/>
      <c r="K534" s="105"/>
      <c r="L534" s="105"/>
      <c r="M534" s="105"/>
      <c r="N534" s="111"/>
      <c r="O534" s="106"/>
      <c r="P534" s="105"/>
      <c r="Q534" s="105"/>
    </row>
    <row r="535" spans="1:17" x14ac:dyDescent="0.25">
      <c r="A535" s="103"/>
      <c r="B535" s="104"/>
      <c r="C535" s="104"/>
      <c r="D535" s="104"/>
      <c r="E535" s="105"/>
      <c r="F535" s="104"/>
      <c r="G535" s="105"/>
      <c r="H535" s="105"/>
      <c r="I535" s="106"/>
      <c r="J535" s="104"/>
      <c r="K535" s="105"/>
      <c r="L535" s="105"/>
      <c r="M535" s="105"/>
      <c r="N535" s="111"/>
      <c r="O535" s="106"/>
      <c r="P535" s="105"/>
      <c r="Q535" s="105"/>
    </row>
    <row r="536" spans="1:17" x14ac:dyDescent="0.25">
      <c r="A536" s="103"/>
      <c r="B536" s="104"/>
      <c r="C536" s="104"/>
      <c r="D536" s="104"/>
      <c r="E536" s="105"/>
      <c r="F536" s="104"/>
      <c r="G536" s="105"/>
      <c r="H536" s="105"/>
      <c r="I536" s="106"/>
      <c r="J536" s="104"/>
      <c r="K536" s="105"/>
      <c r="L536" s="105"/>
      <c r="M536" s="105"/>
      <c r="N536" s="111"/>
      <c r="O536" s="106"/>
      <c r="P536" s="105"/>
      <c r="Q536" s="105"/>
    </row>
    <row r="537" spans="1:17" x14ac:dyDescent="0.25">
      <c r="A537" s="103"/>
      <c r="B537" s="104"/>
      <c r="C537" s="104"/>
      <c r="D537" s="104"/>
      <c r="E537" s="105"/>
      <c r="F537" s="104"/>
      <c r="G537" s="105"/>
      <c r="H537" s="105"/>
      <c r="I537" s="106"/>
      <c r="J537" s="104"/>
      <c r="K537" s="105"/>
      <c r="L537" s="105"/>
      <c r="M537" s="105"/>
      <c r="N537" s="111"/>
      <c r="O537" s="106"/>
      <c r="P537" s="105"/>
      <c r="Q537" s="105"/>
    </row>
    <row r="538" spans="1:17" x14ac:dyDescent="0.25">
      <c r="A538" s="103"/>
      <c r="B538" s="104"/>
      <c r="C538" s="104"/>
      <c r="D538" s="104"/>
      <c r="E538" s="105"/>
      <c r="F538" s="104"/>
      <c r="G538" s="105"/>
      <c r="H538" s="105"/>
      <c r="I538" s="106"/>
      <c r="J538" s="104"/>
      <c r="K538" s="105"/>
      <c r="L538" s="105"/>
      <c r="M538" s="105"/>
      <c r="N538" s="111"/>
      <c r="O538" s="106"/>
      <c r="P538" s="105"/>
      <c r="Q538" s="105"/>
    </row>
    <row r="539" spans="1:17" x14ac:dyDescent="0.25">
      <c r="A539" s="103"/>
      <c r="B539" s="104"/>
      <c r="C539" s="104"/>
      <c r="D539" s="104"/>
      <c r="E539" s="105"/>
      <c r="F539" s="104"/>
      <c r="G539" s="105"/>
      <c r="H539" s="105"/>
      <c r="I539" s="106"/>
      <c r="J539" s="104"/>
      <c r="K539" s="105"/>
      <c r="L539" s="105"/>
      <c r="M539" s="105"/>
      <c r="N539" s="111"/>
      <c r="O539" s="106"/>
      <c r="P539" s="105"/>
      <c r="Q539" s="105"/>
    </row>
    <row r="540" spans="1:17" x14ac:dyDescent="0.25">
      <c r="A540" s="103"/>
      <c r="B540" s="104"/>
      <c r="C540" s="104"/>
      <c r="D540" s="104"/>
      <c r="E540" s="105"/>
      <c r="F540" s="104"/>
      <c r="G540" s="105"/>
      <c r="H540" s="105"/>
      <c r="I540" s="106"/>
      <c r="J540" s="104"/>
      <c r="K540" s="105"/>
      <c r="L540" s="105"/>
      <c r="M540" s="105"/>
      <c r="N540" s="111"/>
      <c r="O540" s="106"/>
      <c r="P540" s="105"/>
      <c r="Q540" s="105"/>
    </row>
    <row r="541" spans="1:17" x14ac:dyDescent="0.25">
      <c r="A541" s="103"/>
      <c r="B541" s="104"/>
      <c r="C541" s="104"/>
      <c r="D541" s="104"/>
      <c r="E541" s="105"/>
      <c r="F541" s="104"/>
      <c r="G541" s="105"/>
      <c r="H541" s="105"/>
      <c r="I541" s="106"/>
      <c r="J541" s="104"/>
      <c r="K541" s="105"/>
      <c r="L541" s="105"/>
      <c r="M541" s="105"/>
      <c r="N541" s="111"/>
      <c r="O541" s="106"/>
      <c r="P541" s="105"/>
      <c r="Q541" s="105"/>
    </row>
    <row r="542" spans="1:17" x14ac:dyDescent="0.25">
      <c r="A542" s="103"/>
      <c r="B542" s="104"/>
      <c r="C542" s="104"/>
      <c r="D542" s="104"/>
      <c r="E542" s="105"/>
      <c r="F542" s="104"/>
      <c r="G542" s="105"/>
      <c r="H542" s="105"/>
      <c r="I542" s="106"/>
      <c r="J542" s="104"/>
      <c r="K542" s="105"/>
      <c r="L542" s="105"/>
      <c r="M542" s="105"/>
      <c r="N542" s="111"/>
      <c r="O542" s="106"/>
      <c r="P542" s="105"/>
      <c r="Q542" s="105"/>
    </row>
    <row r="543" spans="1:17" x14ac:dyDescent="0.25">
      <c r="A543" s="103"/>
      <c r="B543" s="104"/>
      <c r="C543" s="104"/>
      <c r="D543" s="104"/>
      <c r="E543" s="105"/>
      <c r="F543" s="104"/>
      <c r="G543" s="105"/>
      <c r="H543" s="105"/>
      <c r="I543" s="106"/>
      <c r="J543" s="104"/>
      <c r="K543" s="105"/>
      <c r="L543" s="105"/>
      <c r="M543" s="105"/>
      <c r="N543" s="111"/>
      <c r="O543" s="106"/>
      <c r="P543" s="105"/>
      <c r="Q543" s="105"/>
    </row>
    <row r="544" spans="1:17" x14ac:dyDescent="0.25">
      <c r="A544" s="103"/>
      <c r="B544" s="104"/>
      <c r="C544" s="104"/>
      <c r="D544" s="104"/>
      <c r="E544" s="105"/>
      <c r="F544" s="104"/>
      <c r="G544" s="105"/>
      <c r="H544" s="105"/>
      <c r="I544" s="106"/>
      <c r="J544" s="104"/>
      <c r="K544" s="105"/>
      <c r="L544" s="105"/>
      <c r="M544" s="105"/>
      <c r="N544" s="111"/>
      <c r="O544" s="106"/>
      <c r="P544" s="105"/>
      <c r="Q544" s="105"/>
    </row>
    <row r="545" spans="1:17" x14ac:dyDescent="0.25">
      <c r="A545" s="103"/>
      <c r="B545" s="104"/>
      <c r="C545" s="104"/>
      <c r="D545" s="104"/>
      <c r="E545" s="105"/>
      <c r="F545" s="104"/>
      <c r="G545" s="105"/>
      <c r="H545" s="105"/>
      <c r="I545" s="106"/>
      <c r="J545" s="104"/>
      <c r="K545" s="105"/>
      <c r="L545" s="105"/>
      <c r="M545" s="105"/>
      <c r="N545" s="111"/>
      <c r="O545" s="106"/>
      <c r="P545" s="105"/>
      <c r="Q545" s="105"/>
    </row>
    <row r="546" spans="1:17" x14ac:dyDescent="0.25">
      <c r="A546" s="103"/>
      <c r="B546" s="104"/>
      <c r="C546" s="104"/>
      <c r="D546" s="104"/>
      <c r="E546" s="105"/>
      <c r="F546" s="104"/>
      <c r="G546" s="105"/>
      <c r="H546" s="105"/>
      <c r="I546" s="106"/>
      <c r="J546" s="104"/>
      <c r="K546" s="105"/>
      <c r="L546" s="105"/>
      <c r="M546" s="105"/>
      <c r="N546" s="111"/>
      <c r="O546" s="106"/>
      <c r="P546" s="105"/>
      <c r="Q546" s="105"/>
    </row>
    <row r="547" spans="1:17" x14ac:dyDescent="0.25">
      <c r="A547" s="103"/>
      <c r="B547" s="104"/>
      <c r="C547" s="104"/>
      <c r="D547" s="104"/>
      <c r="E547" s="105"/>
      <c r="F547" s="104"/>
      <c r="G547" s="105"/>
      <c r="H547" s="105"/>
      <c r="I547" s="106"/>
      <c r="J547" s="104"/>
      <c r="K547" s="105"/>
      <c r="L547" s="105"/>
      <c r="M547" s="105"/>
      <c r="N547" s="111"/>
      <c r="O547" s="106"/>
      <c r="P547" s="105"/>
      <c r="Q547" s="105"/>
    </row>
    <row r="548" spans="1:17" x14ac:dyDescent="0.25">
      <c r="A548" s="103"/>
      <c r="B548" s="104"/>
      <c r="C548" s="104"/>
      <c r="D548" s="104"/>
      <c r="E548" s="105"/>
      <c r="F548" s="104"/>
      <c r="G548" s="105"/>
      <c r="H548" s="105"/>
      <c r="I548" s="106"/>
      <c r="J548" s="104"/>
      <c r="K548" s="105"/>
      <c r="L548" s="105"/>
      <c r="M548" s="105"/>
      <c r="N548" s="111"/>
      <c r="O548" s="106"/>
      <c r="P548" s="105"/>
      <c r="Q548" s="105"/>
    </row>
    <row r="549" spans="1:17" x14ac:dyDescent="0.25">
      <c r="A549" s="103"/>
      <c r="B549" s="104"/>
      <c r="C549" s="104"/>
      <c r="D549" s="104"/>
      <c r="E549" s="105"/>
      <c r="F549" s="104"/>
      <c r="G549" s="105"/>
      <c r="H549" s="105"/>
      <c r="I549" s="106"/>
      <c r="J549" s="104"/>
      <c r="K549" s="105"/>
      <c r="L549" s="105"/>
      <c r="M549" s="105"/>
      <c r="N549" s="111"/>
      <c r="O549" s="106"/>
      <c r="P549" s="105"/>
      <c r="Q549" s="105"/>
    </row>
    <row r="550" spans="1:17" x14ac:dyDescent="0.25">
      <c r="A550" s="103"/>
      <c r="B550" s="104"/>
      <c r="C550" s="104"/>
      <c r="D550" s="104"/>
      <c r="E550" s="105"/>
      <c r="F550" s="104"/>
      <c r="G550" s="105"/>
      <c r="H550" s="105"/>
      <c r="I550" s="106"/>
      <c r="J550" s="104"/>
      <c r="K550" s="105"/>
      <c r="L550" s="105"/>
      <c r="M550" s="105"/>
      <c r="N550" s="111"/>
      <c r="O550" s="106"/>
      <c r="P550" s="105"/>
      <c r="Q550" s="105"/>
    </row>
    <row r="551" spans="1:17" x14ac:dyDescent="0.25">
      <c r="A551" s="103"/>
      <c r="B551" s="104"/>
      <c r="C551" s="104"/>
      <c r="D551" s="104"/>
      <c r="E551" s="105"/>
      <c r="F551" s="104"/>
      <c r="G551" s="105"/>
      <c r="H551" s="105"/>
      <c r="I551" s="106"/>
      <c r="J551" s="104"/>
      <c r="K551" s="105"/>
      <c r="L551" s="105"/>
      <c r="M551" s="105"/>
      <c r="N551" s="111"/>
      <c r="O551" s="106"/>
      <c r="P551" s="105"/>
      <c r="Q551" s="105"/>
    </row>
    <row r="552" spans="1:17" x14ac:dyDescent="0.25">
      <c r="A552" s="103"/>
      <c r="B552" s="104"/>
      <c r="C552" s="104"/>
      <c r="D552" s="104"/>
      <c r="E552" s="105"/>
      <c r="F552" s="104"/>
      <c r="G552" s="105"/>
      <c r="H552" s="105"/>
      <c r="I552" s="106"/>
      <c r="J552" s="104"/>
      <c r="K552" s="105"/>
      <c r="L552" s="105"/>
      <c r="M552" s="105"/>
      <c r="N552" s="111"/>
      <c r="O552" s="106"/>
      <c r="P552" s="105"/>
      <c r="Q552" s="105"/>
    </row>
    <row r="553" spans="1:17" x14ac:dyDescent="0.25">
      <c r="A553" s="103"/>
      <c r="B553" s="104"/>
      <c r="C553" s="104"/>
      <c r="D553" s="104"/>
      <c r="E553" s="105"/>
      <c r="F553" s="104"/>
      <c r="G553" s="105"/>
      <c r="H553" s="105"/>
      <c r="I553" s="106"/>
      <c r="J553" s="104"/>
      <c r="K553" s="105"/>
      <c r="L553" s="105"/>
      <c r="M553" s="105"/>
      <c r="N553" s="111"/>
      <c r="O553" s="106"/>
      <c r="P553" s="105"/>
      <c r="Q553" s="105"/>
    </row>
    <row r="554" spans="1:17" x14ac:dyDescent="0.25">
      <c r="A554" s="103"/>
      <c r="B554" s="104"/>
      <c r="C554" s="104"/>
      <c r="D554" s="104"/>
      <c r="E554" s="105"/>
      <c r="F554" s="104"/>
      <c r="G554" s="105"/>
      <c r="H554" s="105"/>
      <c r="I554" s="106"/>
      <c r="J554" s="104"/>
      <c r="K554" s="105"/>
      <c r="L554" s="105"/>
      <c r="M554" s="105"/>
      <c r="N554" s="111"/>
      <c r="O554" s="106"/>
      <c r="P554" s="105"/>
      <c r="Q554" s="105"/>
    </row>
    <row r="555" spans="1:17" x14ac:dyDescent="0.25">
      <c r="A555" s="103"/>
      <c r="B555" s="104"/>
      <c r="C555" s="104"/>
      <c r="D555" s="104"/>
      <c r="E555" s="105"/>
      <c r="F555" s="104"/>
      <c r="G555" s="105"/>
      <c r="H555" s="105"/>
      <c r="I555" s="106"/>
      <c r="J555" s="104"/>
      <c r="K555" s="105"/>
      <c r="L555" s="105"/>
      <c r="M555" s="105"/>
      <c r="N555" s="111"/>
      <c r="O555" s="106"/>
      <c r="P555" s="105"/>
      <c r="Q555" s="105"/>
    </row>
    <row r="556" spans="1:17" x14ac:dyDescent="0.25">
      <c r="A556" s="103"/>
      <c r="B556" s="104"/>
      <c r="C556" s="104"/>
      <c r="D556" s="104"/>
      <c r="E556" s="105"/>
      <c r="F556" s="104"/>
      <c r="G556" s="105"/>
      <c r="H556" s="105"/>
      <c r="I556" s="106"/>
      <c r="J556" s="104"/>
      <c r="K556" s="105"/>
      <c r="L556" s="105"/>
      <c r="M556" s="105"/>
      <c r="N556" s="111"/>
      <c r="O556" s="106"/>
      <c r="P556" s="105"/>
      <c r="Q556" s="105"/>
    </row>
    <row r="557" spans="1:17" x14ac:dyDescent="0.25">
      <c r="A557" s="103"/>
      <c r="B557" s="104"/>
      <c r="C557" s="104"/>
      <c r="D557" s="104"/>
      <c r="E557" s="105"/>
      <c r="F557" s="104"/>
      <c r="G557" s="105"/>
      <c r="H557" s="105"/>
      <c r="I557" s="106"/>
      <c r="J557" s="104"/>
      <c r="K557" s="105"/>
      <c r="L557" s="105"/>
      <c r="M557" s="105"/>
      <c r="N557" s="111"/>
      <c r="O557" s="106"/>
      <c r="P557" s="105"/>
      <c r="Q557" s="105"/>
    </row>
    <row r="558" spans="1:17" x14ac:dyDescent="0.25">
      <c r="A558" s="103"/>
      <c r="B558" s="104"/>
      <c r="C558" s="104"/>
      <c r="D558" s="104"/>
      <c r="E558" s="105"/>
      <c r="F558" s="104"/>
      <c r="G558" s="105"/>
      <c r="H558" s="105"/>
      <c r="I558" s="106"/>
      <c r="J558" s="104"/>
      <c r="K558" s="105"/>
      <c r="L558" s="105"/>
      <c r="M558" s="105"/>
      <c r="N558" s="111"/>
      <c r="O558" s="106"/>
      <c r="P558" s="105"/>
      <c r="Q558" s="105"/>
    </row>
    <row r="559" spans="1:17" x14ac:dyDescent="0.25">
      <c r="A559" s="103"/>
      <c r="B559" s="104"/>
      <c r="C559" s="104"/>
      <c r="D559" s="104"/>
      <c r="E559" s="105"/>
      <c r="F559" s="104"/>
      <c r="G559" s="105"/>
      <c r="H559" s="105"/>
      <c r="I559" s="106"/>
      <c r="J559" s="104"/>
      <c r="K559" s="105"/>
      <c r="L559" s="105"/>
      <c r="M559" s="105"/>
      <c r="N559" s="111"/>
      <c r="O559" s="106"/>
      <c r="P559" s="105"/>
      <c r="Q559" s="105"/>
    </row>
    <row r="560" spans="1:17" x14ac:dyDescent="0.25">
      <c r="A560" s="103"/>
      <c r="B560" s="104"/>
      <c r="C560" s="104"/>
      <c r="D560" s="104"/>
      <c r="E560" s="105"/>
      <c r="F560" s="104"/>
      <c r="G560" s="105"/>
      <c r="H560" s="105"/>
      <c r="I560" s="106"/>
      <c r="J560" s="104"/>
      <c r="K560" s="105"/>
      <c r="L560" s="105"/>
      <c r="M560" s="105"/>
      <c r="N560" s="111"/>
      <c r="O560" s="106"/>
      <c r="P560" s="105"/>
      <c r="Q560" s="105"/>
    </row>
    <row r="561" spans="1:17" x14ac:dyDescent="0.25">
      <c r="A561" s="103"/>
      <c r="B561" s="104"/>
      <c r="C561" s="104"/>
      <c r="D561" s="104"/>
      <c r="E561" s="105"/>
      <c r="F561" s="104"/>
      <c r="G561" s="105"/>
      <c r="H561" s="105"/>
      <c r="I561" s="106"/>
      <c r="J561" s="104"/>
      <c r="K561" s="105"/>
      <c r="L561" s="105"/>
      <c r="M561" s="105"/>
      <c r="N561" s="111"/>
      <c r="O561" s="106"/>
      <c r="P561" s="105"/>
      <c r="Q561" s="105"/>
    </row>
    <row r="562" spans="1:17" x14ac:dyDescent="0.25">
      <c r="A562" s="103"/>
      <c r="B562" s="104"/>
      <c r="C562" s="104"/>
      <c r="D562" s="104"/>
      <c r="E562" s="105"/>
      <c r="F562" s="104"/>
      <c r="G562" s="105"/>
      <c r="H562" s="105"/>
      <c r="I562" s="106"/>
      <c r="J562" s="104"/>
      <c r="K562" s="105"/>
      <c r="L562" s="105"/>
      <c r="M562" s="105"/>
      <c r="N562" s="111"/>
      <c r="O562" s="106"/>
      <c r="P562" s="105"/>
      <c r="Q562" s="105"/>
    </row>
    <row r="563" spans="1:17" x14ac:dyDescent="0.25">
      <c r="A563" s="103"/>
      <c r="B563" s="104"/>
      <c r="C563" s="104"/>
      <c r="D563" s="104"/>
      <c r="E563" s="105"/>
      <c r="F563" s="104"/>
      <c r="G563" s="105"/>
      <c r="H563" s="105"/>
      <c r="I563" s="106"/>
      <c r="J563" s="104"/>
      <c r="K563" s="105"/>
      <c r="L563" s="105"/>
      <c r="M563" s="105"/>
      <c r="N563" s="111"/>
      <c r="O563" s="106"/>
      <c r="P563" s="105"/>
      <c r="Q563" s="105"/>
    </row>
    <row r="564" spans="1:17" x14ac:dyDescent="0.25">
      <c r="A564" s="103"/>
      <c r="B564" s="104"/>
      <c r="C564" s="104"/>
      <c r="D564" s="104"/>
      <c r="E564" s="105"/>
      <c r="F564" s="104"/>
      <c r="G564" s="105"/>
      <c r="H564" s="105"/>
      <c r="I564" s="106"/>
      <c r="J564" s="104"/>
      <c r="K564" s="105"/>
      <c r="L564" s="105"/>
      <c r="M564" s="105"/>
      <c r="N564" s="111"/>
      <c r="O564" s="106"/>
      <c r="P564" s="105"/>
      <c r="Q564" s="105"/>
    </row>
    <row r="565" spans="1:17" x14ac:dyDescent="0.25">
      <c r="A565" s="103"/>
      <c r="B565" s="104"/>
      <c r="C565" s="104"/>
      <c r="D565" s="104"/>
      <c r="E565" s="105"/>
      <c r="F565" s="104"/>
      <c r="G565" s="105"/>
      <c r="H565" s="105"/>
      <c r="I565" s="106"/>
      <c r="J565" s="104"/>
      <c r="K565" s="105"/>
      <c r="L565" s="105"/>
      <c r="M565" s="105"/>
      <c r="N565" s="111"/>
      <c r="O565" s="106"/>
      <c r="P565" s="105"/>
      <c r="Q565" s="105"/>
    </row>
    <row r="566" spans="1:17" x14ac:dyDescent="0.25">
      <c r="A566" s="103"/>
      <c r="B566" s="104"/>
      <c r="C566" s="104"/>
      <c r="D566" s="104"/>
      <c r="E566" s="105"/>
      <c r="F566" s="104"/>
      <c r="G566" s="105"/>
      <c r="H566" s="105"/>
      <c r="I566" s="106"/>
      <c r="J566" s="104"/>
      <c r="K566" s="105"/>
      <c r="L566" s="105"/>
      <c r="M566" s="105"/>
      <c r="N566" s="111"/>
      <c r="O566" s="106"/>
      <c r="P566" s="105"/>
      <c r="Q566" s="105"/>
    </row>
    <row r="567" spans="1:17" x14ac:dyDescent="0.25">
      <c r="A567" s="103"/>
      <c r="B567" s="104"/>
      <c r="C567" s="104"/>
      <c r="D567" s="104"/>
      <c r="E567" s="105"/>
      <c r="F567" s="104"/>
      <c r="G567" s="105"/>
      <c r="H567" s="105"/>
      <c r="I567" s="106"/>
      <c r="J567" s="104"/>
      <c r="K567" s="105"/>
      <c r="L567" s="105"/>
      <c r="M567" s="105"/>
      <c r="N567" s="111"/>
      <c r="O567" s="106"/>
      <c r="P567" s="105"/>
      <c r="Q567" s="105"/>
    </row>
    <row r="568" spans="1:17" x14ac:dyDescent="0.25">
      <c r="A568" s="103"/>
      <c r="B568" s="104"/>
      <c r="C568" s="104"/>
      <c r="D568" s="104"/>
      <c r="E568" s="105"/>
      <c r="F568" s="104"/>
      <c r="G568" s="105"/>
      <c r="H568" s="105"/>
      <c r="I568" s="106"/>
      <c r="J568" s="104"/>
      <c r="K568" s="105"/>
      <c r="L568" s="105"/>
      <c r="M568" s="105"/>
      <c r="N568" s="111"/>
      <c r="O568" s="106"/>
      <c r="P568" s="105"/>
      <c r="Q568" s="105"/>
    </row>
    <row r="569" spans="1:17" x14ac:dyDescent="0.25">
      <c r="A569" s="103"/>
      <c r="B569" s="104"/>
      <c r="C569" s="104"/>
      <c r="D569" s="104"/>
      <c r="E569" s="105"/>
      <c r="F569" s="104"/>
      <c r="G569" s="105"/>
      <c r="H569" s="105"/>
      <c r="I569" s="106"/>
      <c r="J569" s="104"/>
      <c r="K569" s="105"/>
      <c r="L569" s="105"/>
      <c r="M569" s="105"/>
      <c r="N569" s="111"/>
      <c r="O569" s="106"/>
      <c r="P569" s="105"/>
      <c r="Q569" s="105"/>
    </row>
    <row r="570" spans="1:17" x14ac:dyDescent="0.25">
      <c r="A570" s="103"/>
      <c r="B570" s="104"/>
      <c r="C570" s="104"/>
      <c r="D570" s="104"/>
      <c r="E570" s="105"/>
      <c r="F570" s="104"/>
      <c r="G570" s="105"/>
      <c r="H570" s="105"/>
      <c r="I570" s="106"/>
      <c r="J570" s="104"/>
      <c r="K570" s="105"/>
      <c r="L570" s="105"/>
      <c r="M570" s="105"/>
      <c r="N570" s="111"/>
      <c r="O570" s="106"/>
      <c r="P570" s="105"/>
      <c r="Q570" s="105"/>
    </row>
    <row r="571" spans="1:17" x14ac:dyDescent="0.25">
      <c r="A571" s="103"/>
      <c r="B571" s="104"/>
      <c r="C571" s="104"/>
      <c r="D571" s="104"/>
      <c r="E571" s="105"/>
      <c r="F571" s="104"/>
      <c r="G571" s="105"/>
      <c r="H571" s="105"/>
      <c r="I571" s="106"/>
      <c r="J571" s="104"/>
      <c r="K571" s="105"/>
      <c r="L571" s="105"/>
      <c r="M571" s="105"/>
      <c r="N571" s="111"/>
      <c r="O571" s="106"/>
      <c r="P571" s="105"/>
      <c r="Q571" s="105"/>
    </row>
    <row r="572" spans="1:17" x14ac:dyDescent="0.25">
      <c r="A572" s="103"/>
      <c r="B572" s="104"/>
      <c r="C572" s="104"/>
      <c r="D572" s="104"/>
      <c r="E572" s="105"/>
      <c r="F572" s="104"/>
      <c r="G572" s="105"/>
      <c r="H572" s="105"/>
      <c r="I572" s="106"/>
      <c r="J572" s="104"/>
      <c r="K572" s="105"/>
      <c r="L572" s="105"/>
      <c r="M572" s="105"/>
      <c r="N572" s="111"/>
      <c r="O572" s="106"/>
      <c r="P572" s="105"/>
      <c r="Q572" s="105"/>
    </row>
    <row r="573" spans="1:17" x14ac:dyDescent="0.25">
      <c r="A573" s="103"/>
      <c r="B573" s="104"/>
      <c r="C573" s="104"/>
      <c r="D573" s="104"/>
      <c r="E573" s="105"/>
      <c r="F573" s="104"/>
      <c r="G573" s="105"/>
      <c r="H573" s="105"/>
      <c r="I573" s="106"/>
      <c r="J573" s="104"/>
      <c r="K573" s="105"/>
      <c r="L573" s="105"/>
      <c r="M573" s="105"/>
      <c r="N573" s="111"/>
      <c r="O573" s="106"/>
      <c r="P573" s="105"/>
      <c r="Q573" s="105"/>
    </row>
    <row r="574" spans="1:17" x14ac:dyDescent="0.25">
      <c r="A574" s="103"/>
      <c r="B574" s="104"/>
      <c r="C574" s="104"/>
      <c r="D574" s="104"/>
      <c r="E574" s="105"/>
      <c r="F574" s="104"/>
      <c r="G574" s="105"/>
      <c r="H574" s="105"/>
      <c r="I574" s="106"/>
      <c r="J574" s="104"/>
      <c r="K574" s="105"/>
      <c r="L574" s="105"/>
      <c r="M574" s="105"/>
      <c r="N574" s="111"/>
      <c r="O574" s="106"/>
      <c r="P574" s="105"/>
      <c r="Q574" s="105"/>
    </row>
    <row r="575" spans="1:17" x14ac:dyDescent="0.25">
      <c r="A575" s="103"/>
      <c r="B575" s="104"/>
      <c r="C575" s="104"/>
      <c r="D575" s="104"/>
      <c r="E575" s="105"/>
      <c r="F575" s="104"/>
      <c r="G575" s="105"/>
      <c r="H575" s="105"/>
      <c r="I575" s="106"/>
      <c r="J575" s="104"/>
      <c r="K575" s="105"/>
      <c r="L575" s="105"/>
      <c r="M575" s="105"/>
      <c r="N575" s="111"/>
      <c r="O575" s="106"/>
      <c r="P575" s="105"/>
      <c r="Q575" s="105"/>
    </row>
    <row r="576" spans="1:17" x14ac:dyDescent="0.25">
      <c r="A576" s="103"/>
      <c r="B576" s="104"/>
      <c r="C576" s="104"/>
      <c r="D576" s="104"/>
      <c r="E576" s="105"/>
      <c r="F576" s="104"/>
      <c r="G576" s="105"/>
      <c r="H576" s="105"/>
      <c r="I576" s="106"/>
      <c r="J576" s="104"/>
      <c r="K576" s="105"/>
      <c r="L576" s="105"/>
      <c r="M576" s="105"/>
      <c r="N576" s="111"/>
      <c r="O576" s="106"/>
      <c r="P576" s="105"/>
      <c r="Q576" s="105"/>
    </row>
    <row r="577" spans="1:17" x14ac:dyDescent="0.25">
      <c r="A577" s="103"/>
      <c r="B577" s="104"/>
      <c r="C577" s="104"/>
      <c r="D577" s="104"/>
      <c r="E577" s="105"/>
      <c r="F577" s="104"/>
      <c r="G577" s="105"/>
      <c r="H577" s="105"/>
      <c r="I577" s="106"/>
      <c r="J577" s="104"/>
      <c r="K577" s="105"/>
      <c r="L577" s="105"/>
      <c r="M577" s="105"/>
      <c r="N577" s="111"/>
      <c r="O577" s="106"/>
      <c r="P577" s="105"/>
      <c r="Q577" s="105"/>
    </row>
    <row r="578" spans="1:17" x14ac:dyDescent="0.25">
      <c r="A578" s="103"/>
      <c r="B578" s="104"/>
      <c r="C578" s="104"/>
      <c r="D578" s="104"/>
      <c r="E578" s="105"/>
      <c r="F578" s="104"/>
      <c r="G578" s="105"/>
      <c r="H578" s="105"/>
      <c r="I578" s="106"/>
      <c r="J578" s="104"/>
      <c r="K578" s="105"/>
      <c r="L578" s="105"/>
      <c r="M578" s="105"/>
      <c r="N578" s="111"/>
      <c r="O578" s="106"/>
      <c r="P578" s="105"/>
      <c r="Q578" s="105"/>
    </row>
    <row r="579" spans="1:17" x14ac:dyDescent="0.25">
      <c r="A579" s="103"/>
      <c r="B579" s="104"/>
      <c r="C579" s="104"/>
      <c r="D579" s="104"/>
      <c r="E579" s="105"/>
      <c r="F579" s="104"/>
      <c r="G579" s="105"/>
      <c r="H579" s="105"/>
      <c r="I579" s="106"/>
      <c r="J579" s="104"/>
      <c r="K579" s="105"/>
      <c r="L579" s="105"/>
      <c r="M579" s="105"/>
      <c r="N579" s="111"/>
      <c r="O579" s="106"/>
      <c r="P579" s="105"/>
      <c r="Q579" s="105"/>
    </row>
    <row r="580" spans="1:17" x14ac:dyDescent="0.25">
      <c r="A580" s="103"/>
      <c r="B580" s="104"/>
      <c r="C580" s="104"/>
      <c r="D580" s="104"/>
      <c r="E580" s="105"/>
      <c r="F580" s="104"/>
      <c r="G580" s="105"/>
      <c r="H580" s="105"/>
      <c r="I580" s="106"/>
      <c r="J580" s="104"/>
      <c r="K580" s="105"/>
      <c r="L580" s="105"/>
      <c r="M580" s="105"/>
      <c r="N580" s="111"/>
      <c r="O580" s="106"/>
      <c r="P580" s="105"/>
      <c r="Q580" s="105"/>
    </row>
    <row r="581" spans="1:17" x14ac:dyDescent="0.25">
      <c r="A581" s="103"/>
      <c r="B581" s="104"/>
      <c r="C581" s="104"/>
      <c r="D581" s="104"/>
      <c r="E581" s="105"/>
      <c r="F581" s="104"/>
      <c r="G581" s="105"/>
      <c r="H581" s="105"/>
      <c r="I581" s="106"/>
      <c r="J581" s="104"/>
      <c r="K581" s="105"/>
      <c r="L581" s="105"/>
      <c r="M581" s="105"/>
      <c r="N581" s="111"/>
      <c r="O581" s="106"/>
      <c r="P581" s="105"/>
      <c r="Q581" s="105"/>
    </row>
    <row r="582" spans="1:17" x14ac:dyDescent="0.25">
      <c r="A582" s="103"/>
      <c r="B582" s="104"/>
      <c r="C582" s="104"/>
      <c r="D582" s="104"/>
      <c r="E582" s="105"/>
      <c r="F582" s="104"/>
      <c r="G582" s="105"/>
      <c r="H582" s="105"/>
      <c r="I582" s="106"/>
      <c r="J582" s="104"/>
      <c r="K582" s="105"/>
      <c r="L582" s="105"/>
      <c r="M582" s="105"/>
      <c r="N582" s="111"/>
      <c r="O582" s="106"/>
      <c r="P582" s="105"/>
      <c r="Q582" s="105"/>
    </row>
    <row r="583" spans="1:17" x14ac:dyDescent="0.25">
      <c r="A583" s="103"/>
      <c r="B583" s="104"/>
      <c r="C583" s="104"/>
      <c r="D583" s="104"/>
      <c r="E583" s="105"/>
      <c r="F583" s="104"/>
      <c r="G583" s="105"/>
      <c r="H583" s="105"/>
      <c r="I583" s="106"/>
      <c r="J583" s="104"/>
      <c r="K583" s="105"/>
      <c r="L583" s="105"/>
      <c r="M583" s="105"/>
      <c r="N583" s="111"/>
      <c r="O583" s="106"/>
      <c r="P583" s="105"/>
      <c r="Q583" s="105"/>
    </row>
    <row r="584" spans="1:17" x14ac:dyDescent="0.25">
      <c r="A584" s="103"/>
      <c r="B584" s="104"/>
      <c r="C584" s="104"/>
      <c r="D584" s="104"/>
      <c r="E584" s="105"/>
      <c r="F584" s="104"/>
      <c r="G584" s="105"/>
      <c r="H584" s="105"/>
      <c r="I584" s="106"/>
      <c r="J584" s="104"/>
      <c r="K584" s="105"/>
      <c r="L584" s="105"/>
      <c r="M584" s="105"/>
      <c r="N584" s="111"/>
      <c r="O584" s="106"/>
      <c r="P584" s="105"/>
      <c r="Q584" s="105"/>
    </row>
    <row r="585" spans="1:17" x14ac:dyDescent="0.25">
      <c r="A585" s="103"/>
      <c r="B585" s="104"/>
      <c r="C585" s="104"/>
      <c r="D585" s="104"/>
      <c r="E585" s="105"/>
      <c r="F585" s="104"/>
      <c r="G585" s="105"/>
      <c r="H585" s="105"/>
      <c r="I585" s="106"/>
      <c r="J585" s="104"/>
      <c r="K585" s="105"/>
      <c r="L585" s="105"/>
      <c r="M585" s="105"/>
      <c r="N585" s="111"/>
      <c r="O585" s="106"/>
      <c r="P585" s="105"/>
      <c r="Q585" s="105"/>
    </row>
    <row r="586" spans="1:17" x14ac:dyDescent="0.25">
      <c r="A586" s="103"/>
      <c r="B586" s="104"/>
      <c r="C586" s="104"/>
      <c r="D586" s="104"/>
      <c r="E586" s="105"/>
      <c r="F586" s="104"/>
      <c r="G586" s="105"/>
      <c r="H586" s="105"/>
      <c r="I586" s="106"/>
      <c r="J586" s="104"/>
      <c r="K586" s="105"/>
      <c r="L586" s="105"/>
      <c r="M586" s="105"/>
      <c r="N586" s="111"/>
      <c r="O586" s="106"/>
      <c r="P586" s="105"/>
      <c r="Q586" s="105"/>
    </row>
    <row r="587" spans="1:17" x14ac:dyDescent="0.25">
      <c r="A587" s="103"/>
      <c r="B587" s="104"/>
      <c r="C587" s="104"/>
      <c r="D587" s="104"/>
      <c r="E587" s="105"/>
      <c r="F587" s="104"/>
      <c r="G587" s="105"/>
      <c r="H587" s="105"/>
      <c r="I587" s="106"/>
      <c r="J587" s="104"/>
      <c r="K587" s="105"/>
      <c r="L587" s="105"/>
      <c r="M587" s="105"/>
      <c r="N587" s="111"/>
      <c r="O587" s="106"/>
      <c r="P587" s="105"/>
      <c r="Q587" s="105"/>
    </row>
    <row r="588" spans="1:17" x14ac:dyDescent="0.25">
      <c r="A588" s="103"/>
      <c r="B588" s="104"/>
      <c r="C588" s="104"/>
      <c r="D588" s="104"/>
      <c r="E588" s="105"/>
      <c r="F588" s="104"/>
      <c r="G588" s="105"/>
      <c r="H588" s="105"/>
      <c r="I588" s="106"/>
      <c r="J588" s="104"/>
      <c r="K588" s="105"/>
      <c r="L588" s="105"/>
      <c r="M588" s="105"/>
      <c r="N588" s="111"/>
      <c r="O588" s="106"/>
      <c r="P588" s="105"/>
      <c r="Q588" s="105"/>
    </row>
    <row r="589" spans="1:17" x14ac:dyDescent="0.25">
      <c r="A589" s="103"/>
      <c r="B589" s="104"/>
      <c r="C589" s="104"/>
      <c r="D589" s="104"/>
      <c r="E589" s="105"/>
      <c r="F589" s="104"/>
      <c r="G589" s="105"/>
      <c r="H589" s="105"/>
      <c r="I589" s="106"/>
      <c r="J589" s="104"/>
      <c r="K589" s="105"/>
      <c r="L589" s="105"/>
      <c r="M589" s="105"/>
      <c r="N589" s="111"/>
      <c r="O589" s="106"/>
      <c r="P589" s="105"/>
      <c r="Q589" s="105"/>
    </row>
    <row r="590" spans="1:17" x14ac:dyDescent="0.25">
      <c r="A590" s="103"/>
      <c r="B590" s="104"/>
      <c r="C590" s="104"/>
      <c r="D590" s="104"/>
      <c r="E590" s="105"/>
      <c r="F590" s="104"/>
      <c r="G590" s="105"/>
      <c r="H590" s="105"/>
      <c r="I590" s="106"/>
      <c r="J590" s="104"/>
      <c r="K590" s="105"/>
      <c r="L590" s="105"/>
      <c r="M590" s="105"/>
      <c r="N590" s="111"/>
      <c r="O590" s="106"/>
      <c r="P590" s="105"/>
      <c r="Q590" s="105"/>
    </row>
    <row r="591" spans="1:17" x14ac:dyDescent="0.25">
      <c r="A591" s="103"/>
      <c r="B591" s="104"/>
      <c r="C591" s="104"/>
      <c r="D591" s="104"/>
      <c r="E591" s="105"/>
      <c r="F591" s="104"/>
      <c r="G591" s="105"/>
      <c r="H591" s="105"/>
      <c r="I591" s="106"/>
      <c r="J591" s="104"/>
      <c r="K591" s="105"/>
      <c r="L591" s="105"/>
      <c r="M591" s="105"/>
      <c r="N591" s="111"/>
      <c r="O591" s="106"/>
      <c r="P591" s="105"/>
      <c r="Q591" s="105"/>
    </row>
    <row r="592" spans="1:17" x14ac:dyDescent="0.25">
      <c r="A592" s="103"/>
      <c r="B592" s="104"/>
      <c r="C592" s="104"/>
      <c r="D592" s="104"/>
      <c r="E592" s="105"/>
      <c r="F592" s="104"/>
      <c r="G592" s="105"/>
      <c r="H592" s="105"/>
      <c r="I592" s="106"/>
      <c r="J592" s="104"/>
      <c r="K592" s="105"/>
      <c r="L592" s="105"/>
      <c r="M592" s="105"/>
      <c r="N592" s="111"/>
      <c r="O592" s="106"/>
      <c r="P592" s="105"/>
      <c r="Q592" s="105"/>
    </row>
    <row r="593" spans="1:17" x14ac:dyDescent="0.25">
      <c r="A593" s="103"/>
      <c r="B593" s="104"/>
      <c r="C593" s="104"/>
      <c r="D593" s="104"/>
      <c r="E593" s="105"/>
      <c r="F593" s="104"/>
      <c r="G593" s="105"/>
      <c r="H593" s="105"/>
      <c r="I593" s="106"/>
      <c r="J593" s="104"/>
      <c r="K593" s="105"/>
      <c r="L593" s="105"/>
      <c r="M593" s="105"/>
      <c r="N593" s="111"/>
      <c r="O593" s="106"/>
      <c r="P593" s="105"/>
      <c r="Q593" s="105"/>
    </row>
    <row r="594" spans="1:17" x14ac:dyDescent="0.25">
      <c r="A594" s="103"/>
      <c r="B594" s="104"/>
      <c r="C594" s="104"/>
      <c r="D594" s="104"/>
      <c r="E594" s="105"/>
      <c r="F594" s="104"/>
      <c r="G594" s="105"/>
      <c r="H594" s="105"/>
      <c r="I594" s="106"/>
      <c r="J594" s="104"/>
      <c r="K594" s="105"/>
      <c r="L594" s="105"/>
      <c r="M594" s="105"/>
      <c r="N594" s="111"/>
      <c r="O594" s="106"/>
      <c r="P594" s="105"/>
      <c r="Q594" s="105"/>
    </row>
    <row r="595" spans="1:17" x14ac:dyDescent="0.25">
      <c r="A595" s="103"/>
      <c r="B595" s="104"/>
      <c r="C595" s="104"/>
      <c r="D595" s="104"/>
      <c r="E595" s="105"/>
      <c r="F595" s="104"/>
      <c r="G595" s="105"/>
      <c r="H595" s="105"/>
      <c r="I595" s="106"/>
      <c r="J595" s="104"/>
      <c r="K595" s="105"/>
      <c r="L595" s="105"/>
      <c r="M595" s="105"/>
      <c r="N595" s="111"/>
      <c r="O595" s="106"/>
      <c r="P595" s="105"/>
      <c r="Q595" s="105"/>
    </row>
    <row r="596" spans="1:17" x14ac:dyDescent="0.25">
      <c r="A596" s="103"/>
      <c r="B596" s="104"/>
      <c r="C596" s="104"/>
      <c r="D596" s="104"/>
      <c r="E596" s="105"/>
      <c r="F596" s="104"/>
      <c r="G596" s="105"/>
      <c r="H596" s="105"/>
      <c r="I596" s="106"/>
      <c r="J596" s="104"/>
      <c r="K596" s="105"/>
      <c r="L596" s="105"/>
      <c r="M596" s="105"/>
      <c r="N596" s="111"/>
      <c r="O596" s="106"/>
      <c r="P596" s="105"/>
      <c r="Q596" s="105"/>
    </row>
    <row r="597" spans="1:17" x14ac:dyDescent="0.25">
      <c r="A597" s="103"/>
      <c r="B597" s="104"/>
      <c r="C597" s="104"/>
      <c r="D597" s="104"/>
      <c r="E597" s="105"/>
      <c r="F597" s="104"/>
      <c r="G597" s="105"/>
      <c r="H597" s="105"/>
      <c r="I597" s="106"/>
      <c r="J597" s="104"/>
      <c r="K597" s="105"/>
      <c r="L597" s="105"/>
      <c r="M597" s="105"/>
      <c r="N597" s="111"/>
      <c r="O597" s="106"/>
      <c r="P597" s="105"/>
      <c r="Q597" s="105"/>
    </row>
    <row r="598" spans="1:17" x14ac:dyDescent="0.25">
      <c r="A598" s="103"/>
      <c r="B598" s="104"/>
      <c r="C598" s="104"/>
      <c r="D598" s="104"/>
      <c r="E598" s="105"/>
      <c r="F598" s="104"/>
      <c r="G598" s="105"/>
      <c r="H598" s="105"/>
      <c r="I598" s="106"/>
      <c r="J598" s="104"/>
      <c r="K598" s="105"/>
      <c r="L598" s="105"/>
      <c r="M598" s="105"/>
      <c r="N598" s="111"/>
      <c r="O598" s="106"/>
      <c r="P598" s="105"/>
      <c r="Q598" s="105"/>
    </row>
    <row r="599" spans="1:17" x14ac:dyDescent="0.25">
      <c r="A599" s="103"/>
      <c r="B599" s="104"/>
      <c r="C599" s="104"/>
      <c r="D599" s="104"/>
      <c r="E599" s="105"/>
      <c r="F599" s="104"/>
      <c r="G599" s="105"/>
      <c r="H599" s="105"/>
      <c r="I599" s="106"/>
      <c r="J599" s="104"/>
      <c r="K599" s="105"/>
      <c r="L599" s="105"/>
      <c r="M599" s="105"/>
      <c r="N599" s="111"/>
      <c r="O599" s="106"/>
      <c r="P599" s="105"/>
      <c r="Q599" s="105"/>
    </row>
    <row r="600" spans="1:17" x14ac:dyDescent="0.25">
      <c r="A600" s="103"/>
      <c r="B600" s="104"/>
      <c r="C600" s="104"/>
      <c r="D600" s="104"/>
      <c r="E600" s="105"/>
      <c r="F600" s="104"/>
      <c r="G600" s="105"/>
      <c r="H600" s="105"/>
      <c r="I600" s="106"/>
      <c r="J600" s="104"/>
      <c r="K600" s="105"/>
      <c r="L600" s="105"/>
      <c r="M600" s="105"/>
      <c r="N600" s="111"/>
      <c r="O600" s="106"/>
      <c r="P600" s="105"/>
      <c r="Q600" s="105"/>
    </row>
    <row r="601" spans="1:17" x14ac:dyDescent="0.25">
      <c r="A601" s="103"/>
      <c r="B601" s="104"/>
      <c r="C601" s="104"/>
      <c r="D601" s="104"/>
      <c r="E601" s="105"/>
      <c r="F601" s="104"/>
      <c r="G601" s="105"/>
      <c r="H601" s="105"/>
      <c r="I601" s="106"/>
      <c r="J601" s="104"/>
      <c r="K601" s="105"/>
      <c r="L601" s="105"/>
      <c r="M601" s="105"/>
      <c r="N601" s="111"/>
      <c r="O601" s="106"/>
      <c r="P601" s="105"/>
      <c r="Q601" s="105"/>
    </row>
    <row r="602" spans="1:17" x14ac:dyDescent="0.25">
      <c r="A602" s="103"/>
      <c r="B602" s="104"/>
      <c r="C602" s="104"/>
      <c r="D602" s="104"/>
      <c r="E602" s="105"/>
      <c r="F602" s="104"/>
      <c r="G602" s="105"/>
      <c r="H602" s="105"/>
      <c r="I602" s="106"/>
      <c r="J602" s="104"/>
      <c r="K602" s="105"/>
      <c r="L602" s="105"/>
      <c r="M602" s="105"/>
      <c r="N602" s="111"/>
      <c r="O602" s="106"/>
      <c r="P602" s="105"/>
      <c r="Q602" s="105"/>
    </row>
    <row r="603" spans="1:17" x14ac:dyDescent="0.25">
      <c r="A603" s="103"/>
      <c r="B603" s="104"/>
      <c r="C603" s="104"/>
      <c r="D603" s="104"/>
      <c r="E603" s="105"/>
      <c r="F603" s="104"/>
      <c r="G603" s="105"/>
      <c r="H603" s="105"/>
      <c r="I603" s="106"/>
      <c r="J603" s="104"/>
      <c r="K603" s="105"/>
      <c r="L603" s="105"/>
      <c r="M603" s="105"/>
      <c r="N603" s="111"/>
      <c r="O603" s="106"/>
      <c r="P603" s="105"/>
      <c r="Q603" s="105"/>
    </row>
    <row r="604" spans="1:17" x14ac:dyDescent="0.25">
      <c r="A604" s="103"/>
      <c r="B604" s="104"/>
      <c r="C604" s="104"/>
      <c r="D604" s="104"/>
      <c r="E604" s="105"/>
      <c r="F604" s="104"/>
      <c r="G604" s="105"/>
      <c r="H604" s="105"/>
      <c r="I604" s="106"/>
      <c r="J604" s="104"/>
      <c r="K604" s="105"/>
      <c r="L604" s="105"/>
      <c r="M604" s="105"/>
      <c r="N604" s="111"/>
      <c r="O604" s="106"/>
      <c r="P604" s="105"/>
      <c r="Q604" s="105"/>
    </row>
    <row r="605" spans="1:17" x14ac:dyDescent="0.25">
      <c r="A605" s="103"/>
      <c r="B605" s="104"/>
      <c r="C605" s="104"/>
      <c r="D605" s="104"/>
      <c r="E605" s="105"/>
      <c r="F605" s="104"/>
      <c r="G605" s="105"/>
      <c r="H605" s="105"/>
      <c r="I605" s="106"/>
      <c r="J605" s="104"/>
      <c r="K605" s="105"/>
      <c r="L605" s="105"/>
      <c r="M605" s="105"/>
      <c r="N605" s="111"/>
      <c r="O605" s="106"/>
      <c r="P605" s="105"/>
      <c r="Q605" s="105"/>
    </row>
    <row r="606" spans="1:17" x14ac:dyDescent="0.25">
      <c r="A606" s="103"/>
      <c r="B606" s="104"/>
      <c r="C606" s="104"/>
      <c r="D606" s="104"/>
      <c r="E606" s="105"/>
      <c r="F606" s="104"/>
      <c r="G606" s="105"/>
      <c r="H606" s="105"/>
      <c r="I606" s="106"/>
      <c r="J606" s="104"/>
      <c r="K606" s="105"/>
      <c r="L606" s="105"/>
      <c r="M606" s="105"/>
      <c r="N606" s="111"/>
      <c r="O606" s="106"/>
      <c r="P606" s="105"/>
      <c r="Q606" s="105"/>
    </row>
    <row r="607" spans="1:17" x14ac:dyDescent="0.25">
      <c r="A607" s="103"/>
      <c r="B607" s="104"/>
      <c r="C607" s="104"/>
      <c r="D607" s="104"/>
      <c r="E607" s="105"/>
      <c r="F607" s="104"/>
      <c r="G607" s="105"/>
      <c r="H607" s="105"/>
      <c r="I607" s="106"/>
      <c r="J607" s="104"/>
      <c r="K607" s="105"/>
      <c r="L607" s="105"/>
      <c r="M607" s="105"/>
      <c r="N607" s="111"/>
      <c r="O607" s="106"/>
      <c r="P607" s="105"/>
      <c r="Q607" s="105"/>
    </row>
    <row r="608" spans="1:17" x14ac:dyDescent="0.25">
      <c r="A608" s="103"/>
      <c r="B608" s="104"/>
      <c r="C608" s="104"/>
      <c r="D608" s="104"/>
      <c r="E608" s="105"/>
      <c r="F608" s="104"/>
      <c r="G608" s="105"/>
      <c r="H608" s="105"/>
      <c r="I608" s="106"/>
      <c r="J608" s="104"/>
      <c r="K608" s="105"/>
      <c r="L608" s="105"/>
      <c r="M608" s="105"/>
      <c r="N608" s="111"/>
      <c r="O608" s="106"/>
      <c r="P608" s="105"/>
      <c r="Q608" s="105"/>
    </row>
    <row r="609" spans="1:17" x14ac:dyDescent="0.25">
      <c r="A609" s="103"/>
      <c r="B609" s="104"/>
      <c r="C609" s="104"/>
      <c r="D609" s="104"/>
      <c r="E609" s="105"/>
      <c r="F609" s="104"/>
      <c r="G609" s="105"/>
      <c r="H609" s="105"/>
      <c r="I609" s="106"/>
      <c r="J609" s="104"/>
      <c r="K609" s="105"/>
      <c r="L609" s="105"/>
      <c r="M609" s="105"/>
      <c r="N609" s="111"/>
      <c r="O609" s="106"/>
      <c r="P609" s="105"/>
      <c r="Q609" s="105"/>
    </row>
    <row r="610" spans="1:17" x14ac:dyDescent="0.25">
      <c r="A610" s="103"/>
      <c r="B610" s="104"/>
      <c r="C610" s="104"/>
      <c r="D610" s="104"/>
      <c r="E610" s="105"/>
      <c r="F610" s="104"/>
      <c r="G610" s="105"/>
      <c r="H610" s="105"/>
      <c r="I610" s="106"/>
      <c r="J610" s="104"/>
      <c r="K610" s="105"/>
      <c r="L610" s="105"/>
      <c r="M610" s="105"/>
      <c r="N610" s="111"/>
      <c r="O610" s="106"/>
      <c r="P610" s="105"/>
      <c r="Q610" s="105"/>
    </row>
    <row r="611" spans="1:17" x14ac:dyDescent="0.25">
      <c r="A611" s="103"/>
      <c r="B611" s="104"/>
      <c r="C611" s="104"/>
      <c r="D611" s="104"/>
      <c r="E611" s="105"/>
      <c r="F611" s="104"/>
      <c r="G611" s="105"/>
      <c r="H611" s="105"/>
      <c r="I611" s="106"/>
      <c r="J611" s="104"/>
      <c r="K611" s="105"/>
      <c r="L611" s="105"/>
      <c r="M611" s="105"/>
      <c r="N611" s="111"/>
      <c r="O611" s="106"/>
      <c r="P611" s="105"/>
      <c r="Q611" s="105"/>
    </row>
    <row r="612" spans="1:17" x14ac:dyDescent="0.25">
      <c r="A612" s="103"/>
      <c r="B612" s="104"/>
      <c r="C612" s="104"/>
      <c r="D612" s="104"/>
      <c r="E612" s="105"/>
      <c r="F612" s="104"/>
      <c r="G612" s="105"/>
      <c r="H612" s="105"/>
      <c r="I612" s="106"/>
      <c r="J612" s="104"/>
      <c r="K612" s="105"/>
      <c r="L612" s="105"/>
      <c r="M612" s="105"/>
      <c r="N612" s="111"/>
      <c r="O612" s="106"/>
      <c r="P612" s="105"/>
      <c r="Q612" s="105"/>
    </row>
    <row r="613" spans="1:17" x14ac:dyDescent="0.25">
      <c r="A613" s="103"/>
      <c r="B613" s="104"/>
      <c r="C613" s="104"/>
      <c r="D613" s="104"/>
      <c r="E613" s="105"/>
      <c r="F613" s="104"/>
      <c r="G613" s="105"/>
      <c r="H613" s="105"/>
      <c r="I613" s="106"/>
      <c r="J613" s="104"/>
      <c r="K613" s="105"/>
      <c r="L613" s="105"/>
      <c r="M613" s="105"/>
      <c r="N613" s="111"/>
      <c r="O613" s="106"/>
      <c r="P613" s="105"/>
      <c r="Q613" s="105"/>
    </row>
    <row r="614" spans="1:17" x14ac:dyDescent="0.25">
      <c r="A614" s="103"/>
      <c r="B614" s="104"/>
      <c r="C614" s="104"/>
      <c r="D614" s="104"/>
      <c r="E614" s="105"/>
      <c r="F614" s="104"/>
      <c r="G614" s="105"/>
      <c r="H614" s="105"/>
      <c r="I614" s="106"/>
      <c r="J614" s="104"/>
      <c r="K614" s="105"/>
      <c r="L614" s="105"/>
      <c r="M614" s="105"/>
      <c r="N614" s="111"/>
      <c r="O614" s="106"/>
      <c r="P614" s="105"/>
      <c r="Q614" s="105"/>
    </row>
    <row r="615" spans="1:17" x14ac:dyDescent="0.25">
      <c r="A615" s="103"/>
      <c r="B615" s="104"/>
      <c r="C615" s="104"/>
      <c r="D615" s="104"/>
      <c r="E615" s="105"/>
      <c r="F615" s="104"/>
      <c r="G615" s="105"/>
      <c r="H615" s="105"/>
      <c r="I615" s="106"/>
      <c r="J615" s="104"/>
      <c r="K615" s="105"/>
      <c r="L615" s="105"/>
      <c r="M615" s="105"/>
      <c r="N615" s="111"/>
      <c r="O615" s="106"/>
      <c r="P615" s="105"/>
      <c r="Q615" s="105"/>
    </row>
    <row r="616" spans="1:17" x14ac:dyDescent="0.25">
      <c r="A616" s="103"/>
      <c r="B616" s="104"/>
      <c r="C616" s="104"/>
      <c r="D616" s="104"/>
      <c r="E616" s="105"/>
      <c r="F616" s="104"/>
      <c r="G616" s="105"/>
      <c r="H616" s="105"/>
      <c r="I616" s="106"/>
      <c r="J616" s="104"/>
      <c r="K616" s="105"/>
      <c r="L616" s="105"/>
      <c r="M616" s="105"/>
      <c r="N616" s="111"/>
      <c r="O616" s="106"/>
      <c r="P616" s="105"/>
      <c r="Q616" s="105"/>
    </row>
    <row r="617" spans="1:17" x14ac:dyDescent="0.25">
      <c r="A617" s="103"/>
      <c r="B617" s="104"/>
      <c r="C617" s="104"/>
      <c r="D617" s="104"/>
      <c r="E617" s="105"/>
      <c r="F617" s="104"/>
      <c r="G617" s="105"/>
      <c r="H617" s="105"/>
      <c r="I617" s="106"/>
      <c r="J617" s="104"/>
      <c r="K617" s="105"/>
      <c r="L617" s="105"/>
      <c r="M617" s="105"/>
      <c r="N617" s="111"/>
      <c r="O617" s="106"/>
      <c r="P617" s="105"/>
      <c r="Q617" s="105"/>
    </row>
    <row r="618" spans="1:17" x14ac:dyDescent="0.25">
      <c r="A618" s="103"/>
      <c r="B618" s="104"/>
      <c r="C618" s="104"/>
      <c r="D618" s="104"/>
      <c r="E618" s="105"/>
      <c r="F618" s="104"/>
      <c r="G618" s="105"/>
      <c r="H618" s="105"/>
      <c r="I618" s="106"/>
      <c r="J618" s="104"/>
      <c r="K618" s="105"/>
      <c r="L618" s="105"/>
      <c r="M618" s="105"/>
      <c r="N618" s="111"/>
      <c r="O618" s="106"/>
      <c r="P618" s="105"/>
      <c r="Q618" s="105"/>
    </row>
    <row r="619" spans="1:17" x14ac:dyDescent="0.25">
      <c r="A619" s="103"/>
      <c r="B619" s="104"/>
      <c r="C619" s="104"/>
      <c r="D619" s="104"/>
      <c r="E619" s="105"/>
      <c r="F619" s="104"/>
      <c r="G619" s="105"/>
      <c r="H619" s="105"/>
      <c r="I619" s="106"/>
      <c r="J619" s="104"/>
      <c r="K619" s="105"/>
      <c r="L619" s="105"/>
      <c r="M619" s="105"/>
      <c r="N619" s="111"/>
      <c r="O619" s="106"/>
      <c r="P619" s="105"/>
      <c r="Q619" s="105"/>
    </row>
    <row r="620" spans="1:17" x14ac:dyDescent="0.25">
      <c r="A620" s="103"/>
      <c r="B620" s="104"/>
      <c r="C620" s="104"/>
      <c r="D620" s="104"/>
      <c r="E620" s="105"/>
      <c r="F620" s="104"/>
      <c r="G620" s="105"/>
      <c r="H620" s="105"/>
      <c r="I620" s="106"/>
      <c r="J620" s="104"/>
      <c r="K620" s="105"/>
      <c r="L620" s="105"/>
      <c r="M620" s="105"/>
      <c r="N620" s="111"/>
      <c r="O620" s="106"/>
      <c r="P620" s="105"/>
      <c r="Q620" s="105"/>
    </row>
    <row r="621" spans="1:17" x14ac:dyDescent="0.25">
      <c r="A621" s="103"/>
      <c r="B621" s="104"/>
      <c r="C621" s="104"/>
      <c r="D621" s="104"/>
      <c r="E621" s="105"/>
      <c r="F621" s="104"/>
      <c r="G621" s="105"/>
      <c r="H621" s="105"/>
      <c r="I621" s="106"/>
      <c r="J621" s="104"/>
      <c r="K621" s="105"/>
      <c r="L621" s="105"/>
      <c r="M621" s="105"/>
      <c r="N621" s="111"/>
      <c r="O621" s="106"/>
      <c r="P621" s="105"/>
      <c r="Q621" s="105"/>
    </row>
    <row r="622" spans="1:17" x14ac:dyDescent="0.25">
      <c r="A622" s="103"/>
      <c r="B622" s="104"/>
      <c r="C622" s="104"/>
      <c r="D622" s="104"/>
      <c r="E622" s="105"/>
      <c r="F622" s="104"/>
      <c r="G622" s="105"/>
      <c r="H622" s="105"/>
      <c r="I622" s="106"/>
      <c r="J622" s="104"/>
      <c r="K622" s="105"/>
      <c r="L622" s="105"/>
      <c r="M622" s="105"/>
      <c r="N622" s="111"/>
      <c r="O622" s="106"/>
      <c r="P622" s="105"/>
      <c r="Q622" s="105"/>
    </row>
    <row r="623" spans="1:17" x14ac:dyDescent="0.25">
      <c r="A623" s="103"/>
      <c r="B623" s="104"/>
      <c r="C623" s="104"/>
      <c r="D623" s="104"/>
      <c r="E623" s="105"/>
      <c r="F623" s="104"/>
      <c r="G623" s="105"/>
      <c r="H623" s="105"/>
      <c r="I623" s="106"/>
      <c r="J623" s="104"/>
      <c r="K623" s="105"/>
      <c r="L623" s="105"/>
      <c r="M623" s="105"/>
      <c r="N623" s="111"/>
      <c r="O623" s="106"/>
      <c r="P623" s="105"/>
      <c r="Q623" s="105"/>
    </row>
    <row r="624" spans="1:17" x14ac:dyDescent="0.25">
      <c r="A624" s="103"/>
      <c r="B624" s="104"/>
      <c r="C624" s="104"/>
      <c r="D624" s="104"/>
      <c r="E624" s="105"/>
      <c r="F624" s="104"/>
      <c r="G624" s="105"/>
      <c r="H624" s="105"/>
      <c r="I624" s="106"/>
      <c r="J624" s="104"/>
      <c r="K624" s="105"/>
      <c r="L624" s="105"/>
      <c r="M624" s="105"/>
      <c r="N624" s="111"/>
      <c r="O624" s="106"/>
      <c r="P624" s="105"/>
      <c r="Q624" s="105"/>
    </row>
    <row r="625" spans="1:17" x14ac:dyDescent="0.25">
      <c r="A625" s="103"/>
      <c r="B625" s="104"/>
      <c r="C625" s="104"/>
      <c r="D625" s="104"/>
      <c r="E625" s="105"/>
      <c r="F625" s="104"/>
      <c r="G625" s="105"/>
      <c r="H625" s="105"/>
      <c r="I625" s="106"/>
      <c r="J625" s="104"/>
      <c r="K625" s="105"/>
      <c r="L625" s="105"/>
      <c r="M625" s="105"/>
      <c r="N625" s="111"/>
      <c r="O625" s="106"/>
      <c r="P625" s="105"/>
      <c r="Q625" s="105"/>
    </row>
    <row r="626" spans="1:17" x14ac:dyDescent="0.25">
      <c r="A626" s="103"/>
      <c r="B626" s="104"/>
      <c r="C626" s="104"/>
      <c r="D626" s="104"/>
      <c r="E626" s="105"/>
      <c r="F626" s="104"/>
      <c r="G626" s="105"/>
      <c r="H626" s="105"/>
      <c r="I626" s="106"/>
      <c r="J626" s="104"/>
      <c r="K626" s="105"/>
      <c r="L626" s="105"/>
      <c r="M626" s="105"/>
      <c r="N626" s="111"/>
      <c r="O626" s="106"/>
      <c r="P626" s="105"/>
      <c r="Q626" s="105"/>
    </row>
    <row r="627" spans="1:17" x14ac:dyDescent="0.25">
      <c r="A627" s="103"/>
      <c r="B627" s="104"/>
      <c r="C627" s="104"/>
      <c r="D627" s="104"/>
      <c r="E627" s="105"/>
      <c r="F627" s="104"/>
      <c r="G627" s="105"/>
      <c r="H627" s="105"/>
      <c r="I627" s="106"/>
      <c r="J627" s="104"/>
      <c r="K627" s="105"/>
      <c r="L627" s="105"/>
      <c r="M627" s="105"/>
      <c r="N627" s="111"/>
      <c r="O627" s="106"/>
      <c r="P627" s="105"/>
      <c r="Q627" s="105"/>
    </row>
    <row r="628" spans="1:17" x14ac:dyDescent="0.25">
      <c r="A628" s="103"/>
      <c r="B628" s="104"/>
      <c r="C628" s="104"/>
      <c r="D628" s="104"/>
      <c r="E628" s="105"/>
      <c r="F628" s="104"/>
      <c r="G628" s="105"/>
      <c r="H628" s="105"/>
      <c r="I628" s="106"/>
      <c r="J628" s="104"/>
      <c r="K628" s="105"/>
      <c r="L628" s="105"/>
      <c r="M628" s="105"/>
      <c r="N628" s="111"/>
      <c r="O628" s="106"/>
      <c r="P628" s="105"/>
      <c r="Q628" s="105"/>
    </row>
    <row r="629" spans="1:17" x14ac:dyDescent="0.25">
      <c r="A629" s="103"/>
      <c r="B629" s="104"/>
      <c r="C629" s="104"/>
      <c r="D629" s="104"/>
      <c r="E629" s="105"/>
      <c r="F629" s="104"/>
      <c r="G629" s="105"/>
      <c r="H629" s="105"/>
      <c r="I629" s="106"/>
      <c r="J629" s="104"/>
      <c r="K629" s="105"/>
      <c r="L629" s="105"/>
      <c r="M629" s="105"/>
      <c r="N629" s="111"/>
      <c r="O629" s="106"/>
      <c r="P629" s="105"/>
      <c r="Q629" s="105"/>
    </row>
    <row r="630" spans="1:17" x14ac:dyDescent="0.25">
      <c r="A630" s="103"/>
      <c r="B630" s="104"/>
      <c r="C630" s="104"/>
      <c r="D630" s="104"/>
      <c r="E630" s="105"/>
      <c r="F630" s="104"/>
      <c r="G630" s="105"/>
      <c r="H630" s="105"/>
      <c r="I630" s="106"/>
      <c r="J630" s="104"/>
      <c r="K630" s="105"/>
      <c r="L630" s="105"/>
      <c r="M630" s="105"/>
      <c r="N630" s="111"/>
      <c r="O630" s="106"/>
      <c r="P630" s="105"/>
      <c r="Q630" s="105"/>
    </row>
    <row r="631" spans="1:17" x14ac:dyDescent="0.25">
      <c r="A631" s="103"/>
      <c r="B631" s="104"/>
      <c r="C631" s="104"/>
      <c r="D631" s="104"/>
      <c r="E631" s="105"/>
      <c r="F631" s="104"/>
      <c r="G631" s="105"/>
      <c r="H631" s="105"/>
      <c r="I631" s="106"/>
      <c r="J631" s="104"/>
      <c r="K631" s="105"/>
      <c r="L631" s="105"/>
      <c r="M631" s="105"/>
      <c r="N631" s="111"/>
      <c r="O631" s="106"/>
      <c r="P631" s="105"/>
      <c r="Q631" s="105"/>
    </row>
    <row r="632" spans="1:17" x14ac:dyDescent="0.25">
      <c r="A632" s="103"/>
      <c r="B632" s="104"/>
      <c r="C632" s="104"/>
      <c r="D632" s="104"/>
      <c r="E632" s="105"/>
      <c r="F632" s="104"/>
      <c r="G632" s="105"/>
      <c r="H632" s="105"/>
      <c r="I632" s="106"/>
      <c r="J632" s="104"/>
      <c r="K632" s="105"/>
      <c r="L632" s="105"/>
      <c r="M632" s="105"/>
      <c r="N632" s="111"/>
      <c r="O632" s="106"/>
      <c r="P632" s="105"/>
      <c r="Q632" s="105"/>
    </row>
    <row r="633" spans="1:17" x14ac:dyDescent="0.25">
      <c r="A633" s="103"/>
      <c r="B633" s="104"/>
      <c r="C633" s="104"/>
      <c r="D633" s="104"/>
      <c r="E633" s="105"/>
      <c r="F633" s="104"/>
      <c r="G633" s="105"/>
      <c r="H633" s="105"/>
      <c r="I633" s="106"/>
      <c r="J633" s="104"/>
      <c r="K633" s="105"/>
      <c r="L633" s="105"/>
      <c r="M633" s="105"/>
      <c r="N633" s="111"/>
      <c r="O633" s="106"/>
      <c r="P633" s="105"/>
      <c r="Q633" s="105"/>
    </row>
    <row r="634" spans="1:17" x14ac:dyDescent="0.25">
      <c r="A634" s="103"/>
      <c r="B634" s="104"/>
      <c r="C634" s="104"/>
      <c r="D634" s="104"/>
      <c r="E634" s="105"/>
      <c r="F634" s="104"/>
      <c r="G634" s="105"/>
      <c r="H634" s="105"/>
      <c r="I634" s="106"/>
      <c r="J634" s="104"/>
      <c r="K634" s="105"/>
      <c r="L634" s="105"/>
      <c r="M634" s="105"/>
      <c r="N634" s="111"/>
      <c r="O634" s="106"/>
      <c r="P634" s="105"/>
      <c r="Q634" s="105"/>
    </row>
    <row r="635" spans="1:17" x14ac:dyDescent="0.25">
      <c r="A635" s="103"/>
      <c r="B635" s="104"/>
      <c r="C635" s="104"/>
      <c r="D635" s="104"/>
      <c r="E635" s="105"/>
      <c r="F635" s="104"/>
      <c r="G635" s="105"/>
      <c r="H635" s="105"/>
      <c r="I635" s="106"/>
      <c r="J635" s="104"/>
      <c r="K635" s="105"/>
      <c r="L635" s="105"/>
      <c r="M635" s="105"/>
      <c r="N635" s="111"/>
      <c r="O635" s="106"/>
      <c r="P635" s="105"/>
      <c r="Q635" s="105"/>
    </row>
    <row r="636" spans="1:17" x14ac:dyDescent="0.25">
      <c r="A636" s="103"/>
      <c r="B636" s="104"/>
      <c r="C636" s="104"/>
      <c r="D636" s="104"/>
      <c r="E636" s="105"/>
      <c r="F636" s="104"/>
      <c r="G636" s="105"/>
      <c r="H636" s="105"/>
      <c r="I636" s="106"/>
      <c r="J636" s="104"/>
      <c r="K636" s="105"/>
      <c r="L636" s="105"/>
      <c r="M636" s="105"/>
      <c r="N636" s="111"/>
      <c r="O636" s="106"/>
      <c r="P636" s="105"/>
      <c r="Q636" s="105"/>
    </row>
    <row r="637" spans="1:17" x14ac:dyDescent="0.25">
      <c r="A637" s="103"/>
      <c r="B637" s="104"/>
      <c r="C637" s="104"/>
      <c r="D637" s="104"/>
      <c r="E637" s="105"/>
      <c r="F637" s="104"/>
      <c r="G637" s="105"/>
      <c r="H637" s="105"/>
      <c r="I637" s="106"/>
      <c r="J637" s="104"/>
      <c r="K637" s="105"/>
      <c r="L637" s="105"/>
      <c r="M637" s="105"/>
      <c r="N637" s="111"/>
      <c r="O637" s="106"/>
      <c r="P637" s="105"/>
      <c r="Q637" s="105"/>
    </row>
    <row r="638" spans="1:17" x14ac:dyDescent="0.25">
      <c r="A638" s="103"/>
      <c r="B638" s="104"/>
      <c r="C638" s="104"/>
      <c r="D638" s="104"/>
      <c r="E638" s="105"/>
      <c r="F638" s="104"/>
      <c r="G638" s="105"/>
      <c r="H638" s="105"/>
      <c r="I638" s="106"/>
      <c r="J638" s="104"/>
      <c r="K638" s="105"/>
      <c r="L638" s="105"/>
      <c r="M638" s="105"/>
      <c r="N638" s="111"/>
      <c r="O638" s="106"/>
      <c r="P638" s="105"/>
      <c r="Q638" s="105"/>
    </row>
    <row r="639" spans="1:17" x14ac:dyDescent="0.25">
      <c r="A639" s="103"/>
      <c r="B639" s="104"/>
      <c r="C639" s="104"/>
      <c r="D639" s="104"/>
      <c r="E639" s="105"/>
      <c r="F639" s="104"/>
      <c r="G639" s="105"/>
      <c r="H639" s="105"/>
      <c r="I639" s="106"/>
      <c r="J639" s="104"/>
      <c r="K639" s="105"/>
      <c r="L639" s="105"/>
      <c r="M639" s="105"/>
      <c r="N639" s="111"/>
      <c r="O639" s="106"/>
      <c r="P639" s="105"/>
      <c r="Q639" s="105"/>
    </row>
    <row r="640" spans="1:17" x14ac:dyDescent="0.25">
      <c r="A640" s="103"/>
      <c r="B640" s="104"/>
      <c r="C640" s="104"/>
      <c r="D640" s="104"/>
      <c r="E640" s="105"/>
      <c r="F640" s="104"/>
      <c r="G640" s="105"/>
      <c r="H640" s="105"/>
      <c r="I640" s="106"/>
      <c r="J640" s="104"/>
      <c r="K640" s="105"/>
      <c r="L640" s="105"/>
      <c r="M640" s="105"/>
      <c r="N640" s="111"/>
      <c r="O640" s="106"/>
      <c r="P640" s="105"/>
      <c r="Q640" s="105"/>
    </row>
    <row r="641" spans="1:17" x14ac:dyDescent="0.25">
      <c r="A641" s="103"/>
      <c r="B641" s="104"/>
      <c r="C641" s="104"/>
      <c r="D641" s="104"/>
      <c r="E641" s="105"/>
      <c r="F641" s="104"/>
      <c r="G641" s="105"/>
      <c r="H641" s="105"/>
      <c r="I641" s="106"/>
      <c r="J641" s="104"/>
      <c r="K641" s="105"/>
      <c r="L641" s="105"/>
      <c r="M641" s="105"/>
      <c r="N641" s="111"/>
      <c r="O641" s="106"/>
      <c r="P641" s="105"/>
      <c r="Q641" s="105"/>
    </row>
    <row r="642" spans="1:17" x14ac:dyDescent="0.25">
      <c r="A642" s="103"/>
      <c r="B642" s="104"/>
      <c r="C642" s="104"/>
      <c r="D642" s="104"/>
      <c r="E642" s="105"/>
      <c r="F642" s="104"/>
      <c r="G642" s="105"/>
      <c r="H642" s="105"/>
      <c r="I642" s="106"/>
      <c r="J642" s="104"/>
      <c r="K642" s="105"/>
      <c r="L642" s="105"/>
      <c r="M642" s="105"/>
      <c r="N642" s="111"/>
      <c r="O642" s="106"/>
      <c r="P642" s="105"/>
      <c r="Q642" s="105"/>
    </row>
    <row r="643" spans="1:17" x14ac:dyDescent="0.25">
      <c r="A643" s="103"/>
      <c r="B643" s="104"/>
      <c r="C643" s="104"/>
      <c r="D643" s="104"/>
      <c r="E643" s="105"/>
      <c r="F643" s="104"/>
      <c r="G643" s="105"/>
      <c r="H643" s="105"/>
      <c r="I643" s="106"/>
      <c r="J643" s="104"/>
      <c r="K643" s="105"/>
      <c r="L643" s="105"/>
      <c r="M643" s="105"/>
      <c r="N643" s="111"/>
      <c r="O643" s="106"/>
      <c r="P643" s="105"/>
      <c r="Q643" s="105"/>
    </row>
    <row r="644" spans="1:17" x14ac:dyDescent="0.25">
      <c r="A644" s="103"/>
      <c r="B644" s="104"/>
      <c r="C644" s="104"/>
      <c r="D644" s="104"/>
      <c r="E644" s="105"/>
      <c r="F644" s="104"/>
      <c r="G644" s="105"/>
      <c r="H644" s="105"/>
      <c r="I644" s="106"/>
      <c r="J644" s="104"/>
      <c r="K644" s="105"/>
      <c r="L644" s="105"/>
      <c r="M644" s="105"/>
      <c r="N644" s="111"/>
      <c r="O644" s="106"/>
      <c r="P644" s="105"/>
      <c r="Q644" s="105"/>
    </row>
    <row r="645" spans="1:17" x14ac:dyDescent="0.25">
      <c r="A645" s="103"/>
      <c r="B645" s="104"/>
      <c r="C645" s="104"/>
      <c r="D645" s="104"/>
      <c r="E645" s="105"/>
      <c r="F645" s="104"/>
      <c r="G645" s="105"/>
      <c r="H645" s="105"/>
      <c r="I645" s="106"/>
      <c r="J645" s="104"/>
      <c r="K645" s="105"/>
      <c r="L645" s="105"/>
      <c r="M645" s="105"/>
      <c r="N645" s="111"/>
      <c r="O645" s="106"/>
      <c r="P645" s="105"/>
      <c r="Q645" s="105"/>
    </row>
    <row r="646" spans="1:17" x14ac:dyDescent="0.25">
      <c r="A646" s="103"/>
      <c r="B646" s="104"/>
      <c r="C646" s="104"/>
      <c r="D646" s="104"/>
      <c r="E646" s="105"/>
      <c r="F646" s="104"/>
      <c r="G646" s="105"/>
      <c r="H646" s="105"/>
      <c r="I646" s="106"/>
      <c r="J646" s="104"/>
      <c r="K646" s="105"/>
      <c r="L646" s="105"/>
      <c r="M646" s="105"/>
      <c r="N646" s="111"/>
      <c r="O646" s="106"/>
      <c r="P646" s="105"/>
      <c r="Q646" s="105"/>
    </row>
    <row r="647" spans="1:17" x14ac:dyDescent="0.25">
      <c r="A647" s="103"/>
      <c r="B647" s="104"/>
      <c r="C647" s="104"/>
      <c r="D647" s="104"/>
      <c r="E647" s="105"/>
      <c r="F647" s="104"/>
      <c r="G647" s="105"/>
      <c r="H647" s="105"/>
      <c r="I647" s="106"/>
      <c r="J647" s="104"/>
      <c r="K647" s="105"/>
      <c r="L647" s="105"/>
      <c r="M647" s="105"/>
      <c r="N647" s="111"/>
      <c r="O647" s="106"/>
      <c r="P647" s="105"/>
      <c r="Q647" s="105"/>
    </row>
    <row r="648" spans="1:17" x14ac:dyDescent="0.25">
      <c r="A648" s="103"/>
      <c r="B648" s="104"/>
      <c r="C648" s="104"/>
      <c r="D648" s="104"/>
      <c r="E648" s="105"/>
      <c r="F648" s="104"/>
      <c r="G648" s="105"/>
      <c r="H648" s="105"/>
      <c r="I648" s="106"/>
      <c r="J648" s="104"/>
      <c r="K648" s="105"/>
      <c r="L648" s="105"/>
      <c r="M648" s="105"/>
      <c r="N648" s="111"/>
      <c r="O648" s="106"/>
      <c r="P648" s="105"/>
      <c r="Q648" s="105"/>
    </row>
    <row r="649" spans="1:17" x14ac:dyDescent="0.25">
      <c r="A649" s="103"/>
      <c r="B649" s="104"/>
      <c r="C649" s="104"/>
      <c r="D649" s="104"/>
      <c r="E649" s="105"/>
      <c r="F649" s="104"/>
      <c r="G649" s="105"/>
      <c r="H649" s="105"/>
      <c r="I649" s="106"/>
      <c r="J649" s="104"/>
      <c r="K649" s="105"/>
      <c r="L649" s="105"/>
      <c r="M649" s="105"/>
      <c r="N649" s="111"/>
      <c r="O649" s="106"/>
      <c r="P649" s="105"/>
      <c r="Q649" s="105"/>
    </row>
    <row r="650" spans="1:17" x14ac:dyDescent="0.25">
      <c r="A650" s="103"/>
      <c r="B650" s="104"/>
      <c r="C650" s="104"/>
      <c r="D650" s="104"/>
      <c r="E650" s="105"/>
      <c r="F650" s="104"/>
      <c r="G650" s="105"/>
      <c r="H650" s="105"/>
      <c r="I650" s="106"/>
      <c r="J650" s="104"/>
      <c r="K650" s="105"/>
      <c r="L650" s="105"/>
      <c r="M650" s="105"/>
      <c r="N650" s="111"/>
      <c r="O650" s="106"/>
      <c r="P650" s="105"/>
      <c r="Q650" s="105"/>
    </row>
    <row r="651" spans="1:17" x14ac:dyDescent="0.25">
      <c r="A651" s="103"/>
      <c r="B651" s="104"/>
      <c r="C651" s="104"/>
      <c r="D651" s="104"/>
      <c r="E651" s="105"/>
      <c r="F651" s="104"/>
      <c r="G651" s="105"/>
      <c r="H651" s="105"/>
      <c r="I651" s="106"/>
      <c r="J651" s="104"/>
      <c r="K651" s="105"/>
      <c r="L651" s="105"/>
      <c r="M651" s="105"/>
      <c r="N651" s="111"/>
      <c r="O651" s="106"/>
      <c r="P651" s="105"/>
      <c r="Q651" s="105"/>
    </row>
    <row r="652" spans="1:17" x14ac:dyDescent="0.25">
      <c r="A652" s="103"/>
      <c r="B652" s="104"/>
      <c r="C652" s="104"/>
      <c r="D652" s="104"/>
      <c r="E652" s="105"/>
      <c r="F652" s="104"/>
      <c r="G652" s="105"/>
      <c r="H652" s="105"/>
      <c r="I652" s="106"/>
      <c r="J652" s="104"/>
      <c r="K652" s="105"/>
      <c r="L652" s="105"/>
      <c r="M652" s="105"/>
      <c r="N652" s="111"/>
      <c r="O652" s="106"/>
      <c r="P652" s="105"/>
      <c r="Q652" s="105"/>
    </row>
    <row r="653" spans="1:17" x14ac:dyDescent="0.25">
      <c r="A653" s="103"/>
      <c r="B653" s="104"/>
      <c r="C653" s="104"/>
      <c r="D653" s="104"/>
      <c r="E653" s="105"/>
      <c r="F653" s="104"/>
      <c r="G653" s="105"/>
      <c r="H653" s="105"/>
      <c r="I653" s="106"/>
      <c r="J653" s="104"/>
      <c r="K653" s="105"/>
      <c r="L653" s="105"/>
      <c r="M653" s="105"/>
      <c r="N653" s="111"/>
      <c r="O653" s="106"/>
      <c r="P653" s="105"/>
      <c r="Q653" s="105"/>
    </row>
    <row r="654" spans="1:17" x14ac:dyDescent="0.25">
      <c r="A654" s="103"/>
      <c r="B654" s="104"/>
      <c r="C654" s="104"/>
      <c r="D654" s="104"/>
      <c r="E654" s="105"/>
      <c r="F654" s="104"/>
      <c r="G654" s="105"/>
      <c r="H654" s="105"/>
      <c r="I654" s="106"/>
      <c r="J654" s="104"/>
      <c r="K654" s="105"/>
      <c r="L654" s="105"/>
      <c r="M654" s="105"/>
      <c r="N654" s="111"/>
      <c r="O654" s="106"/>
      <c r="P654" s="105"/>
      <c r="Q654" s="105"/>
    </row>
    <row r="655" spans="1:17" x14ac:dyDescent="0.25">
      <c r="A655" s="103"/>
      <c r="B655" s="104"/>
      <c r="C655" s="104"/>
      <c r="D655" s="104"/>
      <c r="E655" s="105"/>
      <c r="F655" s="104"/>
      <c r="G655" s="105"/>
      <c r="H655" s="105"/>
      <c r="I655" s="106"/>
      <c r="J655" s="104"/>
      <c r="K655" s="105"/>
      <c r="L655" s="105"/>
      <c r="M655" s="105"/>
      <c r="N655" s="111"/>
      <c r="O655" s="106"/>
      <c r="P655" s="105"/>
      <c r="Q655" s="105"/>
    </row>
    <row r="656" spans="1:17" x14ac:dyDescent="0.25">
      <c r="A656" s="103"/>
      <c r="B656" s="104"/>
      <c r="C656" s="104"/>
      <c r="D656" s="104"/>
      <c r="E656" s="105"/>
      <c r="F656" s="104"/>
      <c r="G656" s="105"/>
      <c r="H656" s="105"/>
      <c r="I656" s="106"/>
      <c r="J656" s="104"/>
      <c r="K656" s="105"/>
      <c r="L656" s="105"/>
      <c r="M656" s="105"/>
      <c r="N656" s="111"/>
      <c r="O656" s="106"/>
      <c r="P656" s="105"/>
      <c r="Q656" s="105"/>
    </row>
    <row r="657" spans="1:17" x14ac:dyDescent="0.25">
      <c r="A657" s="103"/>
      <c r="B657" s="104"/>
      <c r="C657" s="104"/>
      <c r="D657" s="104"/>
      <c r="E657" s="105"/>
      <c r="F657" s="104"/>
      <c r="G657" s="105"/>
      <c r="H657" s="105"/>
      <c r="I657" s="106"/>
      <c r="J657" s="104"/>
      <c r="K657" s="105"/>
      <c r="L657" s="105"/>
      <c r="M657" s="105"/>
      <c r="N657" s="111"/>
      <c r="O657" s="106"/>
      <c r="P657" s="105"/>
      <c r="Q657" s="105"/>
    </row>
    <row r="658" spans="1:17" x14ac:dyDescent="0.25">
      <c r="A658" s="103"/>
      <c r="B658" s="104"/>
      <c r="C658" s="104"/>
      <c r="D658" s="104"/>
      <c r="E658" s="105"/>
      <c r="F658" s="104"/>
      <c r="G658" s="105"/>
      <c r="H658" s="105"/>
      <c r="I658" s="106"/>
      <c r="J658" s="104"/>
      <c r="K658" s="105"/>
      <c r="L658" s="105"/>
      <c r="M658" s="105"/>
      <c r="N658" s="111"/>
      <c r="O658" s="106"/>
      <c r="P658" s="105"/>
      <c r="Q658" s="105"/>
    </row>
    <row r="659" spans="1:17" x14ac:dyDescent="0.25">
      <c r="A659" s="103"/>
      <c r="B659" s="104"/>
      <c r="C659" s="104"/>
      <c r="D659" s="104"/>
      <c r="E659" s="105"/>
      <c r="F659" s="104"/>
      <c r="G659" s="105"/>
      <c r="H659" s="105"/>
      <c r="I659" s="106"/>
      <c r="J659" s="104"/>
      <c r="K659" s="105"/>
      <c r="L659" s="105"/>
      <c r="M659" s="105"/>
      <c r="N659" s="111"/>
      <c r="O659" s="106"/>
      <c r="P659" s="105"/>
      <c r="Q659" s="105"/>
    </row>
    <row r="660" spans="1:17" x14ac:dyDescent="0.25">
      <c r="A660" s="103"/>
      <c r="B660" s="104"/>
      <c r="C660" s="104"/>
      <c r="D660" s="104"/>
      <c r="E660" s="105"/>
      <c r="F660" s="104"/>
      <c r="G660" s="105"/>
      <c r="H660" s="105"/>
      <c r="I660" s="106"/>
      <c r="J660" s="104"/>
      <c r="K660" s="105"/>
      <c r="L660" s="105"/>
      <c r="M660" s="105"/>
      <c r="N660" s="111"/>
      <c r="O660" s="106"/>
      <c r="P660" s="105"/>
      <c r="Q660" s="105"/>
    </row>
    <row r="661" spans="1:17" x14ac:dyDescent="0.25">
      <c r="A661" s="103"/>
      <c r="B661" s="104"/>
      <c r="C661" s="104"/>
      <c r="D661" s="104"/>
      <c r="E661" s="105"/>
      <c r="F661" s="104"/>
      <c r="G661" s="105"/>
      <c r="H661" s="105"/>
      <c r="I661" s="106"/>
      <c r="J661" s="104"/>
      <c r="K661" s="105"/>
      <c r="L661" s="105"/>
      <c r="M661" s="105"/>
      <c r="N661" s="111"/>
      <c r="O661" s="106"/>
      <c r="P661" s="105"/>
      <c r="Q661" s="105"/>
    </row>
    <row r="662" spans="1:17" x14ac:dyDescent="0.25">
      <c r="A662" s="103"/>
      <c r="B662" s="104"/>
      <c r="C662" s="104"/>
      <c r="D662" s="104"/>
      <c r="E662" s="105"/>
      <c r="F662" s="104"/>
      <c r="G662" s="105"/>
      <c r="H662" s="105"/>
      <c r="I662" s="106"/>
      <c r="J662" s="104"/>
      <c r="K662" s="105"/>
      <c r="L662" s="105"/>
      <c r="M662" s="105"/>
      <c r="N662" s="111"/>
      <c r="O662" s="106"/>
      <c r="P662" s="105"/>
      <c r="Q662" s="105"/>
    </row>
    <row r="663" spans="1:17" x14ac:dyDescent="0.25">
      <c r="A663" s="103"/>
      <c r="B663" s="104"/>
      <c r="C663" s="104"/>
      <c r="D663" s="104"/>
      <c r="E663" s="105"/>
      <c r="F663" s="104"/>
      <c r="G663" s="105"/>
      <c r="H663" s="105"/>
      <c r="I663" s="106"/>
      <c r="J663" s="104"/>
      <c r="K663" s="105"/>
      <c r="L663" s="105"/>
      <c r="M663" s="105"/>
      <c r="N663" s="111"/>
      <c r="O663" s="106"/>
      <c r="P663" s="105"/>
      <c r="Q663" s="105"/>
    </row>
    <row r="664" spans="1:17" x14ac:dyDescent="0.25">
      <c r="A664" s="103"/>
      <c r="B664" s="104"/>
      <c r="C664" s="104"/>
      <c r="D664" s="104"/>
      <c r="E664" s="105"/>
      <c r="F664" s="104"/>
      <c r="G664" s="105"/>
      <c r="H664" s="105"/>
      <c r="I664" s="106"/>
      <c r="J664" s="104"/>
      <c r="K664" s="105"/>
      <c r="L664" s="105"/>
      <c r="M664" s="105"/>
      <c r="N664" s="111"/>
      <c r="O664" s="106"/>
      <c r="P664" s="105"/>
      <c r="Q664" s="105"/>
    </row>
    <row r="665" spans="1:17" x14ac:dyDescent="0.25">
      <c r="A665" s="103"/>
      <c r="B665" s="104"/>
      <c r="C665" s="104"/>
      <c r="D665" s="104"/>
      <c r="E665" s="105"/>
      <c r="F665" s="104"/>
      <c r="G665" s="105"/>
      <c r="H665" s="105"/>
      <c r="I665" s="106"/>
      <c r="J665" s="104"/>
      <c r="K665" s="105"/>
      <c r="L665" s="105"/>
      <c r="M665" s="105"/>
      <c r="N665" s="111"/>
      <c r="O665" s="106"/>
      <c r="P665" s="105"/>
      <c r="Q665" s="105"/>
    </row>
    <row r="666" spans="1:17" x14ac:dyDescent="0.25">
      <c r="A666" s="103"/>
      <c r="B666" s="104"/>
      <c r="C666" s="104"/>
      <c r="D666" s="104"/>
      <c r="E666" s="105"/>
      <c r="F666" s="104"/>
      <c r="G666" s="105"/>
      <c r="H666" s="105"/>
      <c r="I666" s="106"/>
      <c r="J666" s="104"/>
      <c r="K666" s="105"/>
      <c r="L666" s="105"/>
      <c r="M666" s="105"/>
      <c r="N666" s="111"/>
      <c r="O666" s="106"/>
      <c r="P666" s="105"/>
      <c r="Q666" s="105"/>
    </row>
    <row r="667" spans="1:17" x14ac:dyDescent="0.25">
      <c r="A667" s="103"/>
      <c r="B667" s="104"/>
      <c r="C667" s="104"/>
      <c r="D667" s="104"/>
      <c r="E667" s="105"/>
      <c r="F667" s="104"/>
      <c r="G667" s="105"/>
      <c r="H667" s="105"/>
      <c r="I667" s="106"/>
      <c r="J667" s="104"/>
      <c r="K667" s="105"/>
      <c r="L667" s="105"/>
      <c r="M667" s="105"/>
      <c r="N667" s="111"/>
      <c r="O667" s="106"/>
      <c r="P667" s="105"/>
      <c r="Q667" s="105"/>
    </row>
    <row r="668" spans="1:17" x14ac:dyDescent="0.25">
      <c r="A668" s="103"/>
      <c r="B668" s="104"/>
      <c r="C668" s="104"/>
      <c r="D668" s="104"/>
      <c r="E668" s="105"/>
      <c r="F668" s="104"/>
      <c r="G668" s="105"/>
      <c r="H668" s="105"/>
      <c r="I668" s="106"/>
      <c r="J668" s="104"/>
      <c r="K668" s="105"/>
      <c r="L668" s="105"/>
      <c r="M668" s="105"/>
      <c r="N668" s="111"/>
      <c r="O668" s="106"/>
      <c r="P668" s="105"/>
      <c r="Q668" s="105"/>
    </row>
    <row r="669" spans="1:17" x14ac:dyDescent="0.25">
      <c r="A669" s="103"/>
      <c r="B669" s="104"/>
      <c r="C669" s="104"/>
      <c r="D669" s="104"/>
      <c r="E669" s="105"/>
      <c r="F669" s="104"/>
      <c r="G669" s="105"/>
      <c r="H669" s="105"/>
      <c r="I669" s="106"/>
      <c r="J669" s="104"/>
      <c r="K669" s="105"/>
      <c r="L669" s="105"/>
      <c r="M669" s="105"/>
      <c r="N669" s="111"/>
      <c r="O669" s="106"/>
      <c r="P669" s="105"/>
      <c r="Q669" s="105"/>
    </row>
    <row r="670" spans="1:17" x14ac:dyDescent="0.25">
      <c r="A670" s="103"/>
      <c r="B670" s="104"/>
      <c r="C670" s="104"/>
      <c r="D670" s="104"/>
      <c r="E670" s="105"/>
      <c r="F670" s="104"/>
      <c r="G670" s="105"/>
      <c r="H670" s="105"/>
      <c r="I670" s="106"/>
      <c r="J670" s="104"/>
      <c r="K670" s="105"/>
      <c r="L670" s="105"/>
      <c r="M670" s="105"/>
      <c r="N670" s="111"/>
      <c r="O670" s="106"/>
      <c r="P670" s="105"/>
      <c r="Q670" s="105"/>
    </row>
    <row r="671" spans="1:17" x14ac:dyDescent="0.25">
      <c r="A671" s="103"/>
      <c r="B671" s="104"/>
      <c r="C671" s="104"/>
      <c r="D671" s="104"/>
      <c r="E671" s="105"/>
      <c r="F671" s="104"/>
      <c r="G671" s="105"/>
      <c r="H671" s="105"/>
      <c r="I671" s="106"/>
      <c r="J671" s="104"/>
      <c r="K671" s="105"/>
      <c r="L671" s="105"/>
      <c r="M671" s="105"/>
      <c r="N671" s="111"/>
      <c r="O671" s="106"/>
      <c r="P671" s="105"/>
      <c r="Q671" s="105"/>
    </row>
    <row r="672" spans="1:17" x14ac:dyDescent="0.25">
      <c r="A672" s="103"/>
      <c r="B672" s="104"/>
      <c r="C672" s="104"/>
      <c r="D672" s="104"/>
      <c r="E672" s="105"/>
      <c r="F672" s="104"/>
      <c r="G672" s="105"/>
      <c r="H672" s="105"/>
      <c r="I672" s="106"/>
      <c r="J672" s="104"/>
      <c r="K672" s="105"/>
      <c r="L672" s="105"/>
      <c r="M672" s="105"/>
      <c r="N672" s="111"/>
      <c r="O672" s="106"/>
      <c r="P672" s="105"/>
      <c r="Q672" s="105"/>
    </row>
    <row r="673" spans="1:17" x14ac:dyDescent="0.25">
      <c r="A673" s="103"/>
      <c r="B673" s="104"/>
      <c r="C673" s="104"/>
      <c r="D673" s="104"/>
      <c r="E673" s="105"/>
      <c r="F673" s="104"/>
      <c r="G673" s="105"/>
      <c r="H673" s="105"/>
      <c r="I673" s="106"/>
      <c r="J673" s="104"/>
      <c r="K673" s="105"/>
      <c r="L673" s="105"/>
      <c r="M673" s="105"/>
      <c r="N673" s="111"/>
      <c r="O673" s="106"/>
      <c r="P673" s="105"/>
      <c r="Q673" s="105"/>
    </row>
    <row r="674" spans="1:17" x14ac:dyDescent="0.25">
      <c r="A674" s="103"/>
      <c r="B674" s="104"/>
      <c r="C674" s="104"/>
      <c r="D674" s="104"/>
      <c r="E674" s="105"/>
      <c r="F674" s="104"/>
      <c r="G674" s="105"/>
      <c r="H674" s="105"/>
      <c r="I674" s="106"/>
      <c r="J674" s="104"/>
      <c r="K674" s="105"/>
      <c r="L674" s="105"/>
      <c r="M674" s="105"/>
      <c r="N674" s="111"/>
      <c r="O674" s="106"/>
      <c r="P674" s="105"/>
      <c r="Q674" s="105"/>
    </row>
    <row r="675" spans="1:17" x14ac:dyDescent="0.25">
      <c r="A675" s="103"/>
      <c r="B675" s="104"/>
      <c r="C675" s="104"/>
      <c r="D675" s="104"/>
      <c r="E675" s="105"/>
      <c r="F675" s="104"/>
      <c r="G675" s="105"/>
      <c r="H675" s="105"/>
      <c r="I675" s="106"/>
      <c r="J675" s="104"/>
      <c r="K675" s="105"/>
      <c r="L675" s="105"/>
      <c r="M675" s="105"/>
      <c r="N675" s="111"/>
      <c r="O675" s="106"/>
      <c r="P675" s="105"/>
      <c r="Q675" s="105"/>
    </row>
    <row r="676" spans="1:17" x14ac:dyDescent="0.25">
      <c r="A676" s="103"/>
      <c r="B676" s="104"/>
      <c r="C676" s="104"/>
      <c r="D676" s="104"/>
      <c r="E676" s="105"/>
      <c r="F676" s="104"/>
      <c r="G676" s="105"/>
      <c r="H676" s="105"/>
      <c r="I676" s="106"/>
      <c r="J676" s="104"/>
      <c r="K676" s="105"/>
      <c r="L676" s="105"/>
      <c r="M676" s="105"/>
      <c r="N676" s="111"/>
      <c r="O676" s="106"/>
      <c r="P676" s="105"/>
      <c r="Q676" s="105"/>
    </row>
    <row r="677" spans="1:17" x14ac:dyDescent="0.25">
      <c r="A677" s="103"/>
      <c r="B677" s="104"/>
      <c r="C677" s="104"/>
      <c r="D677" s="104"/>
      <c r="E677" s="105"/>
      <c r="F677" s="104"/>
      <c r="G677" s="105"/>
      <c r="H677" s="105"/>
      <c r="I677" s="106"/>
      <c r="J677" s="104"/>
      <c r="K677" s="105"/>
      <c r="L677" s="105"/>
      <c r="M677" s="105"/>
      <c r="N677" s="111"/>
      <c r="O677" s="106"/>
      <c r="P677" s="105"/>
      <c r="Q677" s="105"/>
    </row>
    <row r="678" spans="1:17" x14ac:dyDescent="0.25">
      <c r="A678" s="103"/>
      <c r="B678" s="104"/>
      <c r="C678" s="104"/>
      <c r="D678" s="104"/>
      <c r="E678" s="105"/>
      <c r="F678" s="104"/>
      <c r="G678" s="105"/>
      <c r="H678" s="105"/>
      <c r="I678" s="106"/>
      <c r="J678" s="104"/>
      <c r="K678" s="105"/>
      <c r="L678" s="105"/>
      <c r="M678" s="105"/>
      <c r="N678" s="111"/>
      <c r="O678" s="106"/>
      <c r="P678" s="105"/>
      <c r="Q678" s="105"/>
    </row>
    <row r="679" spans="1:17" x14ac:dyDescent="0.25">
      <c r="A679" s="103"/>
      <c r="B679" s="104"/>
      <c r="C679" s="104"/>
      <c r="D679" s="104"/>
      <c r="E679" s="105"/>
      <c r="F679" s="104"/>
      <c r="G679" s="105"/>
      <c r="H679" s="105"/>
      <c r="I679" s="106"/>
      <c r="J679" s="104"/>
      <c r="K679" s="105"/>
      <c r="L679" s="105"/>
      <c r="M679" s="105"/>
      <c r="N679" s="111"/>
      <c r="O679" s="106"/>
      <c r="P679" s="105"/>
      <c r="Q679" s="105"/>
    </row>
    <row r="680" spans="1:17" x14ac:dyDescent="0.25">
      <c r="A680" s="103"/>
      <c r="B680" s="104"/>
      <c r="C680" s="104"/>
      <c r="D680" s="104"/>
      <c r="E680" s="105"/>
      <c r="F680" s="104"/>
      <c r="G680" s="105"/>
      <c r="H680" s="105"/>
      <c r="I680" s="106"/>
      <c r="J680" s="104"/>
      <c r="K680" s="105"/>
      <c r="L680" s="105"/>
      <c r="M680" s="105"/>
      <c r="N680" s="111"/>
      <c r="O680" s="106"/>
      <c r="P680" s="105"/>
      <c r="Q680" s="105"/>
    </row>
    <row r="681" spans="1:17" x14ac:dyDescent="0.25">
      <c r="A681" s="103"/>
      <c r="B681" s="104"/>
      <c r="C681" s="104"/>
      <c r="D681" s="104"/>
      <c r="E681" s="105"/>
      <c r="F681" s="104"/>
      <c r="G681" s="105"/>
      <c r="H681" s="105"/>
      <c r="I681" s="106"/>
      <c r="J681" s="104"/>
      <c r="K681" s="105"/>
      <c r="L681" s="105"/>
      <c r="M681" s="105"/>
      <c r="N681" s="111"/>
      <c r="O681" s="106"/>
      <c r="P681" s="105"/>
      <c r="Q681" s="105"/>
    </row>
    <row r="682" spans="1:17" x14ac:dyDescent="0.25">
      <c r="A682" s="103"/>
      <c r="B682" s="104"/>
      <c r="C682" s="104"/>
      <c r="D682" s="104"/>
      <c r="E682" s="105"/>
      <c r="F682" s="104"/>
      <c r="G682" s="105"/>
      <c r="H682" s="105"/>
      <c r="I682" s="106"/>
      <c r="J682" s="104"/>
      <c r="K682" s="105"/>
      <c r="L682" s="105"/>
      <c r="M682" s="105"/>
      <c r="N682" s="111"/>
      <c r="O682" s="106"/>
      <c r="P682" s="105"/>
      <c r="Q682" s="105"/>
    </row>
    <row r="683" spans="1:17" x14ac:dyDescent="0.25">
      <c r="A683" s="103"/>
      <c r="B683" s="104"/>
      <c r="C683" s="104"/>
      <c r="D683" s="104"/>
      <c r="E683" s="105"/>
      <c r="F683" s="104"/>
      <c r="G683" s="105"/>
      <c r="H683" s="105"/>
      <c r="I683" s="106"/>
      <c r="J683" s="104"/>
      <c r="K683" s="105"/>
      <c r="L683" s="105"/>
      <c r="M683" s="105"/>
      <c r="N683" s="111"/>
      <c r="O683" s="106"/>
      <c r="P683" s="105"/>
      <c r="Q683" s="105"/>
    </row>
    <row r="684" spans="1:17" x14ac:dyDescent="0.25">
      <c r="A684" s="103"/>
      <c r="B684" s="104"/>
      <c r="C684" s="104"/>
      <c r="D684" s="104"/>
      <c r="E684" s="105"/>
      <c r="F684" s="104"/>
      <c r="G684" s="105"/>
      <c r="H684" s="105"/>
      <c r="I684" s="106"/>
      <c r="J684" s="104"/>
      <c r="K684" s="105"/>
      <c r="L684" s="105"/>
      <c r="M684" s="105"/>
      <c r="N684" s="111"/>
      <c r="O684" s="106"/>
      <c r="P684" s="105"/>
      <c r="Q684" s="105"/>
    </row>
    <row r="685" spans="1:17" x14ac:dyDescent="0.25">
      <c r="A685" s="103"/>
      <c r="B685" s="104"/>
      <c r="C685" s="104"/>
      <c r="D685" s="104"/>
      <c r="E685" s="105"/>
      <c r="F685" s="104"/>
      <c r="G685" s="105"/>
      <c r="H685" s="105"/>
      <c r="I685" s="106"/>
      <c r="J685" s="104"/>
      <c r="K685" s="105"/>
      <c r="L685" s="105"/>
      <c r="M685" s="105"/>
      <c r="N685" s="111"/>
      <c r="O685" s="106"/>
      <c r="P685" s="105"/>
      <c r="Q685" s="105"/>
    </row>
    <row r="686" spans="1:17" x14ac:dyDescent="0.25">
      <c r="A686" s="103"/>
      <c r="B686" s="104"/>
      <c r="C686" s="104"/>
      <c r="D686" s="104"/>
      <c r="E686" s="105"/>
      <c r="F686" s="104"/>
      <c r="G686" s="105"/>
      <c r="H686" s="105"/>
      <c r="I686" s="106"/>
      <c r="J686" s="104"/>
      <c r="K686" s="105"/>
      <c r="L686" s="105"/>
      <c r="M686" s="105"/>
      <c r="N686" s="111"/>
      <c r="O686" s="106"/>
      <c r="P686" s="105"/>
      <c r="Q686" s="105"/>
    </row>
    <row r="687" spans="1:17" x14ac:dyDescent="0.25">
      <c r="A687" s="103"/>
      <c r="B687" s="104"/>
      <c r="C687" s="104"/>
      <c r="D687" s="104"/>
      <c r="E687" s="105"/>
      <c r="F687" s="104"/>
      <c r="G687" s="105"/>
      <c r="H687" s="105"/>
      <c r="I687" s="106"/>
      <c r="J687" s="104"/>
      <c r="K687" s="105"/>
      <c r="L687" s="105"/>
      <c r="M687" s="105"/>
      <c r="N687" s="111"/>
      <c r="O687" s="106"/>
      <c r="P687" s="105"/>
      <c r="Q687" s="105"/>
    </row>
    <row r="688" spans="1:17" x14ac:dyDescent="0.25">
      <c r="A688" s="103"/>
      <c r="B688" s="104"/>
      <c r="C688" s="104"/>
      <c r="D688" s="104"/>
      <c r="E688" s="105"/>
      <c r="F688" s="104"/>
      <c r="G688" s="105"/>
      <c r="H688" s="105"/>
      <c r="I688" s="106"/>
      <c r="J688" s="104"/>
      <c r="K688" s="105"/>
      <c r="L688" s="105"/>
      <c r="M688" s="105"/>
      <c r="N688" s="111"/>
      <c r="O688" s="106"/>
      <c r="P688" s="105"/>
      <c r="Q688" s="105"/>
    </row>
    <row r="689" spans="1:17" x14ac:dyDescent="0.25">
      <c r="A689" s="103"/>
      <c r="B689" s="104"/>
      <c r="C689" s="104"/>
      <c r="D689" s="104"/>
      <c r="E689" s="105"/>
      <c r="F689" s="104"/>
      <c r="G689" s="105"/>
      <c r="H689" s="105"/>
      <c r="I689" s="106"/>
      <c r="J689" s="104"/>
      <c r="K689" s="105"/>
      <c r="L689" s="105"/>
      <c r="M689" s="105"/>
      <c r="N689" s="111"/>
      <c r="O689" s="106"/>
      <c r="P689" s="105"/>
      <c r="Q689" s="105"/>
    </row>
    <row r="690" spans="1:17" x14ac:dyDescent="0.25">
      <c r="A690" s="103"/>
      <c r="B690" s="104"/>
      <c r="C690" s="104"/>
      <c r="D690" s="104"/>
      <c r="E690" s="105"/>
      <c r="F690" s="104"/>
      <c r="G690" s="105"/>
      <c r="H690" s="105"/>
      <c r="I690" s="106"/>
      <c r="J690" s="104"/>
      <c r="K690" s="105"/>
      <c r="L690" s="105"/>
      <c r="M690" s="105"/>
      <c r="N690" s="111"/>
      <c r="O690" s="106"/>
      <c r="P690" s="105"/>
      <c r="Q690" s="105"/>
    </row>
    <row r="691" spans="1:17" x14ac:dyDescent="0.25">
      <c r="A691" s="103"/>
      <c r="B691" s="104"/>
      <c r="C691" s="104"/>
      <c r="D691" s="104"/>
      <c r="E691" s="105"/>
      <c r="F691" s="104"/>
      <c r="G691" s="105"/>
      <c r="H691" s="105"/>
      <c r="I691" s="106"/>
      <c r="J691" s="104"/>
      <c r="K691" s="105"/>
      <c r="L691" s="105"/>
      <c r="M691" s="105"/>
      <c r="N691" s="111"/>
      <c r="O691" s="106"/>
      <c r="P691" s="105"/>
      <c r="Q691" s="105"/>
    </row>
    <row r="692" spans="1:17" x14ac:dyDescent="0.25">
      <c r="A692" s="103"/>
      <c r="B692" s="104"/>
      <c r="C692" s="104"/>
      <c r="D692" s="104"/>
      <c r="E692" s="105"/>
      <c r="F692" s="104"/>
      <c r="G692" s="105"/>
      <c r="H692" s="105"/>
      <c r="I692" s="106"/>
      <c r="J692" s="104"/>
      <c r="K692" s="105"/>
      <c r="L692" s="105"/>
      <c r="M692" s="105"/>
      <c r="N692" s="111"/>
      <c r="O692" s="106"/>
      <c r="P692" s="105"/>
      <c r="Q692" s="105"/>
    </row>
    <row r="693" spans="1:17" x14ac:dyDescent="0.25">
      <c r="A693" s="103"/>
      <c r="B693" s="104"/>
      <c r="C693" s="104"/>
      <c r="D693" s="104"/>
      <c r="E693" s="105"/>
      <c r="F693" s="104"/>
      <c r="G693" s="105"/>
      <c r="H693" s="105"/>
      <c r="I693" s="106"/>
      <c r="J693" s="104"/>
      <c r="K693" s="105"/>
      <c r="L693" s="105"/>
      <c r="M693" s="105"/>
      <c r="N693" s="111"/>
      <c r="O693" s="106"/>
      <c r="P693" s="105"/>
      <c r="Q693" s="105"/>
    </row>
    <row r="694" spans="1:17" x14ac:dyDescent="0.25">
      <c r="A694" s="103"/>
      <c r="B694" s="104"/>
      <c r="C694" s="104"/>
      <c r="D694" s="104"/>
      <c r="E694" s="105"/>
      <c r="F694" s="104"/>
      <c r="G694" s="105"/>
      <c r="H694" s="105"/>
      <c r="I694" s="106"/>
      <c r="J694" s="104"/>
      <c r="K694" s="105"/>
      <c r="L694" s="105"/>
      <c r="M694" s="105"/>
      <c r="N694" s="111"/>
      <c r="O694" s="106"/>
      <c r="P694" s="105"/>
      <c r="Q694" s="105"/>
    </row>
    <row r="695" spans="1:17" x14ac:dyDescent="0.25">
      <c r="A695" s="103"/>
      <c r="B695" s="104"/>
      <c r="C695" s="104"/>
      <c r="D695" s="104"/>
      <c r="E695" s="105"/>
      <c r="F695" s="104"/>
      <c r="G695" s="105"/>
      <c r="H695" s="105"/>
      <c r="I695" s="106"/>
      <c r="J695" s="104"/>
      <c r="K695" s="105"/>
      <c r="L695" s="105"/>
      <c r="M695" s="105"/>
      <c r="N695" s="111"/>
      <c r="O695" s="106"/>
      <c r="P695" s="105"/>
      <c r="Q695" s="105"/>
    </row>
    <row r="696" spans="1:17" x14ac:dyDescent="0.25">
      <c r="A696" s="103"/>
      <c r="B696" s="104"/>
      <c r="C696" s="104"/>
      <c r="D696" s="104"/>
      <c r="E696" s="105"/>
      <c r="F696" s="104"/>
      <c r="G696" s="105"/>
      <c r="H696" s="105"/>
      <c r="I696" s="106"/>
      <c r="J696" s="104"/>
      <c r="K696" s="105"/>
      <c r="L696" s="105"/>
      <c r="M696" s="105"/>
      <c r="N696" s="111"/>
      <c r="O696" s="106"/>
      <c r="P696" s="105"/>
      <c r="Q696" s="105"/>
    </row>
    <row r="697" spans="1:17" x14ac:dyDescent="0.25">
      <c r="A697" s="103"/>
      <c r="B697" s="104"/>
      <c r="C697" s="104"/>
      <c r="D697" s="104"/>
      <c r="E697" s="105"/>
      <c r="F697" s="104"/>
      <c r="G697" s="105"/>
      <c r="H697" s="105"/>
      <c r="I697" s="106"/>
      <c r="J697" s="104"/>
      <c r="K697" s="105"/>
      <c r="L697" s="105"/>
      <c r="M697" s="105"/>
      <c r="N697" s="111"/>
      <c r="O697" s="106"/>
      <c r="P697" s="105"/>
      <c r="Q697" s="105"/>
    </row>
    <row r="698" spans="1:17" x14ac:dyDescent="0.25">
      <c r="A698" s="103"/>
      <c r="B698" s="104"/>
      <c r="C698" s="104"/>
      <c r="D698" s="104"/>
      <c r="E698" s="105"/>
      <c r="F698" s="104"/>
      <c r="G698" s="105"/>
      <c r="H698" s="105"/>
      <c r="I698" s="106"/>
      <c r="J698" s="104"/>
      <c r="K698" s="105"/>
      <c r="L698" s="105"/>
      <c r="M698" s="105"/>
      <c r="N698" s="111"/>
      <c r="O698" s="106"/>
      <c r="P698" s="105"/>
      <c r="Q698" s="105"/>
    </row>
    <row r="699" spans="1:17" x14ac:dyDescent="0.25">
      <c r="A699" s="103"/>
      <c r="B699" s="104"/>
      <c r="C699" s="104"/>
      <c r="D699" s="104"/>
      <c r="E699" s="105"/>
      <c r="F699" s="104"/>
      <c r="G699" s="105"/>
      <c r="H699" s="105"/>
      <c r="I699" s="106"/>
      <c r="J699" s="104"/>
      <c r="K699" s="105"/>
      <c r="L699" s="105"/>
      <c r="M699" s="105"/>
      <c r="N699" s="111"/>
      <c r="O699" s="106"/>
      <c r="P699" s="105"/>
      <c r="Q699" s="105"/>
    </row>
    <row r="700" spans="1:17" x14ac:dyDescent="0.25">
      <c r="A700" s="103"/>
      <c r="B700" s="104"/>
      <c r="C700" s="104"/>
      <c r="D700" s="104"/>
      <c r="E700" s="105"/>
      <c r="F700" s="104"/>
      <c r="G700" s="105"/>
      <c r="H700" s="105"/>
      <c r="I700" s="106"/>
      <c r="J700" s="104"/>
      <c r="K700" s="105"/>
      <c r="L700" s="105"/>
      <c r="M700" s="105"/>
      <c r="N700" s="111"/>
      <c r="O700" s="106"/>
      <c r="P700" s="105"/>
      <c r="Q700" s="105"/>
    </row>
    <row r="701" spans="1:17" x14ac:dyDescent="0.25">
      <c r="A701" s="103"/>
      <c r="B701" s="104"/>
      <c r="C701" s="104"/>
      <c r="D701" s="104"/>
      <c r="E701" s="105"/>
      <c r="F701" s="104"/>
      <c r="G701" s="105"/>
      <c r="H701" s="105"/>
      <c r="I701" s="106"/>
      <c r="J701" s="104"/>
      <c r="K701" s="105"/>
      <c r="L701" s="105"/>
      <c r="M701" s="105"/>
      <c r="N701" s="111"/>
      <c r="O701" s="106"/>
      <c r="P701" s="105"/>
      <c r="Q701" s="105"/>
    </row>
    <row r="702" spans="1:17" x14ac:dyDescent="0.25">
      <c r="A702" s="103"/>
      <c r="B702" s="104"/>
      <c r="C702" s="104"/>
      <c r="D702" s="104"/>
      <c r="E702" s="105"/>
      <c r="F702" s="104"/>
      <c r="G702" s="105"/>
      <c r="H702" s="105"/>
      <c r="I702" s="106"/>
      <c r="J702" s="104"/>
      <c r="K702" s="105"/>
      <c r="L702" s="105"/>
      <c r="M702" s="105"/>
      <c r="N702" s="111"/>
      <c r="O702" s="106"/>
      <c r="P702" s="105"/>
      <c r="Q702" s="105"/>
    </row>
    <row r="703" spans="1:17" x14ac:dyDescent="0.25">
      <c r="A703" s="103"/>
      <c r="B703" s="104"/>
      <c r="C703" s="104"/>
      <c r="D703" s="104"/>
      <c r="E703" s="105"/>
      <c r="F703" s="104"/>
      <c r="G703" s="105"/>
      <c r="H703" s="105"/>
      <c r="I703" s="106"/>
      <c r="J703" s="104"/>
      <c r="K703" s="105"/>
      <c r="L703" s="105"/>
      <c r="M703" s="105"/>
      <c r="N703" s="111"/>
      <c r="O703" s="106"/>
      <c r="P703" s="105"/>
      <c r="Q703" s="105"/>
    </row>
    <row r="704" spans="1:17" x14ac:dyDescent="0.25">
      <c r="A704" s="103"/>
      <c r="B704" s="104"/>
      <c r="C704" s="104"/>
      <c r="D704" s="104"/>
      <c r="E704" s="105"/>
      <c r="F704" s="104"/>
      <c r="G704" s="105"/>
      <c r="H704" s="105"/>
      <c r="I704" s="106"/>
      <c r="J704" s="104"/>
      <c r="K704" s="105"/>
      <c r="L704" s="105"/>
      <c r="M704" s="105"/>
      <c r="N704" s="111"/>
      <c r="O704" s="106"/>
      <c r="P704" s="105"/>
      <c r="Q704" s="105"/>
    </row>
    <row r="705" spans="1:17" x14ac:dyDescent="0.25">
      <c r="A705" s="103"/>
      <c r="B705" s="104"/>
      <c r="C705" s="104"/>
      <c r="D705" s="104"/>
      <c r="E705" s="105"/>
      <c r="F705" s="104"/>
      <c r="G705" s="105"/>
      <c r="H705" s="105"/>
      <c r="I705" s="106"/>
      <c r="J705" s="104"/>
      <c r="K705" s="105"/>
      <c r="L705" s="105"/>
      <c r="M705" s="105"/>
      <c r="N705" s="111"/>
      <c r="O705" s="106"/>
      <c r="P705" s="105"/>
      <c r="Q705" s="105"/>
    </row>
    <row r="706" spans="1:17" x14ac:dyDescent="0.25">
      <c r="A706" s="103"/>
      <c r="B706" s="104"/>
      <c r="C706" s="104"/>
      <c r="D706" s="104"/>
      <c r="E706" s="105"/>
      <c r="F706" s="104"/>
      <c r="G706" s="105"/>
      <c r="H706" s="105"/>
      <c r="I706" s="106"/>
      <c r="J706" s="104"/>
      <c r="K706" s="105"/>
      <c r="L706" s="105"/>
      <c r="M706" s="105"/>
      <c r="N706" s="111"/>
      <c r="O706" s="106"/>
      <c r="P706" s="105"/>
      <c r="Q706" s="105"/>
    </row>
    <row r="707" spans="1:17" x14ac:dyDescent="0.25">
      <c r="A707" s="103"/>
      <c r="B707" s="104"/>
      <c r="C707" s="104"/>
      <c r="D707" s="104"/>
      <c r="E707" s="105"/>
      <c r="F707" s="104"/>
      <c r="G707" s="105"/>
      <c r="H707" s="105"/>
      <c r="I707" s="106"/>
      <c r="J707" s="104"/>
      <c r="K707" s="105"/>
      <c r="L707" s="105"/>
      <c r="M707" s="105"/>
      <c r="N707" s="111"/>
      <c r="O707" s="106"/>
      <c r="P707" s="105"/>
      <c r="Q707" s="105"/>
    </row>
    <row r="708" spans="1:17" x14ac:dyDescent="0.25">
      <c r="A708" s="103"/>
      <c r="B708" s="104"/>
      <c r="C708" s="104"/>
      <c r="D708" s="104"/>
      <c r="E708" s="105"/>
      <c r="F708" s="104"/>
      <c r="G708" s="105"/>
      <c r="H708" s="105"/>
      <c r="I708" s="106"/>
      <c r="J708" s="104"/>
      <c r="K708" s="105"/>
      <c r="L708" s="105"/>
      <c r="M708" s="105"/>
      <c r="N708" s="111"/>
      <c r="O708" s="106"/>
      <c r="P708" s="105"/>
      <c r="Q708" s="105"/>
    </row>
    <row r="709" spans="1:17" x14ac:dyDescent="0.25">
      <c r="A709" s="103"/>
      <c r="B709" s="104"/>
      <c r="C709" s="104"/>
      <c r="D709" s="104"/>
      <c r="E709" s="105"/>
      <c r="F709" s="104"/>
      <c r="G709" s="105"/>
      <c r="H709" s="105"/>
      <c r="I709" s="106"/>
      <c r="J709" s="104"/>
      <c r="K709" s="105"/>
      <c r="L709" s="105"/>
      <c r="M709" s="105"/>
      <c r="N709" s="111"/>
      <c r="O709" s="106"/>
      <c r="P709" s="105"/>
      <c r="Q709" s="105"/>
    </row>
    <row r="710" spans="1:17" x14ac:dyDescent="0.25">
      <c r="A710" s="103"/>
      <c r="B710" s="104"/>
      <c r="C710" s="104"/>
      <c r="D710" s="104"/>
      <c r="E710" s="105"/>
      <c r="F710" s="104"/>
      <c r="G710" s="105"/>
      <c r="H710" s="105"/>
      <c r="I710" s="106"/>
      <c r="J710" s="104"/>
      <c r="K710" s="105"/>
      <c r="L710" s="105"/>
      <c r="M710" s="105"/>
      <c r="N710" s="111"/>
      <c r="O710" s="106"/>
      <c r="P710" s="105"/>
      <c r="Q710" s="105"/>
    </row>
    <row r="711" spans="1:17" x14ac:dyDescent="0.25">
      <c r="A711" s="103"/>
      <c r="B711" s="104"/>
      <c r="C711" s="104"/>
      <c r="D711" s="104"/>
      <c r="E711" s="105"/>
      <c r="F711" s="104"/>
      <c r="G711" s="105"/>
      <c r="H711" s="105"/>
      <c r="I711" s="106"/>
      <c r="J711" s="104"/>
      <c r="K711" s="105"/>
      <c r="L711" s="105"/>
      <c r="M711" s="105"/>
      <c r="N711" s="111"/>
      <c r="O711" s="106"/>
      <c r="P711" s="105"/>
      <c r="Q711" s="105"/>
    </row>
    <row r="712" spans="1:17" x14ac:dyDescent="0.25">
      <c r="A712" s="103"/>
      <c r="B712" s="104"/>
      <c r="C712" s="104"/>
      <c r="D712" s="104"/>
      <c r="E712" s="105"/>
      <c r="F712" s="104"/>
      <c r="G712" s="105"/>
      <c r="H712" s="105"/>
      <c r="I712" s="106"/>
      <c r="J712" s="104"/>
      <c r="K712" s="105"/>
      <c r="L712" s="105"/>
      <c r="M712" s="105"/>
      <c r="N712" s="111"/>
      <c r="O712" s="106"/>
      <c r="P712" s="105"/>
      <c r="Q712" s="105"/>
    </row>
    <row r="713" spans="1:17" x14ac:dyDescent="0.25">
      <c r="A713" s="103"/>
      <c r="B713" s="104"/>
      <c r="C713" s="104"/>
      <c r="D713" s="104"/>
      <c r="E713" s="105"/>
      <c r="F713" s="104"/>
      <c r="G713" s="105"/>
      <c r="H713" s="105"/>
      <c r="I713" s="106"/>
      <c r="J713" s="104"/>
      <c r="K713" s="105"/>
      <c r="L713" s="105"/>
      <c r="M713" s="105"/>
      <c r="N713" s="111"/>
      <c r="O713" s="106"/>
      <c r="P713" s="105"/>
      <c r="Q713" s="105"/>
    </row>
    <row r="714" spans="1:17" x14ac:dyDescent="0.25">
      <c r="A714" s="103"/>
      <c r="B714" s="104"/>
      <c r="C714" s="104"/>
      <c r="D714" s="104"/>
      <c r="E714" s="105"/>
      <c r="F714" s="104"/>
      <c r="G714" s="105"/>
      <c r="H714" s="105"/>
      <c r="I714" s="106"/>
      <c r="J714" s="104"/>
      <c r="K714" s="105"/>
      <c r="L714" s="105"/>
      <c r="M714" s="105"/>
      <c r="N714" s="111"/>
      <c r="O714" s="106"/>
      <c r="P714" s="105"/>
      <c r="Q714" s="105"/>
    </row>
    <row r="715" spans="1:17" x14ac:dyDescent="0.25">
      <c r="A715" s="103"/>
      <c r="B715" s="104"/>
      <c r="C715" s="104"/>
      <c r="D715" s="104"/>
      <c r="E715" s="105"/>
      <c r="F715" s="104"/>
      <c r="G715" s="105"/>
      <c r="H715" s="105"/>
      <c r="I715" s="106"/>
      <c r="J715" s="104"/>
      <c r="K715" s="105"/>
      <c r="L715" s="105"/>
      <c r="M715" s="105"/>
      <c r="N715" s="111"/>
      <c r="O715" s="106"/>
      <c r="P715" s="105"/>
      <c r="Q715" s="105"/>
    </row>
    <row r="716" spans="1:17" x14ac:dyDescent="0.25">
      <c r="A716" s="103"/>
      <c r="B716" s="104"/>
      <c r="C716" s="104"/>
      <c r="D716" s="104"/>
      <c r="E716" s="105"/>
      <c r="F716" s="104"/>
      <c r="G716" s="105"/>
      <c r="H716" s="105"/>
      <c r="I716" s="106"/>
      <c r="J716" s="104"/>
      <c r="K716" s="105"/>
      <c r="L716" s="105"/>
      <c r="M716" s="105"/>
      <c r="N716" s="111"/>
      <c r="O716" s="106"/>
      <c r="P716" s="105"/>
      <c r="Q716" s="105"/>
    </row>
    <row r="717" spans="1:17" x14ac:dyDescent="0.25">
      <c r="A717" s="103"/>
      <c r="B717" s="104"/>
      <c r="C717" s="104"/>
      <c r="D717" s="104"/>
      <c r="E717" s="105"/>
      <c r="F717" s="104"/>
      <c r="G717" s="105"/>
      <c r="H717" s="105"/>
      <c r="I717" s="106"/>
      <c r="J717" s="104"/>
      <c r="K717" s="105"/>
      <c r="L717" s="105"/>
      <c r="M717" s="105"/>
      <c r="N717" s="111"/>
      <c r="O717" s="106"/>
      <c r="P717" s="105"/>
      <c r="Q717" s="105"/>
    </row>
    <row r="718" spans="1:17" x14ac:dyDescent="0.25">
      <c r="A718" s="103"/>
      <c r="B718" s="104"/>
      <c r="C718" s="104"/>
      <c r="D718" s="104"/>
      <c r="E718" s="105"/>
      <c r="F718" s="104"/>
      <c r="G718" s="105"/>
      <c r="H718" s="105"/>
      <c r="I718" s="106"/>
      <c r="J718" s="104"/>
      <c r="K718" s="105"/>
      <c r="L718" s="105"/>
      <c r="M718" s="105"/>
      <c r="N718" s="111"/>
      <c r="O718" s="106"/>
      <c r="P718" s="105"/>
      <c r="Q718" s="105"/>
    </row>
    <row r="719" spans="1:17" x14ac:dyDescent="0.25">
      <c r="A719" s="103"/>
      <c r="B719" s="104"/>
      <c r="C719" s="104"/>
      <c r="D719" s="104"/>
      <c r="E719" s="105"/>
      <c r="F719" s="104"/>
      <c r="G719" s="105"/>
      <c r="H719" s="105"/>
      <c r="I719" s="106"/>
      <c r="J719" s="104"/>
      <c r="K719" s="105"/>
      <c r="L719" s="105"/>
      <c r="M719" s="105"/>
      <c r="N719" s="111"/>
      <c r="O719" s="106"/>
      <c r="P719" s="105"/>
      <c r="Q719" s="105"/>
    </row>
    <row r="720" spans="1:17" x14ac:dyDescent="0.25">
      <c r="A720" s="103"/>
      <c r="B720" s="104"/>
      <c r="C720" s="104"/>
      <c r="D720" s="104"/>
      <c r="E720" s="105"/>
      <c r="F720" s="104"/>
      <c r="G720" s="105"/>
      <c r="H720" s="105"/>
      <c r="I720" s="106"/>
      <c r="J720" s="104"/>
      <c r="K720" s="105"/>
      <c r="L720" s="105"/>
      <c r="M720" s="105"/>
      <c r="N720" s="111"/>
      <c r="O720" s="106"/>
      <c r="P720" s="105"/>
      <c r="Q720" s="105"/>
    </row>
    <row r="721" spans="1:17" x14ac:dyDescent="0.25">
      <c r="A721" s="103"/>
      <c r="B721" s="104"/>
      <c r="C721" s="104"/>
      <c r="D721" s="104"/>
      <c r="E721" s="105"/>
      <c r="F721" s="104"/>
      <c r="G721" s="105"/>
      <c r="H721" s="105"/>
      <c r="I721" s="106"/>
      <c r="J721" s="104"/>
      <c r="K721" s="105"/>
      <c r="L721" s="105"/>
      <c r="M721" s="105"/>
      <c r="N721" s="111"/>
      <c r="O721" s="106"/>
      <c r="P721" s="105"/>
      <c r="Q721" s="105"/>
    </row>
    <row r="722" spans="1:17" x14ac:dyDescent="0.25">
      <c r="A722" s="103"/>
      <c r="B722" s="104"/>
      <c r="C722" s="104"/>
      <c r="D722" s="104"/>
      <c r="E722" s="105"/>
      <c r="F722" s="104"/>
      <c r="G722" s="105"/>
      <c r="H722" s="105"/>
      <c r="I722" s="106"/>
      <c r="J722" s="104"/>
      <c r="K722" s="105"/>
      <c r="L722" s="105"/>
      <c r="M722" s="105"/>
      <c r="N722" s="111"/>
      <c r="O722" s="106"/>
      <c r="P722" s="105"/>
      <c r="Q722" s="105"/>
    </row>
    <row r="723" spans="1:17" x14ac:dyDescent="0.25">
      <c r="A723" s="103"/>
      <c r="B723" s="104"/>
      <c r="C723" s="104"/>
      <c r="D723" s="104"/>
      <c r="E723" s="105"/>
      <c r="F723" s="104"/>
      <c r="G723" s="105"/>
      <c r="H723" s="105"/>
      <c r="I723" s="106"/>
      <c r="J723" s="104"/>
      <c r="K723" s="105"/>
      <c r="L723" s="105"/>
      <c r="M723" s="105"/>
      <c r="N723" s="111"/>
      <c r="O723" s="106"/>
      <c r="P723" s="105"/>
      <c r="Q723" s="105"/>
    </row>
    <row r="724" spans="1:17" x14ac:dyDescent="0.25">
      <c r="A724" s="103"/>
      <c r="B724" s="104"/>
      <c r="C724" s="104"/>
      <c r="D724" s="104"/>
      <c r="E724" s="105"/>
      <c r="F724" s="104"/>
      <c r="G724" s="105"/>
      <c r="H724" s="105"/>
      <c r="I724" s="106"/>
      <c r="J724" s="104"/>
      <c r="K724" s="105"/>
      <c r="L724" s="105"/>
      <c r="M724" s="105"/>
      <c r="N724" s="111"/>
      <c r="O724" s="106"/>
      <c r="P724" s="105"/>
      <c r="Q724" s="105"/>
    </row>
    <row r="725" spans="1:17" x14ac:dyDescent="0.25">
      <c r="A725" s="103"/>
      <c r="B725" s="104"/>
      <c r="C725" s="104"/>
      <c r="D725" s="104"/>
      <c r="E725" s="105"/>
      <c r="F725" s="104"/>
      <c r="G725" s="105"/>
      <c r="H725" s="105"/>
      <c r="I725" s="106"/>
      <c r="J725" s="104"/>
      <c r="K725" s="105"/>
      <c r="L725" s="105"/>
      <c r="M725" s="105"/>
      <c r="N725" s="111"/>
      <c r="O725" s="106"/>
      <c r="P725" s="105"/>
      <c r="Q725" s="105"/>
    </row>
    <row r="726" spans="1:17" x14ac:dyDescent="0.25">
      <c r="A726" s="103"/>
      <c r="B726" s="104"/>
      <c r="C726" s="104"/>
      <c r="D726" s="104"/>
      <c r="E726" s="105"/>
      <c r="F726" s="104"/>
      <c r="G726" s="105"/>
      <c r="H726" s="105"/>
      <c r="I726" s="106"/>
      <c r="J726" s="104"/>
      <c r="K726" s="105"/>
      <c r="L726" s="105"/>
      <c r="M726" s="105"/>
      <c r="N726" s="111"/>
      <c r="O726" s="106"/>
      <c r="P726" s="105"/>
      <c r="Q726" s="105"/>
    </row>
    <row r="727" spans="1:17" x14ac:dyDescent="0.25">
      <c r="A727" s="103"/>
      <c r="B727" s="104"/>
      <c r="C727" s="104"/>
      <c r="D727" s="104"/>
      <c r="E727" s="105"/>
      <c r="F727" s="104"/>
      <c r="G727" s="105"/>
      <c r="H727" s="105"/>
      <c r="I727" s="106"/>
      <c r="J727" s="104"/>
      <c r="K727" s="105"/>
      <c r="L727" s="105"/>
      <c r="M727" s="105"/>
      <c r="N727" s="111"/>
      <c r="O727" s="106"/>
      <c r="P727" s="105"/>
      <c r="Q727" s="105"/>
    </row>
    <row r="728" spans="1:17" x14ac:dyDescent="0.25">
      <c r="A728" s="103"/>
      <c r="B728" s="104"/>
      <c r="C728" s="104"/>
      <c r="D728" s="104"/>
      <c r="E728" s="105"/>
      <c r="F728" s="104"/>
      <c r="G728" s="105"/>
      <c r="H728" s="105"/>
      <c r="I728" s="106"/>
      <c r="J728" s="104"/>
      <c r="K728" s="105"/>
      <c r="L728" s="105"/>
      <c r="M728" s="105"/>
      <c r="N728" s="111"/>
      <c r="O728" s="106"/>
      <c r="P728" s="105"/>
      <c r="Q728" s="105"/>
    </row>
    <row r="729" spans="1:17" x14ac:dyDescent="0.25">
      <c r="A729" s="103"/>
      <c r="B729" s="104"/>
      <c r="C729" s="104"/>
      <c r="D729" s="104"/>
      <c r="E729" s="105"/>
      <c r="F729" s="104"/>
      <c r="G729" s="105"/>
      <c r="H729" s="105"/>
      <c r="I729" s="106"/>
      <c r="J729" s="104"/>
      <c r="K729" s="105"/>
      <c r="L729" s="105"/>
      <c r="M729" s="105"/>
      <c r="N729" s="111"/>
      <c r="O729" s="106"/>
      <c r="P729" s="105"/>
      <c r="Q729" s="105"/>
    </row>
    <row r="730" spans="1:17" x14ac:dyDescent="0.25">
      <c r="A730" s="103"/>
      <c r="B730" s="104"/>
      <c r="C730" s="104"/>
      <c r="D730" s="104"/>
      <c r="E730" s="105"/>
      <c r="F730" s="104"/>
      <c r="G730" s="105"/>
      <c r="H730" s="105"/>
      <c r="I730" s="106"/>
      <c r="J730" s="104"/>
      <c r="K730" s="105"/>
      <c r="L730" s="105"/>
      <c r="M730" s="105"/>
      <c r="N730" s="111"/>
      <c r="O730" s="106"/>
      <c r="P730" s="105"/>
      <c r="Q730" s="105"/>
    </row>
    <row r="731" spans="1:17" x14ac:dyDescent="0.25">
      <c r="A731" s="103"/>
      <c r="B731" s="104"/>
      <c r="C731" s="104"/>
      <c r="D731" s="104"/>
      <c r="E731" s="105"/>
      <c r="F731" s="104"/>
      <c r="G731" s="105"/>
      <c r="H731" s="105"/>
      <c r="I731" s="106"/>
      <c r="J731" s="104"/>
      <c r="K731" s="105"/>
      <c r="L731" s="105"/>
      <c r="M731" s="105"/>
      <c r="N731" s="111"/>
      <c r="O731" s="106"/>
      <c r="P731" s="105"/>
      <c r="Q731" s="105"/>
    </row>
    <row r="732" spans="1:17" x14ac:dyDescent="0.25">
      <c r="A732" s="103"/>
      <c r="B732" s="104"/>
      <c r="C732" s="104"/>
      <c r="D732" s="104"/>
      <c r="E732" s="105"/>
      <c r="F732" s="104"/>
      <c r="G732" s="105"/>
      <c r="H732" s="105"/>
      <c r="I732" s="106"/>
      <c r="J732" s="104"/>
      <c r="K732" s="105"/>
      <c r="L732" s="105"/>
      <c r="M732" s="105"/>
      <c r="N732" s="111"/>
      <c r="O732" s="106"/>
      <c r="P732" s="105"/>
      <c r="Q732" s="105"/>
    </row>
    <row r="733" spans="1:17" x14ac:dyDescent="0.25">
      <c r="A733" s="103"/>
      <c r="B733" s="104"/>
      <c r="C733" s="104"/>
      <c r="D733" s="104"/>
      <c r="E733" s="105"/>
      <c r="F733" s="104"/>
      <c r="G733" s="105"/>
      <c r="H733" s="105"/>
      <c r="I733" s="106"/>
      <c r="J733" s="104"/>
      <c r="K733" s="105"/>
      <c r="L733" s="105"/>
      <c r="M733" s="105"/>
      <c r="N733" s="111"/>
      <c r="O733" s="106"/>
      <c r="P733" s="105"/>
      <c r="Q733" s="105"/>
    </row>
    <row r="734" spans="1:17" x14ac:dyDescent="0.25">
      <c r="A734" s="103"/>
      <c r="B734" s="104"/>
      <c r="C734" s="104"/>
      <c r="D734" s="104"/>
      <c r="E734" s="105"/>
      <c r="F734" s="104"/>
      <c r="G734" s="105"/>
      <c r="H734" s="105"/>
      <c r="I734" s="106"/>
      <c r="J734" s="104"/>
      <c r="K734" s="105"/>
      <c r="L734" s="105"/>
      <c r="M734" s="105"/>
      <c r="N734" s="111"/>
      <c r="O734" s="106"/>
      <c r="P734" s="105"/>
      <c r="Q734" s="105"/>
    </row>
    <row r="735" spans="1:17" x14ac:dyDescent="0.25">
      <c r="A735" s="103"/>
      <c r="B735" s="104"/>
      <c r="C735" s="104"/>
      <c r="D735" s="104"/>
      <c r="E735" s="105"/>
      <c r="F735" s="104"/>
      <c r="G735" s="105"/>
      <c r="H735" s="105"/>
      <c r="I735" s="106"/>
      <c r="J735" s="104"/>
      <c r="K735" s="105"/>
      <c r="L735" s="105"/>
      <c r="M735" s="105"/>
      <c r="N735" s="111"/>
      <c r="O735" s="106"/>
      <c r="P735" s="105"/>
      <c r="Q735" s="105"/>
    </row>
    <row r="736" spans="1:17" x14ac:dyDescent="0.25">
      <c r="A736" s="103"/>
      <c r="B736" s="104"/>
      <c r="C736" s="104"/>
      <c r="D736" s="104"/>
      <c r="E736" s="105"/>
      <c r="F736" s="104"/>
      <c r="G736" s="105"/>
      <c r="H736" s="105"/>
      <c r="I736" s="106"/>
      <c r="J736" s="104"/>
      <c r="K736" s="105"/>
      <c r="L736" s="105"/>
      <c r="M736" s="105"/>
      <c r="N736" s="111"/>
      <c r="O736" s="106"/>
      <c r="P736" s="105"/>
      <c r="Q736" s="105"/>
    </row>
    <row r="737" spans="1:17" x14ac:dyDescent="0.25">
      <c r="A737" s="103"/>
      <c r="B737" s="104"/>
      <c r="C737" s="104"/>
      <c r="D737" s="104"/>
      <c r="E737" s="105"/>
      <c r="F737" s="104"/>
      <c r="G737" s="105"/>
      <c r="H737" s="105"/>
      <c r="I737" s="106"/>
      <c r="J737" s="104"/>
      <c r="K737" s="105"/>
      <c r="L737" s="105"/>
      <c r="M737" s="105"/>
      <c r="N737" s="111"/>
      <c r="O737" s="106"/>
      <c r="P737" s="105"/>
      <c r="Q737" s="105"/>
    </row>
    <row r="738" spans="1:17" x14ac:dyDescent="0.25">
      <c r="A738" s="103"/>
      <c r="B738" s="104"/>
      <c r="C738" s="104"/>
      <c r="D738" s="104"/>
      <c r="E738" s="105"/>
      <c r="F738" s="104"/>
      <c r="G738" s="105"/>
      <c r="H738" s="105"/>
      <c r="I738" s="106"/>
      <c r="J738" s="104"/>
      <c r="K738" s="105"/>
      <c r="L738" s="105"/>
      <c r="M738" s="105"/>
      <c r="N738" s="111"/>
      <c r="O738" s="106"/>
      <c r="P738" s="105"/>
      <c r="Q738" s="105"/>
    </row>
    <row r="739" spans="1:17" x14ac:dyDescent="0.25">
      <c r="A739" s="103"/>
      <c r="B739" s="104"/>
      <c r="C739" s="104"/>
      <c r="D739" s="104"/>
      <c r="E739" s="105"/>
      <c r="F739" s="104"/>
      <c r="G739" s="105"/>
      <c r="H739" s="105"/>
      <c r="I739" s="106"/>
      <c r="J739" s="104"/>
      <c r="K739" s="105"/>
      <c r="L739" s="105"/>
      <c r="M739" s="105"/>
      <c r="N739" s="111"/>
      <c r="O739" s="106"/>
      <c r="P739" s="105"/>
      <c r="Q739" s="105"/>
    </row>
    <row r="740" spans="1:17" x14ac:dyDescent="0.25">
      <c r="A740" s="103"/>
      <c r="B740" s="104"/>
      <c r="C740" s="104"/>
      <c r="D740" s="104"/>
      <c r="E740" s="105"/>
      <c r="F740" s="104"/>
      <c r="G740" s="105"/>
      <c r="H740" s="105"/>
      <c r="I740" s="106"/>
      <c r="J740" s="104"/>
      <c r="K740" s="105"/>
      <c r="L740" s="105"/>
      <c r="M740" s="105"/>
      <c r="N740" s="111"/>
      <c r="O740" s="106"/>
      <c r="P740" s="105"/>
      <c r="Q740" s="105"/>
    </row>
    <row r="741" spans="1:17" x14ac:dyDescent="0.25">
      <c r="A741" s="103"/>
      <c r="B741" s="104"/>
      <c r="C741" s="104"/>
      <c r="D741" s="104"/>
      <c r="E741" s="105"/>
      <c r="F741" s="104"/>
      <c r="G741" s="105"/>
      <c r="H741" s="105"/>
      <c r="I741" s="106"/>
      <c r="J741" s="104"/>
      <c r="K741" s="105"/>
      <c r="L741" s="105"/>
      <c r="M741" s="105"/>
      <c r="N741" s="111"/>
      <c r="O741" s="106"/>
      <c r="P741" s="105"/>
      <c r="Q741" s="105"/>
    </row>
    <row r="742" spans="1:17" x14ac:dyDescent="0.25">
      <c r="A742" s="103"/>
      <c r="B742" s="104"/>
      <c r="C742" s="104"/>
      <c r="D742" s="104"/>
      <c r="E742" s="105"/>
      <c r="F742" s="104"/>
      <c r="G742" s="105"/>
      <c r="H742" s="105"/>
      <c r="I742" s="106"/>
      <c r="J742" s="104"/>
      <c r="K742" s="105"/>
      <c r="L742" s="105"/>
      <c r="M742" s="105"/>
      <c r="N742" s="111"/>
      <c r="O742" s="106"/>
      <c r="P742" s="105"/>
      <c r="Q742" s="105"/>
    </row>
    <row r="743" spans="1:17" x14ac:dyDescent="0.25">
      <c r="A743" s="103"/>
      <c r="B743" s="104"/>
      <c r="C743" s="104"/>
      <c r="D743" s="104"/>
      <c r="E743" s="105"/>
      <c r="F743" s="104"/>
      <c r="G743" s="105"/>
      <c r="H743" s="105"/>
      <c r="I743" s="106"/>
      <c r="J743" s="104"/>
      <c r="K743" s="105"/>
      <c r="L743" s="105"/>
      <c r="M743" s="105"/>
      <c r="N743" s="111"/>
      <c r="O743" s="106"/>
      <c r="P743" s="105"/>
      <c r="Q743" s="105"/>
    </row>
    <row r="744" spans="1:17" x14ac:dyDescent="0.25">
      <c r="A744" s="103"/>
      <c r="B744" s="104"/>
      <c r="C744" s="104"/>
      <c r="D744" s="104"/>
      <c r="E744" s="105"/>
      <c r="F744" s="104"/>
      <c r="G744" s="105"/>
      <c r="H744" s="105"/>
      <c r="I744" s="106"/>
      <c r="J744" s="104"/>
      <c r="K744" s="105"/>
      <c r="L744" s="105"/>
      <c r="M744" s="105"/>
      <c r="N744" s="111"/>
      <c r="O744" s="106"/>
      <c r="P744" s="105"/>
      <c r="Q744" s="105"/>
    </row>
    <row r="745" spans="1:17" x14ac:dyDescent="0.25">
      <c r="A745" s="103"/>
      <c r="B745" s="104"/>
      <c r="C745" s="104"/>
      <c r="D745" s="104"/>
      <c r="E745" s="105"/>
      <c r="F745" s="104"/>
      <c r="G745" s="105"/>
      <c r="H745" s="105"/>
      <c r="I745" s="106"/>
      <c r="J745" s="104"/>
      <c r="K745" s="105"/>
      <c r="L745" s="105"/>
      <c r="M745" s="105"/>
      <c r="N745" s="111"/>
      <c r="O745" s="106"/>
      <c r="P745" s="105"/>
      <c r="Q745" s="105"/>
    </row>
    <row r="746" spans="1:17" x14ac:dyDescent="0.25">
      <c r="A746" s="103"/>
      <c r="B746" s="104"/>
      <c r="C746" s="104"/>
      <c r="D746" s="104"/>
      <c r="E746" s="105"/>
      <c r="F746" s="104"/>
      <c r="G746" s="105"/>
      <c r="H746" s="105"/>
      <c r="I746" s="106"/>
      <c r="J746" s="104"/>
      <c r="K746" s="105"/>
      <c r="L746" s="105"/>
      <c r="M746" s="105"/>
      <c r="N746" s="111"/>
      <c r="O746" s="106"/>
      <c r="P746" s="105"/>
      <c r="Q746" s="105"/>
    </row>
    <row r="747" spans="1:17" x14ac:dyDescent="0.25">
      <c r="A747" s="103"/>
      <c r="B747" s="104"/>
      <c r="C747" s="104"/>
      <c r="D747" s="104"/>
      <c r="E747" s="105"/>
      <c r="F747" s="104"/>
      <c r="G747" s="105"/>
      <c r="H747" s="105"/>
      <c r="I747" s="106"/>
      <c r="J747" s="104"/>
      <c r="K747" s="105"/>
      <c r="L747" s="105"/>
      <c r="M747" s="105"/>
      <c r="N747" s="111"/>
      <c r="O747" s="106"/>
      <c r="P747" s="105"/>
      <c r="Q747" s="105"/>
    </row>
    <row r="748" spans="1:17" x14ac:dyDescent="0.25">
      <c r="A748" s="103"/>
      <c r="B748" s="104"/>
      <c r="C748" s="104"/>
      <c r="D748" s="104"/>
      <c r="E748" s="105"/>
      <c r="F748" s="104"/>
      <c r="G748" s="105"/>
      <c r="H748" s="105"/>
      <c r="I748" s="106"/>
      <c r="J748" s="104"/>
      <c r="K748" s="105"/>
      <c r="L748" s="105"/>
      <c r="M748" s="105"/>
      <c r="N748" s="111"/>
      <c r="O748" s="106"/>
      <c r="P748" s="105"/>
      <c r="Q748" s="105"/>
    </row>
    <row r="749" spans="1:17" x14ac:dyDescent="0.25">
      <c r="A749" s="103"/>
      <c r="B749" s="104"/>
      <c r="C749" s="104"/>
      <c r="D749" s="104"/>
      <c r="E749" s="105"/>
      <c r="F749" s="104"/>
      <c r="G749" s="105"/>
      <c r="H749" s="105"/>
      <c r="I749" s="106"/>
      <c r="J749" s="104"/>
      <c r="K749" s="105"/>
      <c r="L749" s="105"/>
      <c r="M749" s="105"/>
      <c r="N749" s="111"/>
      <c r="O749" s="106"/>
      <c r="P749" s="105"/>
      <c r="Q749" s="105"/>
    </row>
    <row r="750" spans="1:17" x14ac:dyDescent="0.25">
      <c r="A750" s="103"/>
      <c r="B750" s="104"/>
      <c r="C750" s="104"/>
      <c r="D750" s="104"/>
      <c r="E750" s="105"/>
      <c r="F750" s="104"/>
      <c r="G750" s="105"/>
      <c r="H750" s="105"/>
      <c r="I750" s="106"/>
      <c r="J750" s="104"/>
      <c r="K750" s="105"/>
      <c r="L750" s="105"/>
      <c r="M750" s="105"/>
      <c r="N750" s="111"/>
      <c r="O750" s="106"/>
      <c r="P750" s="105"/>
      <c r="Q750" s="105"/>
    </row>
    <row r="751" spans="1:17" x14ac:dyDescent="0.25">
      <c r="A751" s="103"/>
      <c r="B751" s="104"/>
      <c r="C751" s="104"/>
      <c r="D751" s="104"/>
      <c r="E751" s="105"/>
      <c r="F751" s="104"/>
      <c r="G751" s="105"/>
      <c r="H751" s="105"/>
      <c r="I751" s="106"/>
      <c r="J751" s="104"/>
      <c r="K751" s="105"/>
      <c r="L751" s="105"/>
      <c r="M751" s="105"/>
      <c r="N751" s="111"/>
      <c r="O751" s="106"/>
      <c r="P751" s="105"/>
      <c r="Q751" s="105"/>
    </row>
    <row r="752" spans="1:17" x14ac:dyDescent="0.25">
      <c r="A752" s="103"/>
      <c r="B752" s="104"/>
      <c r="C752" s="104"/>
      <c r="D752" s="104"/>
      <c r="E752" s="105"/>
      <c r="F752" s="104"/>
      <c r="G752" s="105"/>
      <c r="H752" s="105"/>
      <c r="I752" s="106"/>
      <c r="J752" s="104"/>
      <c r="K752" s="105"/>
      <c r="L752" s="105"/>
      <c r="M752" s="105"/>
      <c r="N752" s="111"/>
      <c r="O752" s="106"/>
      <c r="P752" s="105"/>
      <c r="Q752" s="105"/>
    </row>
    <row r="753" spans="1:17" x14ac:dyDescent="0.25">
      <c r="A753" s="103"/>
      <c r="B753" s="104"/>
      <c r="C753" s="104"/>
      <c r="D753" s="104"/>
      <c r="E753" s="105"/>
      <c r="F753" s="104"/>
      <c r="G753" s="105"/>
      <c r="H753" s="105"/>
      <c r="I753" s="106"/>
      <c r="J753" s="104"/>
      <c r="K753" s="105"/>
      <c r="L753" s="105"/>
      <c r="M753" s="105"/>
      <c r="N753" s="111"/>
      <c r="O753" s="106"/>
      <c r="P753" s="105"/>
      <c r="Q753" s="105"/>
    </row>
    <row r="754" spans="1:17" x14ac:dyDescent="0.25">
      <c r="A754" s="103"/>
      <c r="B754" s="104"/>
      <c r="C754" s="104"/>
      <c r="D754" s="104"/>
      <c r="E754" s="105"/>
      <c r="F754" s="104"/>
      <c r="G754" s="105"/>
      <c r="H754" s="105"/>
      <c r="I754" s="106"/>
      <c r="J754" s="104"/>
      <c r="K754" s="105"/>
      <c r="L754" s="105"/>
      <c r="M754" s="105"/>
      <c r="N754" s="111"/>
      <c r="O754" s="106"/>
      <c r="P754" s="105"/>
      <c r="Q754" s="105"/>
    </row>
    <row r="755" spans="1:17" x14ac:dyDescent="0.25">
      <c r="A755" s="103"/>
      <c r="B755" s="104"/>
      <c r="C755" s="104"/>
      <c r="D755" s="104"/>
      <c r="E755" s="105"/>
      <c r="F755" s="104"/>
      <c r="G755" s="105"/>
      <c r="H755" s="105"/>
      <c r="I755" s="106"/>
      <c r="J755" s="104"/>
      <c r="K755" s="105"/>
      <c r="L755" s="105"/>
      <c r="M755" s="105"/>
      <c r="N755" s="111"/>
      <c r="O755" s="106"/>
      <c r="P755" s="105"/>
      <c r="Q755" s="105"/>
    </row>
    <row r="756" spans="1:17" x14ac:dyDescent="0.25">
      <c r="A756" s="103"/>
      <c r="B756" s="104"/>
      <c r="C756" s="104"/>
      <c r="D756" s="104"/>
      <c r="E756" s="105"/>
      <c r="F756" s="104"/>
      <c r="G756" s="105"/>
      <c r="H756" s="105"/>
      <c r="I756" s="106"/>
      <c r="J756" s="104"/>
      <c r="K756" s="105"/>
      <c r="L756" s="105"/>
      <c r="M756" s="105"/>
      <c r="N756" s="111"/>
      <c r="O756" s="106"/>
      <c r="P756" s="105"/>
      <c r="Q756" s="105"/>
    </row>
    <row r="757" spans="1:17" x14ac:dyDescent="0.25">
      <c r="A757" s="103"/>
      <c r="B757" s="104"/>
      <c r="C757" s="104"/>
      <c r="D757" s="104"/>
      <c r="E757" s="105"/>
      <c r="F757" s="104"/>
      <c r="G757" s="105"/>
      <c r="H757" s="105"/>
      <c r="I757" s="106"/>
      <c r="J757" s="104"/>
      <c r="K757" s="105"/>
      <c r="L757" s="105"/>
      <c r="M757" s="105"/>
      <c r="N757" s="111"/>
      <c r="O757" s="106"/>
      <c r="P757" s="105"/>
      <c r="Q757" s="105"/>
    </row>
    <row r="758" spans="1:17" x14ac:dyDescent="0.25">
      <c r="A758" s="103"/>
      <c r="B758" s="104"/>
      <c r="C758" s="104"/>
      <c r="D758" s="104"/>
      <c r="E758" s="105"/>
      <c r="F758" s="104"/>
      <c r="G758" s="105"/>
      <c r="H758" s="105"/>
      <c r="I758" s="106"/>
      <c r="J758" s="104"/>
      <c r="K758" s="105"/>
      <c r="L758" s="105"/>
      <c r="M758" s="105"/>
      <c r="N758" s="111"/>
      <c r="O758" s="106"/>
      <c r="P758" s="105"/>
      <c r="Q758" s="105"/>
    </row>
    <row r="759" spans="1:17" x14ac:dyDescent="0.25">
      <c r="A759" s="103"/>
      <c r="B759" s="104"/>
      <c r="C759" s="104"/>
      <c r="D759" s="104"/>
      <c r="E759" s="105"/>
      <c r="F759" s="104"/>
      <c r="G759" s="105"/>
      <c r="H759" s="105"/>
      <c r="I759" s="106"/>
      <c r="J759" s="104"/>
      <c r="K759" s="105"/>
      <c r="L759" s="105"/>
      <c r="M759" s="105"/>
      <c r="N759" s="111"/>
      <c r="O759" s="106"/>
      <c r="P759" s="105"/>
      <c r="Q759" s="105"/>
    </row>
    <row r="760" spans="1:17" x14ac:dyDescent="0.25">
      <c r="A760" s="103"/>
      <c r="B760" s="104"/>
      <c r="C760" s="104"/>
      <c r="D760" s="104"/>
      <c r="E760" s="105"/>
      <c r="F760" s="104"/>
      <c r="G760" s="105"/>
      <c r="H760" s="105"/>
      <c r="I760" s="106"/>
      <c r="J760" s="104"/>
      <c r="K760" s="105"/>
      <c r="L760" s="105"/>
      <c r="M760" s="105"/>
      <c r="N760" s="111"/>
      <c r="O760" s="106"/>
      <c r="P760" s="105"/>
      <c r="Q760" s="105"/>
    </row>
    <row r="761" spans="1:17" x14ac:dyDescent="0.25">
      <c r="A761" s="103"/>
      <c r="B761" s="104"/>
      <c r="C761" s="104"/>
      <c r="D761" s="104"/>
      <c r="E761" s="105"/>
      <c r="F761" s="104"/>
      <c r="G761" s="105"/>
      <c r="H761" s="105"/>
      <c r="I761" s="106"/>
      <c r="J761" s="104"/>
      <c r="K761" s="105"/>
      <c r="L761" s="105"/>
      <c r="M761" s="105"/>
      <c r="N761" s="111"/>
      <c r="O761" s="106"/>
      <c r="P761" s="105"/>
      <c r="Q761" s="105"/>
    </row>
    <row r="762" spans="1:17" x14ac:dyDescent="0.25">
      <c r="A762" s="103"/>
      <c r="B762" s="104"/>
      <c r="C762" s="104"/>
      <c r="D762" s="104"/>
      <c r="E762" s="105"/>
      <c r="F762" s="104"/>
      <c r="G762" s="105"/>
      <c r="H762" s="105"/>
      <c r="I762" s="106"/>
      <c r="J762" s="104"/>
      <c r="K762" s="105"/>
      <c r="L762" s="105"/>
      <c r="M762" s="105"/>
      <c r="N762" s="111"/>
      <c r="O762" s="106"/>
      <c r="P762" s="105"/>
      <c r="Q762" s="105"/>
    </row>
    <row r="763" spans="1:17" x14ac:dyDescent="0.25">
      <c r="A763" s="103"/>
      <c r="B763" s="104"/>
      <c r="C763" s="104"/>
      <c r="D763" s="104"/>
      <c r="E763" s="105"/>
      <c r="F763" s="104"/>
      <c r="G763" s="105"/>
      <c r="H763" s="105"/>
      <c r="I763" s="106"/>
      <c r="J763" s="104"/>
      <c r="K763" s="105"/>
      <c r="L763" s="105"/>
      <c r="M763" s="105"/>
      <c r="N763" s="111"/>
      <c r="O763" s="106"/>
      <c r="P763" s="105"/>
      <c r="Q763" s="105"/>
    </row>
    <row r="764" spans="1:17" x14ac:dyDescent="0.25">
      <c r="A764" s="103"/>
      <c r="B764" s="104"/>
      <c r="C764" s="104"/>
      <c r="D764" s="104"/>
      <c r="E764" s="105"/>
      <c r="F764" s="104"/>
      <c r="G764" s="105"/>
      <c r="H764" s="105"/>
      <c r="I764" s="106"/>
      <c r="J764" s="104"/>
      <c r="K764" s="105"/>
      <c r="L764" s="105"/>
      <c r="M764" s="105"/>
      <c r="N764" s="111"/>
      <c r="O764" s="106"/>
      <c r="P764" s="105"/>
      <c r="Q764" s="105"/>
    </row>
    <row r="765" spans="1:17" x14ac:dyDescent="0.25">
      <c r="A765" s="103"/>
      <c r="B765" s="104"/>
      <c r="C765" s="104"/>
      <c r="D765" s="104"/>
      <c r="E765" s="105"/>
      <c r="F765" s="104"/>
      <c r="G765" s="105"/>
      <c r="H765" s="105"/>
      <c r="I765" s="106"/>
      <c r="J765" s="104"/>
      <c r="K765" s="105"/>
      <c r="L765" s="105"/>
      <c r="M765" s="105"/>
      <c r="N765" s="111"/>
      <c r="O765" s="106"/>
      <c r="P765" s="105"/>
      <c r="Q765" s="105"/>
    </row>
    <row r="766" spans="1:17" x14ac:dyDescent="0.25">
      <c r="A766" s="103"/>
      <c r="B766" s="104"/>
      <c r="C766" s="104"/>
      <c r="D766" s="104"/>
      <c r="E766" s="105"/>
      <c r="F766" s="104"/>
      <c r="G766" s="105"/>
      <c r="H766" s="105"/>
      <c r="I766" s="106"/>
      <c r="J766" s="104"/>
      <c r="K766" s="105"/>
      <c r="L766" s="105"/>
      <c r="M766" s="105"/>
      <c r="N766" s="111"/>
      <c r="O766" s="106"/>
      <c r="P766" s="105"/>
      <c r="Q766" s="105"/>
    </row>
    <row r="767" spans="1:17" x14ac:dyDescent="0.25">
      <c r="A767" s="103"/>
      <c r="B767" s="104"/>
      <c r="C767" s="104"/>
      <c r="D767" s="104"/>
      <c r="E767" s="105"/>
      <c r="F767" s="104"/>
      <c r="G767" s="105"/>
      <c r="H767" s="105"/>
      <c r="I767" s="106"/>
      <c r="J767" s="104"/>
      <c r="K767" s="105"/>
      <c r="L767" s="105"/>
      <c r="M767" s="105"/>
      <c r="N767" s="111"/>
      <c r="O767" s="106"/>
      <c r="P767" s="105"/>
      <c r="Q767" s="105"/>
    </row>
    <row r="768" spans="1:17" x14ac:dyDescent="0.25">
      <c r="A768" s="103"/>
      <c r="B768" s="104"/>
      <c r="C768" s="104"/>
      <c r="D768" s="104"/>
      <c r="E768" s="105"/>
      <c r="F768" s="104"/>
      <c r="G768" s="105"/>
      <c r="H768" s="105"/>
      <c r="I768" s="106"/>
      <c r="J768" s="104"/>
      <c r="K768" s="105"/>
      <c r="L768" s="105"/>
      <c r="M768" s="105"/>
      <c r="N768" s="111"/>
      <c r="O768" s="106"/>
      <c r="P768" s="105"/>
      <c r="Q768" s="105"/>
    </row>
    <row r="769" spans="1:17" x14ac:dyDescent="0.25">
      <c r="A769" s="103"/>
      <c r="B769" s="104"/>
      <c r="C769" s="104"/>
      <c r="D769" s="104"/>
      <c r="E769" s="105"/>
      <c r="F769" s="104"/>
      <c r="G769" s="105"/>
      <c r="H769" s="105"/>
      <c r="I769" s="106"/>
      <c r="J769" s="104"/>
      <c r="K769" s="105"/>
      <c r="L769" s="105"/>
      <c r="M769" s="105"/>
      <c r="N769" s="111"/>
      <c r="O769" s="106"/>
      <c r="P769" s="105"/>
      <c r="Q769" s="105"/>
    </row>
    <row r="770" spans="1:17" x14ac:dyDescent="0.25">
      <c r="A770" s="103"/>
      <c r="B770" s="104"/>
      <c r="C770" s="104"/>
      <c r="D770" s="104"/>
      <c r="E770" s="105"/>
      <c r="F770" s="104"/>
      <c r="G770" s="105"/>
      <c r="H770" s="105"/>
      <c r="I770" s="106"/>
      <c r="J770" s="104"/>
      <c r="K770" s="105"/>
      <c r="L770" s="105"/>
      <c r="M770" s="105"/>
      <c r="N770" s="111"/>
      <c r="O770" s="106"/>
      <c r="P770" s="105"/>
      <c r="Q770" s="105"/>
    </row>
    <row r="771" spans="1:17" x14ac:dyDescent="0.25">
      <c r="A771" s="103"/>
      <c r="B771" s="104"/>
      <c r="C771" s="104"/>
      <c r="D771" s="104"/>
      <c r="E771" s="105"/>
      <c r="F771" s="104"/>
      <c r="G771" s="105"/>
      <c r="H771" s="105"/>
      <c r="I771" s="106"/>
      <c r="J771" s="104"/>
      <c r="K771" s="105"/>
      <c r="L771" s="105"/>
      <c r="M771" s="105"/>
      <c r="N771" s="111"/>
      <c r="O771" s="106"/>
      <c r="P771" s="105"/>
      <c r="Q771" s="105"/>
    </row>
    <row r="772" spans="1:17" x14ac:dyDescent="0.25">
      <c r="A772" s="103"/>
      <c r="B772" s="104"/>
      <c r="C772" s="104"/>
      <c r="D772" s="104"/>
      <c r="E772" s="105"/>
      <c r="F772" s="104"/>
      <c r="G772" s="105"/>
      <c r="H772" s="105"/>
      <c r="I772" s="106"/>
      <c r="J772" s="104"/>
      <c r="K772" s="105"/>
      <c r="L772" s="105"/>
      <c r="M772" s="105"/>
      <c r="N772" s="111"/>
      <c r="O772" s="106"/>
      <c r="P772" s="105"/>
      <c r="Q772" s="105"/>
    </row>
    <row r="773" spans="1:17" x14ac:dyDescent="0.25">
      <c r="A773" s="103"/>
      <c r="B773" s="104"/>
      <c r="C773" s="104"/>
      <c r="D773" s="104"/>
      <c r="E773" s="105"/>
      <c r="F773" s="104"/>
      <c r="G773" s="105"/>
      <c r="H773" s="105"/>
      <c r="I773" s="106"/>
      <c r="J773" s="104"/>
      <c r="K773" s="105"/>
      <c r="L773" s="105"/>
      <c r="M773" s="105"/>
      <c r="N773" s="111"/>
      <c r="O773" s="106"/>
      <c r="P773" s="105"/>
      <c r="Q773" s="105"/>
    </row>
    <row r="774" spans="1:17" x14ac:dyDescent="0.25">
      <c r="A774" s="103"/>
      <c r="B774" s="104"/>
      <c r="C774" s="104"/>
      <c r="D774" s="104"/>
      <c r="E774" s="105"/>
      <c r="F774" s="104"/>
      <c r="G774" s="105"/>
      <c r="H774" s="105"/>
      <c r="I774" s="106"/>
      <c r="J774" s="104"/>
      <c r="K774" s="105"/>
      <c r="L774" s="105"/>
      <c r="M774" s="105"/>
      <c r="N774" s="111"/>
      <c r="O774" s="106"/>
      <c r="P774" s="105"/>
      <c r="Q774" s="105"/>
    </row>
    <row r="775" spans="1:17" x14ac:dyDescent="0.25">
      <c r="A775" s="103"/>
      <c r="B775" s="104"/>
      <c r="C775" s="104"/>
      <c r="D775" s="104"/>
      <c r="E775" s="105"/>
      <c r="F775" s="104"/>
      <c r="G775" s="105"/>
      <c r="H775" s="105"/>
      <c r="I775" s="106"/>
      <c r="J775" s="104"/>
      <c r="K775" s="105"/>
      <c r="L775" s="105"/>
      <c r="M775" s="105"/>
      <c r="N775" s="111"/>
      <c r="O775" s="106"/>
      <c r="P775" s="105"/>
      <c r="Q775" s="105"/>
    </row>
    <row r="776" spans="1:17" x14ac:dyDescent="0.25">
      <c r="A776" s="103"/>
      <c r="B776" s="104"/>
      <c r="C776" s="104"/>
      <c r="D776" s="104"/>
      <c r="E776" s="105"/>
      <c r="F776" s="104"/>
      <c r="G776" s="105"/>
      <c r="H776" s="105"/>
      <c r="I776" s="106"/>
      <c r="J776" s="104"/>
      <c r="K776" s="105"/>
      <c r="L776" s="105"/>
      <c r="M776" s="105"/>
      <c r="N776" s="111"/>
      <c r="O776" s="106"/>
      <c r="P776" s="105"/>
      <c r="Q776" s="105"/>
    </row>
    <row r="777" spans="1:17" x14ac:dyDescent="0.25">
      <c r="A777" s="103"/>
      <c r="B777" s="104"/>
      <c r="C777" s="104"/>
      <c r="D777" s="104"/>
      <c r="E777" s="105"/>
      <c r="F777" s="104"/>
      <c r="G777" s="105"/>
      <c r="H777" s="105"/>
      <c r="I777" s="106"/>
      <c r="J777" s="104"/>
      <c r="K777" s="105"/>
      <c r="L777" s="105"/>
      <c r="M777" s="105"/>
      <c r="N777" s="111"/>
      <c r="O777" s="106"/>
      <c r="P777" s="105"/>
      <c r="Q777" s="105"/>
    </row>
    <row r="778" spans="1:17" x14ac:dyDescent="0.25">
      <c r="A778" s="103"/>
      <c r="B778" s="104"/>
      <c r="C778" s="104"/>
      <c r="D778" s="104"/>
      <c r="E778" s="105"/>
      <c r="F778" s="104"/>
      <c r="G778" s="105"/>
      <c r="H778" s="105"/>
      <c r="I778" s="106"/>
      <c r="J778" s="104"/>
      <c r="K778" s="105"/>
      <c r="L778" s="105"/>
      <c r="M778" s="105"/>
      <c r="N778" s="111"/>
      <c r="O778" s="106"/>
      <c r="P778" s="105"/>
      <c r="Q778" s="105"/>
    </row>
    <row r="779" spans="1:17" x14ac:dyDescent="0.25">
      <c r="A779" s="103"/>
      <c r="B779" s="104"/>
      <c r="C779" s="104"/>
      <c r="D779" s="104"/>
      <c r="E779" s="105"/>
      <c r="F779" s="104"/>
      <c r="G779" s="105"/>
      <c r="H779" s="105"/>
      <c r="I779" s="106"/>
      <c r="J779" s="104"/>
      <c r="K779" s="105"/>
      <c r="L779" s="105"/>
      <c r="M779" s="105"/>
      <c r="N779" s="111"/>
      <c r="O779" s="106"/>
      <c r="P779" s="105"/>
      <c r="Q779" s="105"/>
    </row>
    <row r="780" spans="1:17" x14ac:dyDescent="0.25">
      <c r="A780" s="103"/>
      <c r="B780" s="104"/>
      <c r="C780" s="104"/>
      <c r="D780" s="104"/>
      <c r="E780" s="105"/>
      <c r="F780" s="104"/>
      <c r="G780" s="105"/>
      <c r="H780" s="105"/>
      <c r="I780" s="106"/>
      <c r="J780" s="104"/>
      <c r="K780" s="105"/>
      <c r="L780" s="105"/>
      <c r="M780" s="105"/>
      <c r="N780" s="111"/>
      <c r="O780" s="106"/>
      <c r="P780" s="105"/>
      <c r="Q780" s="105"/>
    </row>
    <row r="781" spans="1:17" x14ac:dyDescent="0.25">
      <c r="A781" s="103"/>
      <c r="B781" s="104"/>
      <c r="C781" s="104"/>
      <c r="D781" s="104"/>
      <c r="E781" s="105"/>
      <c r="F781" s="104"/>
      <c r="G781" s="105"/>
      <c r="H781" s="105"/>
      <c r="I781" s="106"/>
      <c r="J781" s="104"/>
      <c r="K781" s="105"/>
      <c r="L781" s="105"/>
      <c r="M781" s="105"/>
      <c r="N781" s="111"/>
      <c r="O781" s="106"/>
      <c r="P781" s="105"/>
      <c r="Q781" s="105"/>
    </row>
    <row r="782" spans="1:17" x14ac:dyDescent="0.25">
      <c r="A782" s="103"/>
      <c r="B782" s="104"/>
      <c r="C782" s="104"/>
      <c r="D782" s="104"/>
      <c r="E782" s="105"/>
      <c r="F782" s="104"/>
      <c r="G782" s="105"/>
      <c r="H782" s="105"/>
      <c r="I782" s="106"/>
      <c r="J782" s="104"/>
      <c r="K782" s="105"/>
      <c r="L782" s="105"/>
      <c r="M782" s="105"/>
      <c r="N782" s="111"/>
      <c r="O782" s="106"/>
      <c r="P782" s="105"/>
      <c r="Q782" s="105"/>
    </row>
    <row r="783" spans="1:17" x14ac:dyDescent="0.25">
      <c r="A783" s="103"/>
      <c r="B783" s="104"/>
      <c r="C783" s="104"/>
      <c r="D783" s="104"/>
      <c r="E783" s="105"/>
      <c r="F783" s="104"/>
      <c r="G783" s="105"/>
      <c r="H783" s="105"/>
      <c r="I783" s="106"/>
      <c r="J783" s="104"/>
      <c r="K783" s="105"/>
      <c r="L783" s="105"/>
      <c r="M783" s="105"/>
      <c r="N783" s="111"/>
      <c r="O783" s="106"/>
      <c r="P783" s="105"/>
      <c r="Q783" s="105"/>
    </row>
    <row r="784" spans="1:17" x14ac:dyDescent="0.25">
      <c r="A784" s="103"/>
      <c r="B784" s="104"/>
      <c r="C784" s="104"/>
      <c r="D784" s="104"/>
      <c r="E784" s="105"/>
      <c r="F784" s="104"/>
      <c r="G784" s="105"/>
      <c r="H784" s="105"/>
      <c r="I784" s="106"/>
      <c r="J784" s="104"/>
      <c r="K784" s="105"/>
      <c r="L784" s="105"/>
      <c r="M784" s="105"/>
      <c r="N784" s="111"/>
      <c r="O784" s="106"/>
      <c r="P784" s="105"/>
      <c r="Q784" s="105"/>
    </row>
    <row r="785" spans="1:17" x14ac:dyDescent="0.25">
      <c r="A785" s="103"/>
      <c r="B785" s="104"/>
      <c r="C785" s="104"/>
      <c r="D785" s="104"/>
      <c r="E785" s="105"/>
      <c r="F785" s="104"/>
      <c r="G785" s="105"/>
      <c r="H785" s="105"/>
      <c r="I785" s="106"/>
      <c r="J785" s="104"/>
      <c r="K785" s="105"/>
      <c r="L785" s="105"/>
      <c r="M785" s="105"/>
      <c r="N785" s="111"/>
      <c r="O785" s="106"/>
      <c r="P785" s="105"/>
      <c r="Q785" s="105"/>
    </row>
    <row r="786" spans="1:17" x14ac:dyDescent="0.25">
      <c r="A786" s="103"/>
      <c r="B786" s="104"/>
      <c r="C786" s="104"/>
      <c r="D786" s="104"/>
      <c r="E786" s="105"/>
      <c r="F786" s="104"/>
      <c r="G786" s="105"/>
      <c r="H786" s="105"/>
      <c r="I786" s="106"/>
      <c r="J786" s="104"/>
      <c r="K786" s="105"/>
      <c r="L786" s="105"/>
      <c r="M786" s="105"/>
      <c r="N786" s="111"/>
      <c r="O786" s="106"/>
      <c r="P786" s="105"/>
      <c r="Q786" s="105"/>
    </row>
    <row r="787" spans="1:17" x14ac:dyDescent="0.25">
      <c r="A787" s="103"/>
      <c r="B787" s="104"/>
      <c r="C787" s="104"/>
      <c r="D787" s="104"/>
      <c r="E787" s="105"/>
      <c r="F787" s="104"/>
      <c r="G787" s="105"/>
      <c r="H787" s="105"/>
      <c r="I787" s="106"/>
      <c r="J787" s="104"/>
      <c r="K787" s="105"/>
      <c r="L787" s="105"/>
      <c r="M787" s="105"/>
      <c r="N787" s="111"/>
      <c r="O787" s="106"/>
      <c r="P787" s="105"/>
      <c r="Q787" s="105"/>
    </row>
    <row r="788" spans="1:17" x14ac:dyDescent="0.25">
      <c r="A788" s="103"/>
      <c r="B788" s="104"/>
      <c r="C788" s="104"/>
      <c r="D788" s="104"/>
      <c r="E788" s="105"/>
      <c r="F788" s="104"/>
      <c r="G788" s="105"/>
      <c r="H788" s="105"/>
      <c r="I788" s="106"/>
      <c r="J788" s="104"/>
      <c r="K788" s="105"/>
      <c r="L788" s="105"/>
      <c r="M788" s="105"/>
      <c r="N788" s="111"/>
      <c r="O788" s="106"/>
      <c r="P788" s="105"/>
      <c r="Q788" s="105"/>
    </row>
    <row r="789" spans="1:17" x14ac:dyDescent="0.25">
      <c r="A789" s="103"/>
      <c r="B789" s="104"/>
      <c r="C789" s="104"/>
      <c r="D789" s="104"/>
      <c r="E789" s="105"/>
      <c r="F789" s="104"/>
      <c r="G789" s="105"/>
      <c r="H789" s="105"/>
      <c r="I789" s="106"/>
      <c r="J789" s="104"/>
      <c r="K789" s="105"/>
      <c r="L789" s="105"/>
      <c r="M789" s="105"/>
      <c r="N789" s="111"/>
      <c r="O789" s="106"/>
      <c r="P789" s="105"/>
      <c r="Q789" s="105"/>
    </row>
    <row r="790" spans="1:17" x14ac:dyDescent="0.25">
      <c r="A790" s="103"/>
      <c r="B790" s="104"/>
      <c r="C790" s="104"/>
      <c r="D790" s="104"/>
      <c r="E790" s="105"/>
      <c r="F790" s="104"/>
      <c r="G790" s="105"/>
      <c r="H790" s="105"/>
      <c r="I790" s="106"/>
      <c r="J790" s="104"/>
      <c r="K790" s="105"/>
      <c r="L790" s="105"/>
      <c r="M790" s="105"/>
      <c r="N790" s="111"/>
      <c r="O790" s="106"/>
      <c r="P790" s="105"/>
      <c r="Q790" s="105"/>
    </row>
    <row r="791" spans="1:17" x14ac:dyDescent="0.25">
      <c r="A791" s="103"/>
      <c r="B791" s="104"/>
      <c r="C791" s="104"/>
      <c r="D791" s="104"/>
      <c r="E791" s="105"/>
      <c r="F791" s="104"/>
      <c r="G791" s="105"/>
      <c r="H791" s="105"/>
      <c r="I791" s="106"/>
      <c r="J791" s="104"/>
      <c r="K791" s="105"/>
      <c r="L791" s="105"/>
      <c r="M791" s="105"/>
      <c r="N791" s="111"/>
      <c r="O791" s="106"/>
      <c r="P791" s="105"/>
      <c r="Q791" s="105"/>
    </row>
    <row r="792" spans="1:17" x14ac:dyDescent="0.25">
      <c r="A792" s="103"/>
      <c r="B792" s="104"/>
      <c r="C792" s="104"/>
      <c r="D792" s="104"/>
      <c r="E792" s="105"/>
      <c r="F792" s="104"/>
      <c r="G792" s="105"/>
      <c r="H792" s="105"/>
      <c r="I792" s="106"/>
      <c r="J792" s="104"/>
      <c r="K792" s="105"/>
      <c r="L792" s="105"/>
      <c r="M792" s="105"/>
      <c r="N792" s="111"/>
      <c r="O792" s="106"/>
      <c r="P792" s="105"/>
      <c r="Q792" s="105"/>
    </row>
    <row r="793" spans="1:17" x14ac:dyDescent="0.25">
      <c r="A793" s="103"/>
      <c r="B793" s="104"/>
      <c r="C793" s="104"/>
      <c r="D793" s="104"/>
      <c r="E793" s="105"/>
      <c r="F793" s="104"/>
      <c r="G793" s="105"/>
      <c r="H793" s="105"/>
      <c r="I793" s="106"/>
      <c r="J793" s="104"/>
      <c r="K793" s="105"/>
      <c r="L793" s="105"/>
      <c r="M793" s="105"/>
      <c r="N793" s="111"/>
      <c r="O793" s="106"/>
      <c r="P793" s="105"/>
      <c r="Q793" s="105"/>
    </row>
    <row r="794" spans="1:17" x14ac:dyDescent="0.25">
      <c r="A794" s="103"/>
      <c r="B794" s="104"/>
      <c r="C794" s="104"/>
      <c r="D794" s="104"/>
      <c r="E794" s="105"/>
      <c r="F794" s="104"/>
      <c r="G794" s="105"/>
      <c r="H794" s="105"/>
      <c r="I794" s="106"/>
      <c r="J794" s="104"/>
      <c r="K794" s="105"/>
      <c r="L794" s="105"/>
      <c r="M794" s="105"/>
      <c r="N794" s="111"/>
      <c r="O794" s="106"/>
      <c r="P794" s="105"/>
      <c r="Q794" s="105"/>
    </row>
    <row r="795" spans="1:17" x14ac:dyDescent="0.25">
      <c r="A795" s="103"/>
      <c r="B795" s="104"/>
      <c r="C795" s="104"/>
      <c r="D795" s="104"/>
      <c r="E795" s="105"/>
      <c r="F795" s="104"/>
      <c r="G795" s="105"/>
      <c r="H795" s="105"/>
      <c r="I795" s="106"/>
      <c r="J795" s="104"/>
      <c r="K795" s="105"/>
      <c r="L795" s="105"/>
      <c r="M795" s="105"/>
      <c r="N795" s="111"/>
      <c r="O795" s="106"/>
      <c r="P795" s="105"/>
      <c r="Q795" s="105"/>
    </row>
    <row r="796" spans="1:17" x14ac:dyDescent="0.25">
      <c r="A796" s="103"/>
      <c r="B796" s="104"/>
      <c r="C796" s="104"/>
      <c r="D796" s="104"/>
      <c r="E796" s="105"/>
      <c r="F796" s="104"/>
      <c r="G796" s="105"/>
      <c r="H796" s="105"/>
      <c r="I796" s="106"/>
      <c r="J796" s="104"/>
      <c r="K796" s="105"/>
      <c r="L796" s="105"/>
      <c r="M796" s="105"/>
      <c r="N796" s="111"/>
      <c r="O796" s="106"/>
      <c r="P796" s="105"/>
      <c r="Q796" s="105"/>
    </row>
    <row r="797" spans="1:17" x14ac:dyDescent="0.25">
      <c r="A797" s="103"/>
      <c r="B797" s="104"/>
      <c r="C797" s="104"/>
      <c r="D797" s="104"/>
      <c r="E797" s="105"/>
      <c r="F797" s="104"/>
      <c r="G797" s="105"/>
      <c r="H797" s="105"/>
      <c r="I797" s="106"/>
      <c r="J797" s="104"/>
      <c r="K797" s="105"/>
      <c r="L797" s="105"/>
      <c r="M797" s="105"/>
      <c r="N797" s="111"/>
      <c r="O797" s="106"/>
      <c r="P797" s="105"/>
      <c r="Q797" s="105"/>
    </row>
    <row r="798" spans="1:17" x14ac:dyDescent="0.25">
      <c r="A798" s="103"/>
      <c r="B798" s="104"/>
      <c r="C798" s="104"/>
      <c r="D798" s="104"/>
      <c r="E798" s="105"/>
      <c r="F798" s="104"/>
      <c r="G798" s="105"/>
      <c r="H798" s="105"/>
      <c r="I798" s="106"/>
      <c r="J798" s="104"/>
      <c r="K798" s="105"/>
      <c r="L798" s="105"/>
      <c r="M798" s="105"/>
      <c r="N798" s="111"/>
      <c r="O798" s="106"/>
      <c r="P798" s="105"/>
      <c r="Q798" s="105"/>
    </row>
    <row r="799" spans="1:17" x14ac:dyDescent="0.25">
      <c r="A799" s="103"/>
      <c r="B799" s="104"/>
      <c r="C799" s="104"/>
      <c r="D799" s="104"/>
      <c r="E799" s="105"/>
      <c r="F799" s="104"/>
      <c r="G799" s="105"/>
      <c r="H799" s="105"/>
      <c r="I799" s="106"/>
      <c r="J799" s="104"/>
      <c r="K799" s="105"/>
      <c r="L799" s="105"/>
      <c r="M799" s="105"/>
      <c r="N799" s="111"/>
      <c r="O799" s="106"/>
      <c r="P799" s="105"/>
      <c r="Q799" s="105"/>
    </row>
    <row r="800" spans="1:17" x14ac:dyDescent="0.25">
      <c r="A800" s="103"/>
      <c r="B800" s="104"/>
      <c r="C800" s="104"/>
      <c r="D800" s="104"/>
      <c r="E800" s="105"/>
      <c r="F800" s="104"/>
      <c r="G800" s="105"/>
      <c r="H800" s="105"/>
      <c r="I800" s="106"/>
      <c r="J800" s="104"/>
      <c r="K800" s="105"/>
      <c r="L800" s="105"/>
      <c r="M800" s="105"/>
      <c r="N800" s="111"/>
      <c r="O800" s="106"/>
      <c r="P800" s="105"/>
      <c r="Q800" s="105"/>
    </row>
    <row r="801" spans="1:17" x14ac:dyDescent="0.25">
      <c r="A801" s="103"/>
      <c r="B801" s="104"/>
      <c r="C801" s="104"/>
      <c r="D801" s="104"/>
      <c r="E801" s="105"/>
      <c r="F801" s="104"/>
      <c r="G801" s="105"/>
      <c r="H801" s="105"/>
      <c r="I801" s="106"/>
      <c r="J801" s="104"/>
      <c r="K801" s="105"/>
      <c r="L801" s="105"/>
      <c r="M801" s="105"/>
      <c r="N801" s="111"/>
      <c r="O801" s="106"/>
      <c r="P801" s="105"/>
      <c r="Q801" s="105"/>
    </row>
    <row r="802" spans="1:17" x14ac:dyDescent="0.25">
      <c r="A802" s="103"/>
      <c r="B802" s="104"/>
      <c r="C802" s="104"/>
      <c r="D802" s="104"/>
      <c r="E802" s="105"/>
      <c r="F802" s="104"/>
      <c r="G802" s="105"/>
      <c r="H802" s="105"/>
      <c r="I802" s="106"/>
      <c r="J802" s="104"/>
      <c r="K802" s="105"/>
      <c r="L802" s="105"/>
      <c r="M802" s="105"/>
      <c r="N802" s="111"/>
      <c r="O802" s="106"/>
      <c r="P802" s="105"/>
      <c r="Q802" s="105"/>
    </row>
    <row r="803" spans="1:17" x14ac:dyDescent="0.25">
      <c r="A803" s="103"/>
      <c r="B803" s="104"/>
      <c r="C803" s="104"/>
      <c r="D803" s="104"/>
      <c r="E803" s="105"/>
      <c r="F803" s="104"/>
      <c r="G803" s="105"/>
      <c r="H803" s="105"/>
      <c r="I803" s="106"/>
      <c r="J803" s="104"/>
      <c r="K803" s="105"/>
      <c r="L803" s="105"/>
      <c r="M803" s="105"/>
      <c r="N803" s="111"/>
      <c r="O803" s="106"/>
      <c r="P803" s="105"/>
      <c r="Q803" s="105"/>
    </row>
    <row r="804" spans="1:17" x14ac:dyDescent="0.25">
      <c r="A804" s="103"/>
      <c r="B804" s="104"/>
      <c r="C804" s="104"/>
      <c r="D804" s="104"/>
      <c r="E804" s="105"/>
      <c r="F804" s="104"/>
      <c r="G804" s="105"/>
      <c r="H804" s="105"/>
      <c r="I804" s="106"/>
      <c r="J804" s="104"/>
      <c r="K804" s="105"/>
      <c r="L804" s="105"/>
      <c r="M804" s="105"/>
      <c r="N804" s="111"/>
      <c r="O804" s="106"/>
      <c r="P804" s="105"/>
      <c r="Q804" s="105"/>
    </row>
    <row r="805" spans="1:17" x14ac:dyDescent="0.25">
      <c r="A805" s="103"/>
      <c r="B805" s="104"/>
      <c r="C805" s="104"/>
      <c r="D805" s="104"/>
      <c r="E805" s="105"/>
      <c r="F805" s="104"/>
      <c r="G805" s="105"/>
      <c r="H805" s="105"/>
      <c r="I805" s="106"/>
      <c r="J805" s="104"/>
      <c r="K805" s="105"/>
      <c r="L805" s="105"/>
      <c r="M805" s="105"/>
      <c r="N805" s="111"/>
      <c r="O805" s="106"/>
      <c r="P805" s="105"/>
      <c r="Q805" s="105"/>
    </row>
    <row r="806" spans="1:17" x14ac:dyDescent="0.25">
      <c r="A806" s="103"/>
      <c r="B806" s="104"/>
      <c r="C806" s="104"/>
      <c r="D806" s="104"/>
      <c r="E806" s="105"/>
      <c r="F806" s="104"/>
      <c r="G806" s="105"/>
      <c r="H806" s="105"/>
      <c r="I806" s="106"/>
      <c r="J806" s="104"/>
      <c r="K806" s="105"/>
      <c r="L806" s="105"/>
      <c r="M806" s="105"/>
      <c r="N806" s="111"/>
      <c r="O806" s="106"/>
      <c r="P806" s="105"/>
      <c r="Q806" s="105"/>
    </row>
    <row r="807" spans="1:17" x14ac:dyDescent="0.25">
      <c r="A807" s="103"/>
      <c r="B807" s="104"/>
      <c r="C807" s="104"/>
      <c r="D807" s="104"/>
      <c r="E807" s="105"/>
      <c r="F807" s="104"/>
      <c r="G807" s="105"/>
      <c r="H807" s="105"/>
      <c r="I807" s="106"/>
      <c r="J807" s="104"/>
      <c r="K807" s="105"/>
      <c r="L807" s="105"/>
      <c r="M807" s="105"/>
      <c r="N807" s="111"/>
      <c r="O807" s="106"/>
      <c r="P807" s="105"/>
      <c r="Q807" s="105"/>
    </row>
    <row r="808" spans="1:17" x14ac:dyDescent="0.25">
      <c r="A808" s="103"/>
      <c r="B808" s="104"/>
      <c r="C808" s="104"/>
      <c r="D808" s="104"/>
      <c r="E808" s="105"/>
      <c r="F808" s="104"/>
      <c r="G808" s="105"/>
      <c r="H808" s="105"/>
      <c r="I808" s="106"/>
      <c r="J808" s="104"/>
      <c r="K808" s="105"/>
      <c r="L808" s="105"/>
      <c r="M808" s="105"/>
      <c r="N808" s="111"/>
      <c r="O808" s="106"/>
      <c r="P808" s="105"/>
      <c r="Q808" s="105"/>
    </row>
    <row r="809" spans="1:17" x14ac:dyDescent="0.25">
      <c r="A809" s="103"/>
      <c r="B809" s="104"/>
      <c r="C809" s="104"/>
      <c r="D809" s="104"/>
      <c r="E809" s="105"/>
      <c r="F809" s="104"/>
      <c r="G809" s="105"/>
      <c r="H809" s="105"/>
      <c r="I809" s="106"/>
      <c r="J809" s="104"/>
      <c r="K809" s="105"/>
      <c r="L809" s="105"/>
      <c r="M809" s="105"/>
      <c r="N809" s="111"/>
      <c r="O809" s="106"/>
      <c r="P809" s="105"/>
      <c r="Q809" s="105"/>
    </row>
    <row r="810" spans="1:17" x14ac:dyDescent="0.25">
      <c r="A810" s="103"/>
      <c r="B810" s="104"/>
      <c r="C810" s="104"/>
      <c r="D810" s="104"/>
      <c r="E810" s="105"/>
      <c r="F810" s="104"/>
      <c r="G810" s="105"/>
      <c r="H810" s="105"/>
      <c r="I810" s="106"/>
      <c r="J810" s="104"/>
      <c r="K810" s="105"/>
      <c r="L810" s="105"/>
      <c r="M810" s="105"/>
      <c r="N810" s="111"/>
      <c r="O810" s="106"/>
      <c r="P810" s="105"/>
      <c r="Q810" s="105"/>
    </row>
    <row r="811" spans="1:17" x14ac:dyDescent="0.25">
      <c r="A811" s="103"/>
      <c r="B811" s="104"/>
      <c r="C811" s="104"/>
      <c r="D811" s="104"/>
      <c r="E811" s="105"/>
      <c r="F811" s="104"/>
      <c r="G811" s="105"/>
      <c r="H811" s="105"/>
      <c r="I811" s="106"/>
      <c r="J811" s="104"/>
      <c r="K811" s="105"/>
      <c r="L811" s="105"/>
      <c r="M811" s="105"/>
      <c r="N811" s="111"/>
      <c r="O811" s="106"/>
      <c r="P811" s="105"/>
      <c r="Q811" s="105"/>
    </row>
    <row r="812" spans="1:17" x14ac:dyDescent="0.25">
      <c r="A812" s="103"/>
      <c r="B812" s="104"/>
      <c r="C812" s="104"/>
      <c r="D812" s="104"/>
      <c r="E812" s="105"/>
      <c r="F812" s="104"/>
      <c r="G812" s="105"/>
      <c r="H812" s="105"/>
      <c r="I812" s="106"/>
      <c r="J812" s="104"/>
      <c r="K812" s="105"/>
      <c r="L812" s="105"/>
      <c r="M812" s="105"/>
      <c r="N812" s="111"/>
      <c r="O812" s="106"/>
      <c r="P812" s="105"/>
      <c r="Q812" s="105"/>
    </row>
    <row r="813" spans="1:17" x14ac:dyDescent="0.25">
      <c r="A813" s="103"/>
      <c r="B813" s="104"/>
      <c r="C813" s="104"/>
      <c r="D813" s="104"/>
      <c r="E813" s="105"/>
      <c r="F813" s="104"/>
      <c r="G813" s="105"/>
      <c r="H813" s="105"/>
      <c r="I813" s="106"/>
      <c r="J813" s="104"/>
      <c r="K813" s="105"/>
      <c r="L813" s="105"/>
      <c r="M813" s="105"/>
      <c r="N813" s="111"/>
      <c r="O813" s="106"/>
      <c r="P813" s="105"/>
      <c r="Q813" s="105"/>
    </row>
    <row r="814" spans="1:17" x14ac:dyDescent="0.25">
      <c r="A814" s="103"/>
      <c r="B814" s="104"/>
      <c r="C814" s="104"/>
      <c r="D814" s="104"/>
      <c r="E814" s="105"/>
      <c r="F814" s="104"/>
      <c r="G814" s="105"/>
      <c r="H814" s="105"/>
      <c r="I814" s="106"/>
      <c r="J814" s="104"/>
      <c r="K814" s="105"/>
      <c r="L814" s="105"/>
      <c r="M814" s="105"/>
      <c r="N814" s="111"/>
      <c r="O814" s="106"/>
      <c r="P814" s="105"/>
      <c r="Q814" s="105"/>
    </row>
    <row r="815" spans="1:17" x14ac:dyDescent="0.25">
      <c r="A815" s="103"/>
      <c r="B815" s="104"/>
      <c r="C815" s="104"/>
      <c r="D815" s="104"/>
      <c r="E815" s="105"/>
      <c r="F815" s="104"/>
      <c r="G815" s="105"/>
      <c r="H815" s="105"/>
      <c r="I815" s="106"/>
      <c r="J815" s="104"/>
      <c r="K815" s="105"/>
      <c r="L815" s="105"/>
      <c r="M815" s="105"/>
      <c r="N815" s="111"/>
      <c r="O815" s="106"/>
      <c r="P815" s="105"/>
      <c r="Q815" s="105"/>
    </row>
    <row r="816" spans="1:17" x14ac:dyDescent="0.25">
      <c r="A816" s="103"/>
      <c r="B816" s="104"/>
      <c r="C816" s="104"/>
      <c r="D816" s="104"/>
      <c r="E816" s="105"/>
      <c r="F816" s="104"/>
      <c r="G816" s="105"/>
      <c r="H816" s="105"/>
      <c r="I816" s="106"/>
      <c r="J816" s="104"/>
      <c r="K816" s="105"/>
      <c r="L816" s="105"/>
      <c r="M816" s="105"/>
      <c r="N816" s="111"/>
      <c r="O816" s="106"/>
      <c r="P816" s="105"/>
      <c r="Q816" s="105"/>
    </row>
    <row r="817" spans="1:17" x14ac:dyDescent="0.25">
      <c r="A817" s="103"/>
      <c r="B817" s="104"/>
      <c r="C817" s="104"/>
      <c r="D817" s="104"/>
      <c r="E817" s="105"/>
      <c r="F817" s="104"/>
      <c r="G817" s="105"/>
      <c r="H817" s="105"/>
      <c r="I817" s="106"/>
      <c r="J817" s="104"/>
      <c r="K817" s="105"/>
      <c r="L817" s="105"/>
      <c r="M817" s="105"/>
      <c r="N817" s="111"/>
      <c r="O817" s="106"/>
      <c r="P817" s="105"/>
      <c r="Q817" s="105"/>
    </row>
    <row r="818" spans="1:17" x14ac:dyDescent="0.25">
      <c r="A818" s="103"/>
      <c r="B818" s="104"/>
      <c r="C818" s="104"/>
      <c r="D818" s="104"/>
      <c r="E818" s="105"/>
      <c r="F818" s="104"/>
      <c r="G818" s="105"/>
      <c r="H818" s="105"/>
      <c r="I818" s="106"/>
      <c r="J818" s="104"/>
      <c r="K818" s="105"/>
      <c r="L818" s="105"/>
      <c r="M818" s="105"/>
      <c r="N818" s="111"/>
      <c r="O818" s="106"/>
      <c r="P818" s="105"/>
      <c r="Q818" s="105"/>
    </row>
    <row r="819" spans="1:17" x14ac:dyDescent="0.25">
      <c r="A819" s="103"/>
      <c r="B819" s="104"/>
      <c r="C819" s="104"/>
      <c r="D819" s="104"/>
      <c r="E819" s="105"/>
      <c r="F819" s="104"/>
      <c r="G819" s="105"/>
      <c r="H819" s="105"/>
      <c r="I819" s="106"/>
      <c r="J819" s="104"/>
      <c r="K819" s="105"/>
      <c r="L819" s="105"/>
      <c r="M819" s="105"/>
      <c r="N819" s="111"/>
      <c r="O819" s="106"/>
      <c r="P819" s="105"/>
      <c r="Q819" s="105"/>
    </row>
    <row r="820" spans="1:17" x14ac:dyDescent="0.25">
      <c r="A820" s="103"/>
      <c r="B820" s="104"/>
      <c r="C820" s="104"/>
      <c r="D820" s="104"/>
      <c r="E820" s="105"/>
      <c r="F820" s="104"/>
      <c r="G820" s="105"/>
      <c r="H820" s="105"/>
      <c r="I820" s="106"/>
      <c r="J820" s="104"/>
      <c r="K820" s="105"/>
      <c r="L820" s="105"/>
      <c r="M820" s="105"/>
      <c r="N820" s="111"/>
      <c r="O820" s="106"/>
      <c r="P820" s="105"/>
      <c r="Q820" s="105"/>
    </row>
    <row r="821" spans="1:17" x14ac:dyDescent="0.25">
      <c r="A821" s="103"/>
      <c r="B821" s="104"/>
      <c r="C821" s="104"/>
      <c r="D821" s="104"/>
      <c r="E821" s="105"/>
      <c r="F821" s="104"/>
      <c r="G821" s="105"/>
      <c r="H821" s="105"/>
      <c r="I821" s="106"/>
      <c r="J821" s="104"/>
      <c r="K821" s="105"/>
      <c r="L821" s="105"/>
      <c r="M821" s="105"/>
      <c r="N821" s="111"/>
      <c r="O821" s="106"/>
      <c r="P821" s="105"/>
      <c r="Q821" s="105"/>
    </row>
    <row r="822" spans="1:17" x14ac:dyDescent="0.25">
      <c r="A822" s="103"/>
      <c r="B822" s="104"/>
      <c r="C822" s="104"/>
      <c r="D822" s="104"/>
      <c r="E822" s="105"/>
      <c r="F822" s="104"/>
      <c r="G822" s="105"/>
      <c r="H822" s="105"/>
      <c r="I822" s="106"/>
      <c r="J822" s="104"/>
      <c r="K822" s="105"/>
      <c r="L822" s="105"/>
      <c r="M822" s="105"/>
      <c r="N822" s="111"/>
      <c r="O822" s="106"/>
      <c r="P822" s="105"/>
      <c r="Q822" s="105"/>
    </row>
    <row r="823" spans="1:17" x14ac:dyDescent="0.25">
      <c r="A823" s="103"/>
      <c r="B823" s="104"/>
      <c r="C823" s="104"/>
      <c r="D823" s="104"/>
      <c r="E823" s="105"/>
      <c r="F823" s="104"/>
      <c r="G823" s="105"/>
      <c r="H823" s="105"/>
      <c r="I823" s="106"/>
      <c r="J823" s="104"/>
      <c r="K823" s="105"/>
      <c r="L823" s="105"/>
      <c r="M823" s="105"/>
      <c r="N823" s="111"/>
      <c r="O823" s="106"/>
      <c r="P823" s="105"/>
      <c r="Q823" s="105"/>
    </row>
    <row r="824" spans="1:17" x14ac:dyDescent="0.25">
      <c r="A824" s="103"/>
      <c r="B824" s="104"/>
      <c r="C824" s="104"/>
      <c r="D824" s="104"/>
      <c r="E824" s="105"/>
      <c r="F824" s="104"/>
      <c r="G824" s="105"/>
      <c r="H824" s="105"/>
      <c r="I824" s="106"/>
      <c r="J824" s="104"/>
      <c r="K824" s="105"/>
      <c r="L824" s="105"/>
      <c r="M824" s="105"/>
      <c r="N824" s="111"/>
      <c r="O824" s="106"/>
      <c r="P824" s="105"/>
      <c r="Q824" s="105"/>
    </row>
    <row r="825" spans="1:17" x14ac:dyDescent="0.25">
      <c r="A825" s="103"/>
      <c r="B825" s="104"/>
      <c r="C825" s="104"/>
      <c r="D825" s="104"/>
      <c r="E825" s="105"/>
      <c r="F825" s="104"/>
      <c r="G825" s="105"/>
      <c r="H825" s="105"/>
      <c r="I825" s="106"/>
      <c r="J825" s="104"/>
      <c r="K825" s="105"/>
      <c r="L825" s="105"/>
      <c r="M825" s="105"/>
      <c r="N825" s="111"/>
      <c r="O825" s="106"/>
      <c r="P825" s="105"/>
      <c r="Q825" s="105"/>
    </row>
    <row r="826" spans="1:17" x14ac:dyDescent="0.25">
      <c r="A826" s="103"/>
      <c r="B826" s="104"/>
      <c r="C826" s="104"/>
      <c r="D826" s="104"/>
      <c r="E826" s="105"/>
      <c r="F826" s="104"/>
      <c r="G826" s="105"/>
      <c r="H826" s="105"/>
      <c r="I826" s="106"/>
      <c r="J826" s="104"/>
      <c r="K826" s="105"/>
      <c r="L826" s="105"/>
      <c r="M826" s="105"/>
      <c r="N826" s="111"/>
      <c r="O826" s="106"/>
      <c r="P826" s="105"/>
      <c r="Q826" s="105"/>
    </row>
    <row r="827" spans="1:17" x14ac:dyDescent="0.25">
      <c r="A827" s="103"/>
      <c r="B827" s="104"/>
      <c r="C827" s="104"/>
      <c r="D827" s="104"/>
      <c r="E827" s="105"/>
      <c r="F827" s="104"/>
      <c r="G827" s="105"/>
      <c r="H827" s="105"/>
      <c r="I827" s="106"/>
      <c r="J827" s="104"/>
      <c r="K827" s="105"/>
      <c r="L827" s="105"/>
      <c r="M827" s="105"/>
      <c r="N827" s="111"/>
      <c r="O827" s="106"/>
      <c r="P827" s="105"/>
      <c r="Q827" s="105"/>
    </row>
    <row r="828" spans="1:17" x14ac:dyDescent="0.25">
      <c r="A828" s="103"/>
      <c r="B828" s="104"/>
      <c r="C828" s="104"/>
      <c r="D828" s="104"/>
      <c r="E828" s="105"/>
      <c r="F828" s="104"/>
      <c r="G828" s="105"/>
      <c r="H828" s="105"/>
      <c r="I828" s="106"/>
      <c r="J828" s="104"/>
      <c r="K828" s="105"/>
      <c r="L828" s="105"/>
      <c r="M828" s="105"/>
      <c r="N828" s="111"/>
      <c r="O828" s="106"/>
      <c r="P828" s="105"/>
      <c r="Q828" s="105"/>
    </row>
    <row r="829" spans="1:17" x14ac:dyDescent="0.25">
      <c r="A829" s="103"/>
      <c r="B829" s="104"/>
      <c r="C829" s="104"/>
      <c r="D829" s="104"/>
      <c r="E829" s="105"/>
      <c r="F829" s="104"/>
      <c r="G829" s="105"/>
      <c r="H829" s="105"/>
      <c r="I829" s="106"/>
      <c r="J829" s="104"/>
      <c r="K829" s="105"/>
      <c r="L829" s="105"/>
      <c r="M829" s="105"/>
      <c r="N829" s="111"/>
      <c r="O829" s="106"/>
      <c r="P829" s="105"/>
      <c r="Q829" s="105"/>
    </row>
    <row r="830" spans="1:17" x14ac:dyDescent="0.25">
      <c r="A830" s="103"/>
      <c r="B830" s="104"/>
      <c r="C830" s="104"/>
      <c r="D830" s="104"/>
      <c r="E830" s="105"/>
      <c r="F830" s="104"/>
      <c r="G830" s="105"/>
      <c r="H830" s="105"/>
      <c r="I830" s="106"/>
      <c r="J830" s="104"/>
      <c r="K830" s="105"/>
      <c r="L830" s="105"/>
      <c r="M830" s="105"/>
      <c r="N830" s="111"/>
      <c r="O830" s="106"/>
      <c r="P830" s="105"/>
      <c r="Q830" s="105"/>
    </row>
    <row r="831" spans="1:17" x14ac:dyDescent="0.25">
      <c r="A831" s="103"/>
      <c r="B831" s="104"/>
      <c r="C831" s="104"/>
      <c r="D831" s="104"/>
      <c r="E831" s="105"/>
      <c r="F831" s="104"/>
      <c r="G831" s="105"/>
      <c r="H831" s="105"/>
      <c r="I831" s="106"/>
      <c r="J831" s="104"/>
      <c r="K831" s="105"/>
      <c r="L831" s="105"/>
      <c r="M831" s="105"/>
      <c r="N831" s="111"/>
      <c r="O831" s="106"/>
      <c r="P831" s="105"/>
      <c r="Q831" s="105"/>
    </row>
    <row r="832" spans="1:17" x14ac:dyDescent="0.25">
      <c r="A832" s="103"/>
      <c r="B832" s="104"/>
      <c r="C832" s="104"/>
      <c r="D832" s="104"/>
      <c r="E832" s="105"/>
      <c r="F832" s="104"/>
      <c r="G832" s="105"/>
      <c r="H832" s="105"/>
      <c r="I832" s="106"/>
      <c r="J832" s="104"/>
      <c r="K832" s="105"/>
      <c r="L832" s="105"/>
      <c r="M832" s="105"/>
      <c r="N832" s="111"/>
      <c r="O832" s="106"/>
      <c r="P832" s="105"/>
      <c r="Q832" s="105"/>
    </row>
    <row r="833" spans="1:17" x14ac:dyDescent="0.25">
      <c r="A833" s="103"/>
      <c r="B833" s="104"/>
      <c r="C833" s="104"/>
      <c r="D833" s="104"/>
      <c r="E833" s="105"/>
      <c r="F833" s="104"/>
      <c r="G833" s="105"/>
      <c r="H833" s="105"/>
      <c r="I833" s="106"/>
      <c r="J833" s="104"/>
      <c r="K833" s="105"/>
      <c r="L833" s="105"/>
      <c r="M833" s="105"/>
      <c r="N833" s="111"/>
      <c r="O833" s="106"/>
      <c r="P833" s="105"/>
      <c r="Q833" s="105"/>
    </row>
    <row r="834" spans="1:17" x14ac:dyDescent="0.25">
      <c r="A834" s="103"/>
      <c r="B834" s="104"/>
      <c r="C834" s="104"/>
      <c r="D834" s="104"/>
      <c r="E834" s="105"/>
      <c r="F834" s="104"/>
      <c r="G834" s="105"/>
      <c r="H834" s="105"/>
      <c r="I834" s="106"/>
      <c r="J834" s="104"/>
      <c r="K834" s="105"/>
      <c r="L834" s="105"/>
      <c r="M834" s="105"/>
      <c r="N834" s="111"/>
      <c r="O834" s="106"/>
      <c r="P834" s="105"/>
      <c r="Q834" s="105"/>
    </row>
    <row r="835" spans="1:17" x14ac:dyDescent="0.25">
      <c r="A835" s="103"/>
      <c r="B835" s="104"/>
      <c r="C835" s="104"/>
      <c r="D835" s="104"/>
      <c r="E835" s="105"/>
      <c r="F835" s="104"/>
      <c r="G835" s="105"/>
      <c r="H835" s="105"/>
      <c r="I835" s="106"/>
      <c r="J835" s="104"/>
      <c r="K835" s="105"/>
      <c r="L835" s="105"/>
      <c r="M835" s="105"/>
      <c r="N835" s="111"/>
      <c r="O835" s="106"/>
      <c r="P835" s="105"/>
      <c r="Q835" s="105"/>
    </row>
    <row r="836" spans="1:17" x14ac:dyDescent="0.25">
      <c r="A836" s="103"/>
      <c r="B836" s="104"/>
      <c r="C836" s="104"/>
      <c r="D836" s="104"/>
      <c r="E836" s="105"/>
      <c r="F836" s="104"/>
      <c r="G836" s="105"/>
      <c r="H836" s="105"/>
      <c r="I836" s="106"/>
      <c r="J836" s="104"/>
      <c r="K836" s="105"/>
      <c r="L836" s="105"/>
      <c r="M836" s="105"/>
      <c r="N836" s="111"/>
      <c r="O836" s="106"/>
      <c r="P836" s="105"/>
      <c r="Q836" s="105"/>
    </row>
    <row r="837" spans="1:17" x14ac:dyDescent="0.25">
      <c r="A837" s="103"/>
      <c r="B837" s="104"/>
      <c r="C837" s="104"/>
      <c r="D837" s="104"/>
      <c r="E837" s="105"/>
      <c r="F837" s="104"/>
      <c r="G837" s="105"/>
      <c r="H837" s="105"/>
      <c r="I837" s="106"/>
      <c r="J837" s="104"/>
      <c r="K837" s="105"/>
      <c r="L837" s="105"/>
      <c r="M837" s="105"/>
      <c r="N837" s="111"/>
      <c r="O837" s="106"/>
      <c r="P837" s="105"/>
      <c r="Q837" s="105"/>
    </row>
    <row r="838" spans="1:17" x14ac:dyDescent="0.25">
      <c r="A838" s="103"/>
      <c r="B838" s="104"/>
      <c r="C838" s="104"/>
      <c r="D838" s="104"/>
      <c r="E838" s="105"/>
      <c r="F838" s="104"/>
      <c r="G838" s="105"/>
      <c r="H838" s="105"/>
      <c r="I838" s="106"/>
      <c r="J838" s="104"/>
      <c r="K838" s="105"/>
      <c r="L838" s="105"/>
      <c r="M838" s="105"/>
      <c r="N838" s="111"/>
      <c r="O838" s="106"/>
      <c r="P838" s="105"/>
      <c r="Q838" s="105"/>
    </row>
    <row r="839" spans="1:17" x14ac:dyDescent="0.25">
      <c r="A839" s="103"/>
      <c r="B839" s="104"/>
      <c r="C839" s="104"/>
      <c r="D839" s="104"/>
      <c r="E839" s="105"/>
      <c r="F839" s="104"/>
      <c r="G839" s="105"/>
      <c r="H839" s="105"/>
      <c r="I839" s="106"/>
      <c r="J839" s="104"/>
      <c r="K839" s="105"/>
      <c r="L839" s="105"/>
      <c r="M839" s="105"/>
      <c r="N839" s="111"/>
      <c r="O839" s="106"/>
      <c r="P839" s="105"/>
      <c r="Q839" s="105"/>
    </row>
    <row r="840" spans="1:17" x14ac:dyDescent="0.25">
      <c r="A840" s="103"/>
      <c r="B840" s="104"/>
      <c r="C840" s="104"/>
      <c r="D840" s="104"/>
      <c r="E840" s="105"/>
      <c r="F840" s="104"/>
      <c r="G840" s="105"/>
      <c r="H840" s="105"/>
      <c r="I840" s="106"/>
      <c r="J840" s="104"/>
      <c r="K840" s="105"/>
      <c r="L840" s="105"/>
      <c r="M840" s="105"/>
      <c r="N840" s="111"/>
      <c r="O840" s="106"/>
      <c r="P840" s="105"/>
      <c r="Q840" s="105"/>
    </row>
    <row r="841" spans="1:17" x14ac:dyDescent="0.25">
      <c r="A841" s="103"/>
      <c r="B841" s="104"/>
      <c r="C841" s="104"/>
      <c r="D841" s="104"/>
      <c r="E841" s="105"/>
      <c r="F841" s="104"/>
      <c r="G841" s="105"/>
      <c r="H841" s="105"/>
      <c r="I841" s="106"/>
      <c r="J841" s="104"/>
      <c r="K841" s="105"/>
      <c r="L841" s="105"/>
      <c r="M841" s="105"/>
      <c r="N841" s="111"/>
      <c r="O841" s="106"/>
      <c r="P841" s="105"/>
      <c r="Q841" s="105"/>
    </row>
    <row r="842" spans="1:17" x14ac:dyDescent="0.25">
      <c r="A842" s="103"/>
      <c r="B842" s="104"/>
      <c r="C842" s="104"/>
      <c r="D842" s="104"/>
      <c r="E842" s="105"/>
      <c r="F842" s="104"/>
      <c r="G842" s="105"/>
      <c r="H842" s="105"/>
      <c r="I842" s="106"/>
      <c r="J842" s="104"/>
      <c r="K842" s="105"/>
      <c r="L842" s="105"/>
      <c r="M842" s="105"/>
      <c r="N842" s="111"/>
      <c r="O842" s="106"/>
      <c r="P842" s="105"/>
      <c r="Q842" s="105"/>
    </row>
    <row r="843" spans="1:17" x14ac:dyDescent="0.25">
      <c r="A843" s="103"/>
      <c r="B843" s="104"/>
      <c r="C843" s="104"/>
      <c r="D843" s="104"/>
      <c r="E843" s="105"/>
      <c r="F843" s="104"/>
      <c r="G843" s="105"/>
      <c r="H843" s="105"/>
      <c r="I843" s="106"/>
      <c r="J843" s="104"/>
      <c r="K843" s="105"/>
      <c r="L843" s="105"/>
      <c r="M843" s="105"/>
      <c r="N843" s="111"/>
      <c r="O843" s="106"/>
      <c r="P843" s="105"/>
      <c r="Q843" s="105"/>
    </row>
    <row r="844" spans="1:17" x14ac:dyDescent="0.25">
      <c r="A844" s="103"/>
      <c r="B844" s="104"/>
      <c r="C844" s="104"/>
      <c r="D844" s="104"/>
      <c r="E844" s="105"/>
      <c r="F844" s="104"/>
      <c r="G844" s="105"/>
      <c r="H844" s="105"/>
      <c r="I844" s="106"/>
      <c r="J844" s="104"/>
      <c r="K844" s="105"/>
      <c r="L844" s="105"/>
      <c r="M844" s="105"/>
      <c r="N844" s="111"/>
      <c r="O844" s="106"/>
      <c r="P844" s="105"/>
      <c r="Q844" s="105"/>
    </row>
    <row r="845" spans="1:17" x14ac:dyDescent="0.25">
      <c r="A845" s="103"/>
      <c r="B845" s="104"/>
      <c r="C845" s="104"/>
      <c r="D845" s="104"/>
      <c r="E845" s="105"/>
      <c r="F845" s="104"/>
      <c r="G845" s="105"/>
      <c r="H845" s="105"/>
      <c r="I845" s="106"/>
      <c r="J845" s="104"/>
      <c r="K845" s="105"/>
      <c r="L845" s="105"/>
      <c r="M845" s="105"/>
      <c r="N845" s="111"/>
      <c r="O845" s="106"/>
      <c r="P845" s="105"/>
      <c r="Q845" s="105"/>
    </row>
    <row r="846" spans="1:17" x14ac:dyDescent="0.25">
      <c r="A846" s="103"/>
      <c r="B846" s="104"/>
      <c r="C846" s="104"/>
      <c r="D846" s="104"/>
      <c r="E846" s="105"/>
      <c r="F846" s="104"/>
      <c r="G846" s="105"/>
      <c r="H846" s="105"/>
      <c r="I846" s="106"/>
      <c r="J846" s="104"/>
      <c r="K846" s="105"/>
      <c r="L846" s="105"/>
      <c r="M846" s="105"/>
      <c r="N846" s="111"/>
      <c r="O846" s="106"/>
      <c r="P846" s="105"/>
      <c r="Q846" s="105"/>
    </row>
    <row r="847" spans="1:17" x14ac:dyDescent="0.25">
      <c r="A847" s="103"/>
      <c r="B847" s="104"/>
      <c r="C847" s="104"/>
      <c r="D847" s="104"/>
      <c r="E847" s="105"/>
      <c r="F847" s="104"/>
      <c r="G847" s="105"/>
      <c r="H847" s="105"/>
      <c r="I847" s="106"/>
      <c r="J847" s="104"/>
      <c r="K847" s="105"/>
      <c r="L847" s="105"/>
      <c r="M847" s="105"/>
      <c r="N847" s="111"/>
      <c r="O847" s="106"/>
      <c r="P847" s="105"/>
      <c r="Q847" s="105"/>
    </row>
    <row r="848" spans="1:17" x14ac:dyDescent="0.25">
      <c r="A848" s="103"/>
      <c r="B848" s="104"/>
      <c r="C848" s="104"/>
      <c r="D848" s="104"/>
      <c r="E848" s="105"/>
      <c r="F848" s="104"/>
      <c r="G848" s="105"/>
      <c r="H848" s="105"/>
      <c r="I848" s="106"/>
      <c r="J848" s="104"/>
      <c r="K848" s="105"/>
      <c r="L848" s="105"/>
      <c r="M848" s="105"/>
      <c r="N848" s="111"/>
      <c r="O848" s="106"/>
      <c r="P848" s="105"/>
      <c r="Q848" s="105"/>
    </row>
    <row r="849" spans="1:17" x14ac:dyDescent="0.25">
      <c r="A849" s="103"/>
      <c r="B849" s="104"/>
      <c r="C849" s="104"/>
      <c r="D849" s="104"/>
      <c r="E849" s="105"/>
      <c r="F849" s="104"/>
      <c r="G849" s="105"/>
      <c r="H849" s="105"/>
      <c r="I849" s="106"/>
      <c r="J849" s="104"/>
      <c r="K849" s="105"/>
      <c r="L849" s="105"/>
      <c r="M849" s="105"/>
      <c r="N849" s="111"/>
      <c r="O849" s="106"/>
      <c r="P849" s="105"/>
      <c r="Q849" s="105"/>
    </row>
    <row r="850" spans="1:17" x14ac:dyDescent="0.25">
      <c r="A850" s="103"/>
      <c r="B850" s="104"/>
      <c r="C850" s="104"/>
      <c r="D850" s="104"/>
      <c r="E850" s="105"/>
      <c r="F850" s="104"/>
      <c r="G850" s="105"/>
      <c r="H850" s="105"/>
      <c r="I850" s="106"/>
      <c r="J850" s="104"/>
      <c r="K850" s="105"/>
      <c r="L850" s="105"/>
      <c r="M850" s="105"/>
      <c r="N850" s="111"/>
      <c r="O850" s="106"/>
      <c r="P850" s="105"/>
      <c r="Q850" s="105"/>
    </row>
    <row r="851" spans="1:17" x14ac:dyDescent="0.25">
      <c r="A851" s="103"/>
      <c r="B851" s="104"/>
      <c r="C851" s="104"/>
      <c r="D851" s="104"/>
      <c r="E851" s="105"/>
      <c r="F851" s="104"/>
      <c r="G851" s="105"/>
      <c r="H851" s="105"/>
      <c r="I851" s="106"/>
      <c r="J851" s="104"/>
      <c r="K851" s="105"/>
      <c r="L851" s="105"/>
      <c r="M851" s="105"/>
      <c r="N851" s="111"/>
      <c r="O851" s="106"/>
      <c r="P851" s="105"/>
      <c r="Q851" s="105"/>
    </row>
    <row r="852" spans="1:17" x14ac:dyDescent="0.25">
      <c r="A852" s="103"/>
      <c r="B852" s="104"/>
      <c r="C852" s="104"/>
      <c r="D852" s="104"/>
      <c r="E852" s="105"/>
      <c r="F852" s="104"/>
      <c r="G852" s="105"/>
      <c r="H852" s="105"/>
      <c r="I852" s="106"/>
      <c r="J852" s="104"/>
      <c r="K852" s="105"/>
      <c r="L852" s="105"/>
      <c r="M852" s="105"/>
      <c r="N852" s="111"/>
      <c r="O852" s="106"/>
      <c r="P852" s="105"/>
      <c r="Q852" s="105"/>
    </row>
    <row r="853" spans="1:17" x14ac:dyDescent="0.25">
      <c r="A853" s="103"/>
      <c r="B853" s="104"/>
      <c r="C853" s="104"/>
      <c r="D853" s="104"/>
      <c r="E853" s="105"/>
      <c r="F853" s="104"/>
      <c r="G853" s="105"/>
      <c r="H853" s="105"/>
      <c r="I853" s="106"/>
      <c r="J853" s="104"/>
      <c r="K853" s="105"/>
      <c r="L853" s="105"/>
      <c r="M853" s="105"/>
      <c r="N853" s="111"/>
      <c r="O853" s="106"/>
      <c r="P853" s="105"/>
      <c r="Q853" s="105"/>
    </row>
    <row r="854" spans="1:17" x14ac:dyDescent="0.25">
      <c r="A854" s="103"/>
      <c r="B854" s="104"/>
      <c r="C854" s="104"/>
      <c r="D854" s="104"/>
      <c r="E854" s="105"/>
      <c r="F854" s="104"/>
      <c r="G854" s="105"/>
      <c r="H854" s="105"/>
      <c r="I854" s="106"/>
      <c r="J854" s="104"/>
      <c r="K854" s="105"/>
      <c r="L854" s="105"/>
      <c r="M854" s="105"/>
      <c r="N854" s="111"/>
      <c r="O854" s="106"/>
      <c r="P854" s="105"/>
      <c r="Q854" s="105"/>
    </row>
    <row r="855" spans="1:17" x14ac:dyDescent="0.25">
      <c r="A855" s="103"/>
      <c r="B855" s="104"/>
      <c r="C855" s="104"/>
      <c r="D855" s="104"/>
      <c r="E855" s="105"/>
      <c r="F855" s="104"/>
      <c r="G855" s="105"/>
      <c r="H855" s="105"/>
      <c r="I855" s="106"/>
      <c r="J855" s="104"/>
      <c r="K855" s="105"/>
      <c r="L855" s="105"/>
      <c r="M855" s="105"/>
      <c r="N855" s="111"/>
      <c r="O855" s="106"/>
      <c r="P855" s="105"/>
      <c r="Q855" s="105"/>
    </row>
    <row r="856" spans="1:17" x14ac:dyDescent="0.25">
      <c r="A856" s="103"/>
      <c r="B856" s="104"/>
      <c r="C856" s="104"/>
      <c r="D856" s="104"/>
      <c r="E856" s="105"/>
      <c r="F856" s="104"/>
      <c r="G856" s="105"/>
      <c r="H856" s="105"/>
      <c r="I856" s="106"/>
      <c r="J856" s="104"/>
      <c r="K856" s="105"/>
      <c r="L856" s="105"/>
      <c r="M856" s="105"/>
      <c r="N856" s="111"/>
      <c r="O856" s="106"/>
      <c r="P856" s="105"/>
      <c r="Q856" s="105"/>
    </row>
    <row r="857" spans="1:17" x14ac:dyDescent="0.25">
      <c r="A857" s="103"/>
      <c r="B857" s="104"/>
      <c r="C857" s="104"/>
      <c r="D857" s="104"/>
      <c r="E857" s="105"/>
      <c r="F857" s="104"/>
      <c r="G857" s="105"/>
      <c r="H857" s="105"/>
      <c r="I857" s="106"/>
      <c r="J857" s="104"/>
      <c r="K857" s="105"/>
      <c r="L857" s="105"/>
      <c r="M857" s="105"/>
      <c r="N857" s="111"/>
      <c r="O857" s="106"/>
      <c r="P857" s="105"/>
      <c r="Q857" s="105"/>
    </row>
    <row r="858" spans="1:17" x14ac:dyDescent="0.25">
      <c r="A858" s="103"/>
      <c r="B858" s="104"/>
      <c r="C858" s="104"/>
      <c r="D858" s="104"/>
      <c r="E858" s="105"/>
      <c r="F858" s="104"/>
      <c r="G858" s="105"/>
      <c r="H858" s="105"/>
      <c r="I858" s="106"/>
      <c r="J858" s="104"/>
      <c r="K858" s="105"/>
      <c r="L858" s="105"/>
      <c r="M858" s="105"/>
      <c r="N858" s="111"/>
      <c r="O858" s="106"/>
      <c r="P858" s="105"/>
      <c r="Q858" s="105"/>
    </row>
    <row r="859" spans="1:17" x14ac:dyDescent="0.25">
      <c r="A859" s="103"/>
      <c r="B859" s="104"/>
      <c r="C859" s="104"/>
      <c r="D859" s="104"/>
      <c r="E859" s="105"/>
      <c r="F859" s="104"/>
      <c r="G859" s="105"/>
      <c r="H859" s="105"/>
      <c r="I859" s="106"/>
      <c r="J859" s="104"/>
      <c r="K859" s="105"/>
      <c r="L859" s="105"/>
      <c r="M859" s="105"/>
      <c r="N859" s="111"/>
      <c r="O859" s="106"/>
      <c r="P859" s="105"/>
      <c r="Q859" s="105"/>
    </row>
    <row r="860" spans="1:17" x14ac:dyDescent="0.25">
      <c r="A860" s="103"/>
      <c r="B860" s="104"/>
      <c r="C860" s="104"/>
      <c r="D860" s="104"/>
      <c r="E860" s="105"/>
      <c r="F860" s="104"/>
      <c r="G860" s="105"/>
      <c r="H860" s="105"/>
      <c r="I860" s="106"/>
      <c r="J860" s="104"/>
      <c r="K860" s="105"/>
      <c r="L860" s="105"/>
      <c r="M860" s="105"/>
      <c r="N860" s="111"/>
      <c r="O860" s="106"/>
      <c r="P860" s="105"/>
      <c r="Q860" s="105"/>
    </row>
    <row r="861" spans="1:17" x14ac:dyDescent="0.25">
      <c r="A861" s="103"/>
      <c r="B861" s="104"/>
      <c r="C861" s="104"/>
      <c r="D861" s="104"/>
      <c r="E861" s="105"/>
      <c r="F861" s="104"/>
      <c r="G861" s="105"/>
      <c r="H861" s="105"/>
      <c r="I861" s="106"/>
      <c r="J861" s="104"/>
      <c r="K861" s="105"/>
      <c r="L861" s="105"/>
      <c r="M861" s="105"/>
      <c r="N861" s="111"/>
      <c r="O861" s="106"/>
      <c r="P861" s="105"/>
      <c r="Q861" s="105"/>
    </row>
    <row r="862" spans="1:17" x14ac:dyDescent="0.25">
      <c r="A862" s="103"/>
      <c r="B862" s="104"/>
      <c r="C862" s="104"/>
      <c r="D862" s="104"/>
      <c r="E862" s="105"/>
      <c r="F862" s="104"/>
      <c r="G862" s="105"/>
      <c r="H862" s="105"/>
      <c r="I862" s="106"/>
      <c r="J862" s="104"/>
      <c r="K862" s="105"/>
      <c r="L862" s="105"/>
      <c r="M862" s="105"/>
      <c r="N862" s="111"/>
      <c r="O862" s="106"/>
      <c r="P862" s="105"/>
      <c r="Q862" s="105"/>
    </row>
    <row r="863" spans="1:17" x14ac:dyDescent="0.25">
      <c r="A863" s="103"/>
      <c r="B863" s="104"/>
      <c r="C863" s="104"/>
      <c r="D863" s="104"/>
      <c r="E863" s="105"/>
      <c r="F863" s="104"/>
      <c r="G863" s="105"/>
      <c r="H863" s="105"/>
      <c r="I863" s="106"/>
      <c r="J863" s="104"/>
      <c r="K863" s="105"/>
      <c r="L863" s="105"/>
      <c r="M863" s="105"/>
      <c r="N863" s="111"/>
      <c r="O863" s="106"/>
      <c r="P863" s="105"/>
      <c r="Q863" s="105"/>
    </row>
    <row r="864" spans="1:17" x14ac:dyDescent="0.25">
      <c r="A864" s="103"/>
      <c r="B864" s="104"/>
      <c r="C864" s="104"/>
      <c r="D864" s="104"/>
      <c r="E864" s="105"/>
      <c r="F864" s="104"/>
      <c r="G864" s="105"/>
      <c r="H864" s="105"/>
      <c r="I864" s="106"/>
      <c r="J864" s="104"/>
      <c r="K864" s="105"/>
      <c r="L864" s="105"/>
      <c r="M864" s="105"/>
      <c r="N864" s="111"/>
      <c r="O864" s="106"/>
      <c r="P864" s="105"/>
      <c r="Q864" s="105"/>
    </row>
    <row r="865" spans="1:17" x14ac:dyDescent="0.25">
      <c r="A865" s="103"/>
      <c r="B865" s="104"/>
      <c r="C865" s="104"/>
      <c r="D865" s="104"/>
      <c r="E865" s="105"/>
      <c r="F865" s="104"/>
      <c r="G865" s="105"/>
      <c r="H865" s="105"/>
      <c r="I865" s="106"/>
      <c r="J865" s="104"/>
      <c r="K865" s="105"/>
      <c r="L865" s="105"/>
      <c r="M865" s="105"/>
      <c r="N865" s="111"/>
      <c r="O865" s="106"/>
      <c r="P865" s="105"/>
      <c r="Q865" s="105"/>
    </row>
    <row r="866" spans="1:17" x14ac:dyDescent="0.25">
      <c r="A866" s="103"/>
      <c r="B866" s="104"/>
      <c r="C866" s="104"/>
      <c r="D866" s="104"/>
      <c r="E866" s="105"/>
      <c r="F866" s="104"/>
      <c r="G866" s="105"/>
      <c r="H866" s="105"/>
      <c r="I866" s="106"/>
      <c r="J866" s="104"/>
      <c r="K866" s="105"/>
      <c r="L866" s="105"/>
      <c r="M866" s="105"/>
      <c r="N866" s="111"/>
      <c r="O866" s="106"/>
      <c r="P866" s="105"/>
      <c r="Q866" s="105"/>
    </row>
    <row r="867" spans="1:17" x14ac:dyDescent="0.25">
      <c r="A867" s="103"/>
      <c r="B867" s="104"/>
      <c r="C867" s="104"/>
      <c r="D867" s="104"/>
      <c r="E867" s="105"/>
      <c r="F867" s="104"/>
      <c r="G867" s="105"/>
      <c r="H867" s="105"/>
      <c r="I867" s="106"/>
      <c r="J867" s="104"/>
      <c r="K867" s="105"/>
      <c r="L867" s="105"/>
      <c r="M867" s="105"/>
      <c r="N867" s="111"/>
      <c r="O867" s="106"/>
      <c r="P867" s="105"/>
      <c r="Q867" s="105"/>
    </row>
    <row r="868" spans="1:17" x14ac:dyDescent="0.25">
      <c r="A868" s="103"/>
      <c r="B868" s="104"/>
      <c r="C868" s="104"/>
      <c r="D868" s="104"/>
      <c r="E868" s="105"/>
      <c r="F868" s="104"/>
      <c r="G868" s="105"/>
      <c r="H868" s="105"/>
      <c r="I868" s="106"/>
      <c r="J868" s="104"/>
      <c r="K868" s="105"/>
      <c r="L868" s="105"/>
      <c r="M868" s="105"/>
      <c r="N868" s="111"/>
      <c r="O868" s="106"/>
      <c r="P868" s="105"/>
      <c r="Q868" s="105"/>
    </row>
    <row r="869" spans="1:17" x14ac:dyDescent="0.25">
      <c r="A869" s="103"/>
      <c r="B869" s="104"/>
      <c r="C869" s="104"/>
      <c r="D869" s="104"/>
      <c r="E869" s="105"/>
      <c r="F869" s="104"/>
      <c r="G869" s="105"/>
      <c r="H869" s="105"/>
      <c r="I869" s="106"/>
      <c r="J869" s="104"/>
      <c r="K869" s="105"/>
      <c r="L869" s="105"/>
      <c r="M869" s="105"/>
      <c r="N869" s="111"/>
      <c r="O869" s="106"/>
      <c r="P869" s="105"/>
      <c r="Q869" s="105"/>
    </row>
    <row r="870" spans="1:17" x14ac:dyDescent="0.25">
      <c r="A870" s="103"/>
      <c r="B870" s="104"/>
      <c r="C870" s="104"/>
      <c r="D870" s="104"/>
      <c r="E870" s="105"/>
      <c r="F870" s="104"/>
      <c r="G870" s="105"/>
      <c r="H870" s="105"/>
      <c r="I870" s="106"/>
      <c r="J870" s="104"/>
      <c r="K870" s="105"/>
      <c r="L870" s="105"/>
      <c r="M870" s="105"/>
      <c r="N870" s="111"/>
      <c r="O870" s="106"/>
      <c r="P870" s="105"/>
      <c r="Q870" s="105"/>
    </row>
    <row r="871" spans="1:17" x14ac:dyDescent="0.25">
      <c r="A871" s="103"/>
      <c r="B871" s="104"/>
      <c r="C871" s="104"/>
      <c r="D871" s="104"/>
      <c r="E871" s="105"/>
      <c r="F871" s="104"/>
      <c r="G871" s="105"/>
      <c r="H871" s="105"/>
      <c r="I871" s="106"/>
      <c r="J871" s="104"/>
      <c r="K871" s="105"/>
      <c r="L871" s="105"/>
      <c r="M871" s="105"/>
      <c r="N871" s="111"/>
      <c r="O871" s="106"/>
      <c r="P871" s="105"/>
      <c r="Q871" s="105"/>
    </row>
    <row r="872" spans="1:17" x14ac:dyDescent="0.25">
      <c r="A872" s="103"/>
      <c r="B872" s="104"/>
      <c r="C872" s="104"/>
      <c r="D872" s="104"/>
      <c r="E872" s="105"/>
      <c r="F872" s="104"/>
      <c r="G872" s="105"/>
      <c r="H872" s="105"/>
      <c r="I872" s="106"/>
      <c r="J872" s="104"/>
      <c r="K872" s="105"/>
      <c r="L872" s="105"/>
      <c r="M872" s="105"/>
      <c r="N872" s="111"/>
      <c r="O872" s="106"/>
      <c r="P872" s="105"/>
      <c r="Q872" s="105"/>
    </row>
    <row r="873" spans="1:17" x14ac:dyDescent="0.25">
      <c r="A873" s="103"/>
      <c r="B873" s="104"/>
      <c r="C873" s="104"/>
      <c r="D873" s="104"/>
      <c r="E873" s="105"/>
      <c r="F873" s="104"/>
      <c r="G873" s="105"/>
      <c r="H873" s="105"/>
      <c r="I873" s="106"/>
      <c r="J873" s="104"/>
      <c r="K873" s="105"/>
      <c r="L873" s="105"/>
      <c r="M873" s="105"/>
      <c r="N873" s="111"/>
      <c r="O873" s="106"/>
      <c r="P873" s="105"/>
      <c r="Q873" s="105"/>
    </row>
    <row r="874" spans="1:17" x14ac:dyDescent="0.25">
      <c r="A874" s="103"/>
      <c r="B874" s="104"/>
      <c r="C874" s="104"/>
      <c r="D874" s="104"/>
      <c r="E874" s="105"/>
      <c r="F874" s="104"/>
      <c r="G874" s="105"/>
      <c r="H874" s="105"/>
      <c r="I874" s="106"/>
      <c r="J874" s="104"/>
      <c r="K874" s="105"/>
      <c r="L874" s="105"/>
      <c r="M874" s="105"/>
      <c r="N874" s="111"/>
      <c r="O874" s="106"/>
      <c r="P874" s="105"/>
      <c r="Q874" s="105"/>
    </row>
    <row r="875" spans="1:17" x14ac:dyDescent="0.25">
      <c r="A875" s="103"/>
      <c r="B875" s="104"/>
      <c r="C875" s="104"/>
      <c r="D875" s="104"/>
      <c r="E875" s="105"/>
      <c r="F875" s="104"/>
      <c r="G875" s="105"/>
      <c r="H875" s="105"/>
      <c r="I875" s="106"/>
      <c r="J875" s="104"/>
      <c r="K875" s="105"/>
      <c r="L875" s="105"/>
      <c r="M875" s="105"/>
      <c r="N875" s="111"/>
      <c r="O875" s="106"/>
      <c r="P875" s="105"/>
      <c r="Q875" s="105"/>
    </row>
    <row r="876" spans="1:17" x14ac:dyDescent="0.25">
      <c r="A876" s="103"/>
      <c r="B876" s="104"/>
      <c r="C876" s="104"/>
      <c r="D876" s="104"/>
      <c r="E876" s="105"/>
      <c r="F876" s="104"/>
      <c r="G876" s="105"/>
      <c r="H876" s="105"/>
      <c r="I876" s="106"/>
      <c r="J876" s="104"/>
      <c r="K876" s="105"/>
      <c r="L876" s="105"/>
      <c r="M876" s="105"/>
      <c r="N876" s="111"/>
      <c r="O876" s="106"/>
      <c r="P876" s="105"/>
      <c r="Q876" s="105"/>
    </row>
    <row r="877" spans="1:17" x14ac:dyDescent="0.25">
      <c r="A877" s="103"/>
      <c r="B877" s="104"/>
      <c r="C877" s="104"/>
      <c r="D877" s="104"/>
      <c r="E877" s="105"/>
      <c r="F877" s="104"/>
      <c r="G877" s="105"/>
      <c r="H877" s="105"/>
      <c r="I877" s="106"/>
      <c r="J877" s="104"/>
      <c r="K877" s="105"/>
      <c r="L877" s="105"/>
      <c r="M877" s="105"/>
      <c r="N877" s="111"/>
      <c r="O877" s="106"/>
      <c r="P877" s="105"/>
      <c r="Q877" s="105"/>
    </row>
    <row r="878" spans="1:17" x14ac:dyDescent="0.25">
      <c r="A878" s="103"/>
      <c r="B878" s="104"/>
      <c r="C878" s="104"/>
      <c r="D878" s="104"/>
      <c r="E878" s="105"/>
      <c r="F878" s="104"/>
      <c r="G878" s="105"/>
      <c r="H878" s="105"/>
      <c r="I878" s="106"/>
      <c r="J878" s="104"/>
      <c r="K878" s="105"/>
      <c r="L878" s="105"/>
      <c r="M878" s="105"/>
      <c r="N878" s="111"/>
      <c r="O878" s="106"/>
      <c r="P878" s="105"/>
      <c r="Q878" s="105"/>
    </row>
    <row r="879" spans="1:17" x14ac:dyDescent="0.25">
      <c r="A879" s="103"/>
      <c r="B879" s="104"/>
      <c r="C879" s="104"/>
      <c r="D879" s="104"/>
      <c r="E879" s="105"/>
      <c r="F879" s="104"/>
      <c r="G879" s="105"/>
      <c r="H879" s="105"/>
      <c r="I879" s="106"/>
      <c r="J879" s="104"/>
      <c r="K879" s="105"/>
      <c r="L879" s="105"/>
      <c r="M879" s="105"/>
      <c r="N879" s="111"/>
      <c r="O879" s="106"/>
      <c r="P879" s="105"/>
      <c r="Q879" s="105"/>
    </row>
    <row r="880" spans="1:17" x14ac:dyDescent="0.25">
      <c r="A880" s="103"/>
      <c r="B880" s="104"/>
      <c r="C880" s="104"/>
      <c r="D880" s="104"/>
      <c r="E880" s="105"/>
      <c r="F880" s="104"/>
      <c r="G880" s="105"/>
      <c r="H880" s="105"/>
      <c r="I880" s="106"/>
      <c r="J880" s="104"/>
      <c r="K880" s="105"/>
      <c r="L880" s="105"/>
      <c r="M880" s="105"/>
      <c r="N880" s="111"/>
      <c r="O880" s="106"/>
      <c r="P880" s="105"/>
      <c r="Q880" s="105"/>
    </row>
    <row r="881" spans="1:17" x14ac:dyDescent="0.25">
      <c r="A881" s="103"/>
      <c r="B881" s="104"/>
      <c r="C881" s="104"/>
      <c r="D881" s="104"/>
      <c r="E881" s="105"/>
      <c r="F881" s="104"/>
      <c r="G881" s="105"/>
      <c r="H881" s="105"/>
      <c r="I881" s="106"/>
      <c r="J881" s="104"/>
      <c r="K881" s="105"/>
      <c r="L881" s="105"/>
      <c r="M881" s="105"/>
      <c r="N881" s="111"/>
      <c r="O881" s="106"/>
      <c r="P881" s="105"/>
      <c r="Q881" s="105"/>
    </row>
    <row r="882" spans="1:17" x14ac:dyDescent="0.25">
      <c r="A882" s="103"/>
      <c r="B882" s="104"/>
      <c r="C882" s="104"/>
      <c r="D882" s="104"/>
      <c r="E882" s="105"/>
      <c r="F882" s="104"/>
      <c r="G882" s="105"/>
      <c r="H882" s="105"/>
      <c r="I882" s="106"/>
      <c r="J882" s="104"/>
      <c r="K882" s="105"/>
      <c r="L882" s="105"/>
      <c r="M882" s="105"/>
      <c r="N882" s="111"/>
      <c r="O882" s="106"/>
      <c r="P882" s="105"/>
      <c r="Q882" s="105"/>
    </row>
    <row r="883" spans="1:17" x14ac:dyDescent="0.25">
      <c r="A883" s="103"/>
      <c r="B883" s="104"/>
      <c r="C883" s="104"/>
      <c r="D883" s="104"/>
      <c r="E883" s="105"/>
      <c r="F883" s="104"/>
      <c r="G883" s="105"/>
      <c r="H883" s="105"/>
      <c r="I883" s="106"/>
      <c r="J883" s="104"/>
      <c r="K883" s="105"/>
      <c r="L883" s="105"/>
      <c r="M883" s="105"/>
      <c r="N883" s="111"/>
      <c r="O883" s="106"/>
      <c r="P883" s="105"/>
      <c r="Q883" s="105"/>
    </row>
    <row r="884" spans="1:17" x14ac:dyDescent="0.25">
      <c r="A884" s="103"/>
      <c r="B884" s="104"/>
      <c r="C884" s="104"/>
      <c r="D884" s="104"/>
      <c r="E884" s="105"/>
      <c r="F884" s="104"/>
      <c r="G884" s="105"/>
      <c r="H884" s="105"/>
      <c r="I884" s="106"/>
      <c r="J884" s="104"/>
      <c r="K884" s="105"/>
      <c r="L884" s="105"/>
      <c r="M884" s="105"/>
      <c r="N884" s="111"/>
      <c r="O884" s="106"/>
      <c r="P884" s="105"/>
      <c r="Q884" s="105"/>
    </row>
    <row r="885" spans="1:17" x14ac:dyDescent="0.25">
      <c r="A885" s="103"/>
      <c r="B885" s="104"/>
      <c r="C885" s="104"/>
      <c r="D885" s="104"/>
      <c r="E885" s="105"/>
      <c r="F885" s="104"/>
      <c r="G885" s="105"/>
      <c r="H885" s="105"/>
      <c r="I885" s="106"/>
      <c r="J885" s="104"/>
      <c r="K885" s="105"/>
      <c r="L885" s="105"/>
      <c r="M885" s="105"/>
      <c r="N885" s="111"/>
      <c r="O885" s="106"/>
      <c r="P885" s="105"/>
      <c r="Q885" s="105"/>
    </row>
    <row r="886" spans="1:17" x14ac:dyDescent="0.25">
      <c r="A886" s="103"/>
      <c r="B886" s="104"/>
      <c r="C886" s="104"/>
      <c r="D886" s="104"/>
      <c r="E886" s="105"/>
      <c r="F886" s="104"/>
      <c r="G886" s="105"/>
      <c r="H886" s="105"/>
      <c r="I886" s="106"/>
      <c r="J886" s="104"/>
      <c r="K886" s="105"/>
      <c r="L886" s="105"/>
      <c r="M886" s="105"/>
      <c r="N886" s="111"/>
      <c r="O886" s="106"/>
      <c r="P886" s="105"/>
      <c r="Q886" s="105"/>
    </row>
    <row r="887" spans="1:17" x14ac:dyDescent="0.25">
      <c r="A887" s="103"/>
      <c r="B887" s="104"/>
      <c r="C887" s="104"/>
      <c r="D887" s="104"/>
      <c r="E887" s="105"/>
      <c r="F887" s="104"/>
      <c r="G887" s="105"/>
      <c r="H887" s="105"/>
      <c r="I887" s="106"/>
      <c r="J887" s="104"/>
      <c r="K887" s="105"/>
      <c r="L887" s="105"/>
      <c r="M887" s="105"/>
      <c r="N887" s="111"/>
      <c r="O887" s="106"/>
      <c r="P887" s="105"/>
      <c r="Q887" s="105"/>
    </row>
    <row r="888" spans="1:17" x14ac:dyDescent="0.25">
      <c r="A888" s="103"/>
      <c r="B888" s="104"/>
      <c r="C888" s="104"/>
      <c r="D888" s="104"/>
      <c r="E888" s="105"/>
      <c r="F888" s="104"/>
      <c r="G888" s="105"/>
      <c r="H888" s="105"/>
      <c r="I888" s="106"/>
      <c r="J888" s="104"/>
      <c r="K888" s="105"/>
      <c r="L888" s="105"/>
      <c r="M888" s="105"/>
      <c r="N888" s="111"/>
      <c r="O888" s="106"/>
      <c r="P888" s="105"/>
      <c r="Q888" s="105"/>
    </row>
    <row r="889" spans="1:17" x14ac:dyDescent="0.25">
      <c r="A889" s="103"/>
      <c r="B889" s="104"/>
      <c r="C889" s="104"/>
      <c r="D889" s="104"/>
      <c r="E889" s="105"/>
      <c r="F889" s="104"/>
      <c r="G889" s="105"/>
      <c r="H889" s="105"/>
      <c r="I889" s="106"/>
      <c r="J889" s="104"/>
      <c r="K889" s="105"/>
      <c r="L889" s="105"/>
      <c r="M889" s="105"/>
      <c r="N889" s="111"/>
      <c r="O889" s="106"/>
      <c r="P889" s="105"/>
      <c r="Q889" s="105"/>
    </row>
    <row r="890" spans="1:17" x14ac:dyDescent="0.25">
      <c r="A890" s="103"/>
      <c r="B890" s="104"/>
      <c r="C890" s="104"/>
      <c r="D890" s="104"/>
      <c r="E890" s="105"/>
      <c r="F890" s="104"/>
      <c r="G890" s="105"/>
      <c r="H890" s="105"/>
      <c r="I890" s="106"/>
      <c r="J890" s="104"/>
      <c r="K890" s="105"/>
      <c r="L890" s="105"/>
      <c r="M890" s="105"/>
      <c r="N890" s="111"/>
      <c r="O890" s="106"/>
      <c r="P890" s="105"/>
      <c r="Q890" s="105"/>
    </row>
    <row r="891" spans="1:17" x14ac:dyDescent="0.25">
      <c r="A891" s="103"/>
      <c r="B891" s="104"/>
      <c r="C891" s="104"/>
      <c r="D891" s="104"/>
      <c r="E891" s="105"/>
      <c r="F891" s="104"/>
      <c r="G891" s="105"/>
      <c r="H891" s="105"/>
      <c r="I891" s="106"/>
      <c r="J891" s="104"/>
      <c r="K891" s="105"/>
      <c r="L891" s="105"/>
      <c r="M891" s="105"/>
      <c r="N891" s="111"/>
      <c r="O891" s="106"/>
      <c r="P891" s="105"/>
      <c r="Q891" s="105"/>
    </row>
    <row r="892" spans="1:17" x14ac:dyDescent="0.25">
      <c r="A892" s="103"/>
      <c r="B892" s="104"/>
      <c r="C892" s="104"/>
      <c r="D892" s="104"/>
      <c r="E892" s="105"/>
      <c r="F892" s="104"/>
      <c r="G892" s="105"/>
      <c r="H892" s="105"/>
      <c r="I892" s="106"/>
      <c r="J892" s="104"/>
      <c r="K892" s="105"/>
      <c r="L892" s="105"/>
      <c r="M892" s="105"/>
      <c r="N892" s="111"/>
      <c r="O892" s="106"/>
      <c r="P892" s="105"/>
      <c r="Q892" s="105"/>
    </row>
    <row r="893" spans="1:17" x14ac:dyDescent="0.25">
      <c r="A893" s="103"/>
      <c r="B893" s="104"/>
      <c r="C893" s="104"/>
      <c r="D893" s="104"/>
      <c r="E893" s="105"/>
      <c r="F893" s="104"/>
      <c r="G893" s="105"/>
      <c r="H893" s="105"/>
      <c r="I893" s="106"/>
      <c r="J893" s="104"/>
      <c r="K893" s="105"/>
      <c r="L893" s="105"/>
      <c r="M893" s="105"/>
      <c r="N893" s="111"/>
      <c r="O893" s="106"/>
      <c r="P893" s="105"/>
      <c r="Q893" s="105"/>
    </row>
    <row r="894" spans="1:17" x14ac:dyDescent="0.25">
      <c r="A894" s="103"/>
      <c r="B894" s="104"/>
      <c r="C894" s="104"/>
      <c r="D894" s="104"/>
      <c r="E894" s="105"/>
      <c r="F894" s="104"/>
      <c r="G894" s="105"/>
      <c r="H894" s="105"/>
      <c r="I894" s="106"/>
      <c r="J894" s="104"/>
      <c r="K894" s="105"/>
      <c r="L894" s="105"/>
      <c r="M894" s="105"/>
      <c r="N894" s="111"/>
      <c r="O894" s="106"/>
      <c r="P894" s="105"/>
      <c r="Q894" s="105"/>
    </row>
    <row r="895" spans="1:17" x14ac:dyDescent="0.25">
      <c r="A895" s="103"/>
      <c r="B895" s="104"/>
      <c r="C895" s="104"/>
      <c r="D895" s="104"/>
      <c r="E895" s="105"/>
      <c r="F895" s="104"/>
      <c r="G895" s="105"/>
      <c r="H895" s="105"/>
      <c r="I895" s="106"/>
      <c r="J895" s="104"/>
      <c r="K895" s="105"/>
      <c r="L895" s="105"/>
      <c r="M895" s="105"/>
      <c r="N895" s="111"/>
      <c r="O895" s="106"/>
      <c r="P895" s="105"/>
      <c r="Q895" s="105"/>
    </row>
    <row r="896" spans="1:17" x14ac:dyDescent="0.25">
      <c r="A896" s="103"/>
      <c r="B896" s="104"/>
      <c r="C896" s="104"/>
      <c r="D896" s="104"/>
      <c r="E896" s="105"/>
      <c r="F896" s="104"/>
      <c r="G896" s="105"/>
      <c r="H896" s="105"/>
      <c r="I896" s="106"/>
      <c r="J896" s="104"/>
      <c r="K896" s="105"/>
      <c r="L896" s="105"/>
      <c r="M896" s="105"/>
      <c r="N896" s="111"/>
      <c r="O896" s="106"/>
      <c r="P896" s="105"/>
      <c r="Q896" s="105"/>
    </row>
    <row r="897" spans="1:17" x14ac:dyDescent="0.25">
      <c r="A897" s="103"/>
      <c r="B897" s="104"/>
      <c r="C897" s="104"/>
      <c r="D897" s="104"/>
      <c r="E897" s="105"/>
      <c r="F897" s="104"/>
      <c r="G897" s="105"/>
      <c r="H897" s="105"/>
      <c r="I897" s="106"/>
      <c r="J897" s="104"/>
      <c r="K897" s="105"/>
      <c r="L897" s="105"/>
      <c r="M897" s="105"/>
      <c r="N897" s="111"/>
      <c r="O897" s="106"/>
      <c r="P897" s="105"/>
      <c r="Q897" s="105"/>
    </row>
    <row r="898" spans="1:17" x14ac:dyDescent="0.25">
      <c r="A898" s="103"/>
      <c r="B898" s="104"/>
      <c r="C898" s="104"/>
      <c r="D898" s="104"/>
      <c r="E898" s="105"/>
      <c r="F898" s="104"/>
      <c r="G898" s="105"/>
      <c r="H898" s="105"/>
      <c r="I898" s="106"/>
      <c r="J898" s="104"/>
      <c r="K898" s="105"/>
      <c r="L898" s="105"/>
      <c r="M898" s="105"/>
      <c r="N898" s="111"/>
      <c r="O898" s="106"/>
      <c r="P898" s="105"/>
      <c r="Q898" s="105"/>
    </row>
    <row r="899" spans="1:17" x14ac:dyDescent="0.25">
      <c r="A899" s="103"/>
      <c r="B899" s="104"/>
      <c r="C899" s="104"/>
      <c r="D899" s="104"/>
      <c r="E899" s="105"/>
      <c r="F899" s="104"/>
      <c r="G899" s="105"/>
      <c r="H899" s="105"/>
      <c r="I899" s="106"/>
      <c r="J899" s="104"/>
      <c r="K899" s="105"/>
      <c r="L899" s="105"/>
      <c r="M899" s="105"/>
      <c r="N899" s="111"/>
      <c r="O899" s="106"/>
      <c r="P899" s="105"/>
      <c r="Q899" s="105"/>
    </row>
    <row r="900" spans="1:17" x14ac:dyDescent="0.25">
      <c r="A900" s="103"/>
      <c r="B900" s="104"/>
      <c r="C900" s="104"/>
      <c r="D900" s="104"/>
      <c r="E900" s="105"/>
      <c r="F900" s="104"/>
      <c r="G900" s="105"/>
      <c r="H900" s="105"/>
      <c r="I900" s="106"/>
      <c r="J900" s="104"/>
      <c r="K900" s="105"/>
      <c r="L900" s="105"/>
      <c r="M900" s="105"/>
      <c r="N900" s="111"/>
      <c r="O900" s="106"/>
      <c r="P900" s="105"/>
      <c r="Q900" s="105"/>
    </row>
    <row r="901" spans="1:17" x14ac:dyDescent="0.25">
      <c r="A901" s="103"/>
      <c r="B901" s="104"/>
      <c r="C901" s="104"/>
      <c r="D901" s="104"/>
      <c r="E901" s="105"/>
      <c r="F901" s="104"/>
      <c r="G901" s="105"/>
      <c r="H901" s="105"/>
      <c r="I901" s="106"/>
      <c r="J901" s="104"/>
      <c r="K901" s="105"/>
      <c r="L901" s="105"/>
      <c r="M901" s="105"/>
      <c r="N901" s="111"/>
      <c r="O901" s="106"/>
      <c r="P901" s="105"/>
      <c r="Q901" s="105"/>
    </row>
    <row r="902" spans="1:17" x14ac:dyDescent="0.25">
      <c r="A902" s="103"/>
      <c r="B902" s="104"/>
      <c r="C902" s="104"/>
      <c r="D902" s="104"/>
      <c r="E902" s="105"/>
      <c r="F902" s="104"/>
      <c r="G902" s="105"/>
      <c r="H902" s="105"/>
      <c r="I902" s="106"/>
      <c r="J902" s="104"/>
      <c r="K902" s="105"/>
      <c r="L902" s="105"/>
      <c r="M902" s="105"/>
      <c r="N902" s="111"/>
      <c r="O902" s="106"/>
      <c r="P902" s="105"/>
      <c r="Q902" s="105"/>
    </row>
    <row r="903" spans="1:17" x14ac:dyDescent="0.25">
      <c r="A903" s="103"/>
      <c r="B903" s="104"/>
      <c r="C903" s="104"/>
      <c r="D903" s="104"/>
      <c r="E903" s="105"/>
      <c r="F903" s="104"/>
      <c r="G903" s="105"/>
      <c r="H903" s="105"/>
      <c r="I903" s="106"/>
      <c r="J903" s="104"/>
      <c r="K903" s="105"/>
      <c r="L903" s="105"/>
      <c r="M903" s="105"/>
      <c r="N903" s="111"/>
      <c r="O903" s="106"/>
      <c r="P903" s="105"/>
      <c r="Q903" s="105"/>
    </row>
    <row r="904" spans="1:17" x14ac:dyDescent="0.25">
      <c r="A904" s="103"/>
      <c r="B904" s="104"/>
      <c r="C904" s="104"/>
      <c r="D904" s="104"/>
      <c r="E904" s="105"/>
      <c r="F904" s="104"/>
      <c r="G904" s="105"/>
      <c r="H904" s="105"/>
      <c r="I904" s="106"/>
      <c r="J904" s="104"/>
      <c r="K904" s="105"/>
      <c r="L904" s="105"/>
      <c r="M904" s="105"/>
      <c r="N904" s="111"/>
      <c r="O904" s="106"/>
      <c r="P904" s="105"/>
      <c r="Q904" s="105"/>
    </row>
    <row r="905" spans="1:17" x14ac:dyDescent="0.25">
      <c r="A905" s="103"/>
      <c r="B905" s="104"/>
      <c r="C905" s="104"/>
      <c r="D905" s="104"/>
      <c r="E905" s="105"/>
      <c r="F905" s="104"/>
      <c r="G905" s="105"/>
      <c r="H905" s="105"/>
      <c r="I905" s="106"/>
      <c r="J905" s="104"/>
      <c r="K905" s="105"/>
      <c r="L905" s="105"/>
      <c r="M905" s="105"/>
      <c r="N905" s="111"/>
      <c r="O905" s="106"/>
      <c r="P905" s="105"/>
      <c r="Q905" s="105"/>
    </row>
    <row r="906" spans="1:17" x14ac:dyDescent="0.25">
      <c r="A906" s="103"/>
      <c r="B906" s="104"/>
      <c r="C906" s="104"/>
      <c r="D906" s="104"/>
      <c r="E906" s="105"/>
      <c r="F906" s="104"/>
      <c r="G906" s="105"/>
      <c r="H906" s="105"/>
      <c r="I906" s="106"/>
      <c r="J906" s="104"/>
      <c r="K906" s="105"/>
      <c r="L906" s="105"/>
      <c r="M906" s="105"/>
      <c r="N906" s="111"/>
      <c r="O906" s="106"/>
      <c r="P906" s="105"/>
      <c r="Q906" s="105"/>
    </row>
    <row r="907" spans="1:17" x14ac:dyDescent="0.25">
      <c r="A907" s="103"/>
      <c r="B907" s="104"/>
      <c r="C907" s="104"/>
      <c r="D907" s="104"/>
      <c r="E907" s="105"/>
      <c r="F907" s="104"/>
      <c r="G907" s="105"/>
      <c r="H907" s="105"/>
      <c r="I907" s="106"/>
      <c r="J907" s="104"/>
      <c r="K907" s="105"/>
      <c r="L907" s="105"/>
      <c r="M907" s="105"/>
      <c r="N907" s="111"/>
      <c r="O907" s="106"/>
      <c r="P907" s="105"/>
      <c r="Q907" s="105"/>
    </row>
    <row r="908" spans="1:17" x14ac:dyDescent="0.25">
      <c r="A908" s="103"/>
      <c r="B908" s="104"/>
      <c r="C908" s="104"/>
      <c r="D908" s="104"/>
      <c r="E908" s="105"/>
      <c r="F908" s="104"/>
      <c r="G908" s="105"/>
      <c r="H908" s="105"/>
      <c r="I908" s="106"/>
      <c r="J908" s="104"/>
      <c r="K908" s="105"/>
      <c r="L908" s="105"/>
      <c r="M908" s="105"/>
      <c r="N908" s="111"/>
      <c r="O908" s="106"/>
      <c r="P908" s="105"/>
      <c r="Q908" s="105"/>
    </row>
    <row r="909" spans="1:17" x14ac:dyDescent="0.25">
      <c r="A909" s="103"/>
      <c r="B909" s="104"/>
      <c r="C909" s="104"/>
      <c r="D909" s="104"/>
      <c r="E909" s="105"/>
      <c r="F909" s="104"/>
      <c r="G909" s="105"/>
      <c r="H909" s="105"/>
      <c r="I909" s="106"/>
      <c r="J909" s="104"/>
      <c r="K909" s="105"/>
      <c r="L909" s="105"/>
      <c r="M909" s="105"/>
      <c r="N909" s="111"/>
      <c r="O909" s="106"/>
      <c r="P909" s="105"/>
      <c r="Q909" s="105"/>
    </row>
    <row r="910" spans="1:17" x14ac:dyDescent="0.25">
      <c r="A910" s="103"/>
      <c r="B910" s="104"/>
      <c r="C910" s="104"/>
      <c r="D910" s="104"/>
      <c r="E910" s="105"/>
      <c r="F910" s="104"/>
      <c r="G910" s="105"/>
      <c r="H910" s="105"/>
      <c r="I910" s="106"/>
      <c r="J910" s="104"/>
      <c r="K910" s="105"/>
      <c r="L910" s="105"/>
      <c r="M910" s="105"/>
      <c r="N910" s="111"/>
      <c r="O910" s="106"/>
      <c r="P910" s="105"/>
      <c r="Q910" s="105"/>
    </row>
    <row r="911" spans="1:17" x14ac:dyDescent="0.25">
      <c r="A911" s="103"/>
      <c r="B911" s="104"/>
      <c r="C911" s="104"/>
      <c r="D911" s="104"/>
      <c r="E911" s="105"/>
      <c r="F911" s="104"/>
      <c r="G911" s="105"/>
      <c r="H911" s="105"/>
      <c r="I911" s="106"/>
      <c r="J911" s="104"/>
      <c r="K911" s="105"/>
      <c r="L911" s="105"/>
      <c r="M911" s="105"/>
      <c r="N911" s="111"/>
      <c r="O911" s="106"/>
      <c r="P911" s="105"/>
      <c r="Q911" s="105"/>
    </row>
    <row r="912" spans="1:17" x14ac:dyDescent="0.25">
      <c r="A912" s="103"/>
      <c r="B912" s="104"/>
      <c r="C912" s="104"/>
      <c r="D912" s="104"/>
      <c r="E912" s="105"/>
      <c r="F912" s="104"/>
      <c r="G912" s="105"/>
      <c r="H912" s="105"/>
      <c r="I912" s="106"/>
      <c r="J912" s="104"/>
      <c r="K912" s="105"/>
      <c r="L912" s="105"/>
      <c r="M912" s="105"/>
      <c r="N912" s="111"/>
      <c r="O912" s="106"/>
      <c r="P912" s="105"/>
      <c r="Q912" s="105"/>
    </row>
    <row r="913" spans="1:17" x14ac:dyDescent="0.25">
      <c r="A913" s="103"/>
      <c r="B913" s="104"/>
      <c r="C913" s="104"/>
      <c r="D913" s="104"/>
      <c r="E913" s="105"/>
      <c r="F913" s="104"/>
      <c r="G913" s="105"/>
      <c r="H913" s="105"/>
      <c r="I913" s="106"/>
      <c r="J913" s="104"/>
      <c r="K913" s="105"/>
      <c r="L913" s="105"/>
      <c r="M913" s="105"/>
      <c r="N913" s="111"/>
      <c r="O913" s="106"/>
      <c r="P913" s="105"/>
      <c r="Q913" s="105"/>
    </row>
    <row r="914" spans="1:17" x14ac:dyDescent="0.25">
      <c r="A914" s="103"/>
      <c r="B914" s="104"/>
      <c r="C914" s="104"/>
      <c r="D914" s="104"/>
      <c r="E914" s="105"/>
      <c r="F914" s="104"/>
      <c r="G914" s="105"/>
      <c r="H914" s="105"/>
      <c r="I914" s="106"/>
      <c r="J914" s="104"/>
      <c r="K914" s="105"/>
      <c r="L914" s="105"/>
      <c r="M914" s="105"/>
      <c r="N914" s="111"/>
      <c r="O914" s="106"/>
      <c r="P914" s="105"/>
      <c r="Q914" s="105"/>
    </row>
    <row r="915" spans="1:17" x14ac:dyDescent="0.25">
      <c r="A915" s="103"/>
      <c r="B915" s="104"/>
      <c r="C915" s="104"/>
      <c r="D915" s="104"/>
      <c r="E915" s="105"/>
      <c r="F915" s="104"/>
      <c r="G915" s="105"/>
      <c r="H915" s="105"/>
      <c r="I915" s="106"/>
      <c r="J915" s="104"/>
      <c r="K915" s="105"/>
      <c r="L915" s="105"/>
      <c r="M915" s="105"/>
      <c r="N915" s="111"/>
      <c r="O915" s="106"/>
      <c r="P915" s="105"/>
      <c r="Q915" s="105"/>
    </row>
    <row r="916" spans="1:17" x14ac:dyDescent="0.25">
      <c r="A916" s="103"/>
      <c r="B916" s="104"/>
      <c r="C916" s="104"/>
      <c r="D916" s="104"/>
      <c r="E916" s="105"/>
      <c r="F916" s="104"/>
      <c r="G916" s="105"/>
      <c r="H916" s="105"/>
      <c r="I916" s="106"/>
      <c r="J916" s="104"/>
      <c r="K916" s="105"/>
      <c r="L916" s="105"/>
      <c r="M916" s="105"/>
      <c r="N916" s="111"/>
      <c r="O916" s="106"/>
      <c r="P916" s="105"/>
      <c r="Q916" s="105"/>
    </row>
    <row r="917" spans="1:17" x14ac:dyDescent="0.25">
      <c r="A917" s="103"/>
      <c r="B917" s="104"/>
      <c r="C917" s="104"/>
      <c r="D917" s="104"/>
      <c r="E917" s="105"/>
      <c r="F917" s="104"/>
      <c r="G917" s="105"/>
      <c r="H917" s="105"/>
      <c r="I917" s="106"/>
      <c r="J917" s="104"/>
      <c r="K917" s="105"/>
      <c r="L917" s="105"/>
      <c r="M917" s="105"/>
      <c r="N917" s="111"/>
      <c r="O917" s="106"/>
      <c r="P917" s="105"/>
      <c r="Q917" s="105"/>
    </row>
    <row r="918" spans="1:17" x14ac:dyDescent="0.25">
      <c r="A918" s="103"/>
      <c r="B918" s="104"/>
      <c r="C918" s="104"/>
      <c r="D918" s="104"/>
      <c r="E918" s="105"/>
      <c r="F918" s="104"/>
      <c r="G918" s="105"/>
      <c r="H918" s="105"/>
      <c r="I918" s="106"/>
      <c r="J918" s="104"/>
      <c r="K918" s="105"/>
      <c r="L918" s="105"/>
      <c r="M918" s="105"/>
      <c r="N918" s="111"/>
      <c r="O918" s="106"/>
      <c r="P918" s="105"/>
      <c r="Q918" s="105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DQ891"/>
  <sheetViews>
    <sheetView workbookViewId="0">
      <pane xSplit="2" ySplit="1" topLeftCell="C2" activePane="bottomRight" state="frozen"/>
      <selection activeCell="B18" sqref="B18"/>
      <selection pane="topRight" activeCell="B18" sqref="B18"/>
      <selection pane="bottomLeft" activeCell="B18" sqref="B18"/>
      <selection pane="bottomRight" activeCell="C112" sqref="C112"/>
    </sheetView>
  </sheetViews>
  <sheetFormatPr defaultColWidth="9.140625" defaultRowHeight="15.75" x14ac:dyDescent="0.25"/>
  <cols>
    <col min="1" max="1" width="10.28515625" style="113" bestFit="1" customWidth="1"/>
    <col min="2" max="2" width="40.28515625" style="114" bestFit="1" customWidth="1"/>
    <col min="3" max="3" width="19.7109375" style="114" bestFit="1" customWidth="1"/>
    <col min="4" max="4" width="103.85546875" style="114" bestFit="1" customWidth="1"/>
    <col min="5" max="5" width="11.5703125" style="115" customWidth="1"/>
    <col min="6" max="6" width="16.42578125" style="114" customWidth="1"/>
    <col min="7" max="7" width="14.85546875" style="115" customWidth="1"/>
    <col min="8" max="8" width="11.28515625" style="116" customWidth="1"/>
    <col min="9" max="9" width="11.28515625" style="114" bestFit="1" customWidth="1"/>
    <col min="10" max="10" width="13.7109375" style="116" customWidth="1"/>
    <col min="11" max="11" width="8.85546875" style="115" customWidth="1"/>
    <col min="12" max="16384" width="9.140625" style="104"/>
  </cols>
  <sheetData>
    <row r="1" spans="1:114" s="138" customFormat="1" ht="63" customHeight="1" x14ac:dyDescent="0.25">
      <c r="A1" s="145" t="s">
        <v>1253</v>
      </c>
      <c r="B1" s="145" t="s">
        <v>1217</v>
      </c>
      <c r="C1" s="145" t="s">
        <v>971</v>
      </c>
      <c r="D1" s="145" t="s">
        <v>1252</v>
      </c>
      <c r="E1" s="145" t="s">
        <v>1254</v>
      </c>
      <c r="F1" s="145" t="s">
        <v>1261</v>
      </c>
      <c r="G1" s="145" t="s">
        <v>1260</v>
      </c>
      <c r="H1" s="145" t="s">
        <v>1213</v>
      </c>
      <c r="I1" s="145" t="s">
        <v>1083</v>
      </c>
      <c r="J1" s="145" t="s">
        <v>1259</v>
      </c>
      <c r="K1" s="145" t="s">
        <v>1246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</row>
    <row r="2" spans="1:114" s="119" customFormat="1" ht="15" x14ac:dyDescent="0.25">
      <c r="A2" s="118" t="s">
        <v>910</v>
      </c>
      <c r="B2" s="119" t="s">
        <v>948</v>
      </c>
      <c r="C2" s="120" t="s">
        <v>1027</v>
      </c>
      <c r="D2" s="119" t="s">
        <v>194</v>
      </c>
      <c r="E2" s="121">
        <v>362005.19458076562</v>
      </c>
      <c r="F2" s="121">
        <v>325804.67512268905</v>
      </c>
      <c r="G2" s="121">
        <v>325804.67512268905</v>
      </c>
      <c r="H2" s="122">
        <v>1</v>
      </c>
      <c r="I2" s="123" t="b">
        <v>0</v>
      </c>
      <c r="J2" s="122">
        <v>-3.4300555945044664E-2</v>
      </c>
      <c r="K2" s="121">
        <v>0</v>
      </c>
    </row>
    <row r="3" spans="1:114" s="119" customFormat="1" ht="15" x14ac:dyDescent="0.25">
      <c r="A3" s="118" t="s">
        <v>647</v>
      </c>
      <c r="B3" s="119" t="s">
        <v>645</v>
      </c>
      <c r="C3" s="120" t="s">
        <v>1092</v>
      </c>
      <c r="D3" s="119" t="s">
        <v>29</v>
      </c>
      <c r="E3" s="121">
        <v>367187.24002480874</v>
      </c>
      <c r="F3" s="121">
        <v>330468.51602232788</v>
      </c>
      <c r="G3" s="121">
        <v>330468.51602232788</v>
      </c>
      <c r="H3" s="122">
        <v>1</v>
      </c>
      <c r="I3" s="123" t="b">
        <v>0</v>
      </c>
      <c r="J3" s="122">
        <v>-4.9106400070882072E-2</v>
      </c>
      <c r="K3" s="121">
        <v>0</v>
      </c>
    </row>
    <row r="4" spans="1:114" s="119" customFormat="1" ht="15" x14ac:dyDescent="0.25">
      <c r="A4" s="118" t="s">
        <v>168</v>
      </c>
      <c r="B4" s="119" t="s">
        <v>166</v>
      </c>
      <c r="C4" s="120" t="s">
        <v>1040</v>
      </c>
      <c r="D4" s="119" t="s">
        <v>86</v>
      </c>
      <c r="E4" s="121">
        <v>376514.66338253574</v>
      </c>
      <c r="F4" s="121">
        <v>338863.19704428216</v>
      </c>
      <c r="G4" s="121">
        <v>338863.19704428216</v>
      </c>
      <c r="H4" s="122">
        <v>1</v>
      </c>
      <c r="I4" s="123" t="b">
        <v>0</v>
      </c>
      <c r="J4" s="122">
        <v>-7.5756181092959229E-2</v>
      </c>
      <c r="K4" s="121">
        <v>0</v>
      </c>
    </row>
    <row r="5" spans="1:114" s="119" customFormat="1" ht="15" x14ac:dyDescent="0.25">
      <c r="A5" s="118" t="s">
        <v>476</v>
      </c>
      <c r="B5" s="119" t="s">
        <v>473</v>
      </c>
      <c r="C5" s="120" t="s">
        <v>983</v>
      </c>
      <c r="D5" s="119" t="s">
        <v>50</v>
      </c>
      <c r="E5" s="121">
        <v>361275.94762658083</v>
      </c>
      <c r="F5" s="121">
        <v>343212.15024525177</v>
      </c>
      <c r="G5" s="121">
        <v>343212.15024525177</v>
      </c>
      <c r="H5" s="122">
        <v>0.66097893930539919</v>
      </c>
      <c r="I5" s="123" t="b">
        <v>0</v>
      </c>
      <c r="J5" s="122">
        <v>-3.2216993218802337E-2</v>
      </c>
      <c r="K5" s="121">
        <v>0</v>
      </c>
    </row>
    <row r="6" spans="1:114" s="119" customFormat="1" ht="15" x14ac:dyDescent="0.25">
      <c r="A6" s="118" t="s">
        <v>476</v>
      </c>
      <c r="B6" s="119" t="s">
        <v>473</v>
      </c>
      <c r="C6" s="120" t="s">
        <v>994</v>
      </c>
      <c r="D6" s="119" t="s">
        <v>777</v>
      </c>
      <c r="E6" s="121">
        <v>361275.94762658083</v>
      </c>
      <c r="F6" s="121">
        <v>343212.15024525177</v>
      </c>
      <c r="G6" s="121">
        <v>343212.15024525177</v>
      </c>
      <c r="H6" s="122">
        <v>0.72512307017543853</v>
      </c>
      <c r="I6" s="123" t="b">
        <v>0</v>
      </c>
      <c r="J6" s="122">
        <v>-3.2216993218802337E-2</v>
      </c>
      <c r="K6" s="121">
        <v>0</v>
      </c>
    </row>
    <row r="7" spans="1:114" s="119" customFormat="1" ht="15" x14ac:dyDescent="0.25">
      <c r="A7" s="118" t="s">
        <v>476</v>
      </c>
      <c r="B7" s="119" t="s">
        <v>473</v>
      </c>
      <c r="C7" s="120" t="s">
        <v>995</v>
      </c>
      <c r="D7" s="119" t="s">
        <v>777</v>
      </c>
      <c r="E7" s="121">
        <v>361275.94762658083</v>
      </c>
      <c r="F7" s="121">
        <v>343212.15024525177</v>
      </c>
      <c r="G7" s="121">
        <v>343212.15024525177</v>
      </c>
      <c r="H7" s="122">
        <v>0.62092375607625228</v>
      </c>
      <c r="I7" s="123" t="b">
        <v>0</v>
      </c>
      <c r="J7" s="122">
        <v>-3.2216993218802337E-2</v>
      </c>
      <c r="K7" s="121">
        <v>0</v>
      </c>
    </row>
    <row r="8" spans="1:114" s="119" customFormat="1" ht="15" x14ac:dyDescent="0.25">
      <c r="A8" s="118" t="s">
        <v>476</v>
      </c>
      <c r="B8" s="125" t="s">
        <v>473</v>
      </c>
      <c r="C8" s="120" t="s">
        <v>1016</v>
      </c>
      <c r="D8" s="125" t="s">
        <v>478</v>
      </c>
      <c r="E8" s="121">
        <v>361275.94762658083</v>
      </c>
      <c r="F8" s="121">
        <v>343212.15024525177</v>
      </c>
      <c r="G8" s="121">
        <v>343212.15024525177</v>
      </c>
      <c r="H8" s="126">
        <v>0.83210278950000005</v>
      </c>
      <c r="I8" s="123" t="b">
        <v>0</v>
      </c>
      <c r="J8" s="122">
        <v>-3.2216993218802337E-2</v>
      </c>
      <c r="K8" s="121">
        <v>0</v>
      </c>
    </row>
    <row r="9" spans="1:114" s="119" customFormat="1" ht="15" x14ac:dyDescent="0.25">
      <c r="A9" s="118" t="s">
        <v>918</v>
      </c>
      <c r="B9" s="119" t="s">
        <v>957</v>
      </c>
      <c r="C9" s="120" t="s">
        <v>986</v>
      </c>
      <c r="D9" s="119" t="s">
        <v>50</v>
      </c>
      <c r="E9" s="121">
        <v>376956.62167228118</v>
      </c>
      <c r="F9" s="121">
        <v>358108.79058866709</v>
      </c>
      <c r="G9" s="121">
        <v>358108.79058866709</v>
      </c>
      <c r="H9" s="122">
        <v>1</v>
      </c>
      <c r="I9" s="123" t="b">
        <v>0</v>
      </c>
      <c r="J9" s="122">
        <v>-7.701891906366054E-2</v>
      </c>
      <c r="K9" s="121">
        <v>0</v>
      </c>
    </row>
    <row r="10" spans="1:114" s="119" customFormat="1" ht="15" x14ac:dyDescent="0.25">
      <c r="A10" s="127" t="s">
        <v>635</v>
      </c>
      <c r="B10" s="128" t="s">
        <v>632</v>
      </c>
      <c r="C10" s="120" t="s">
        <v>1084</v>
      </c>
      <c r="D10" s="128" t="s">
        <v>633</v>
      </c>
      <c r="E10" s="121">
        <v>359475.56190051371</v>
      </c>
      <c r="F10" s="121">
        <v>359475.56190051371</v>
      </c>
      <c r="G10" s="121">
        <v>359475.56190051371</v>
      </c>
      <c r="H10" s="129">
        <v>1</v>
      </c>
      <c r="I10" s="123" t="b">
        <v>1</v>
      </c>
      <c r="J10" s="122">
        <v>-2.7073034001467766E-2</v>
      </c>
      <c r="K10" s="121">
        <v>0</v>
      </c>
    </row>
    <row r="11" spans="1:114" s="119" customFormat="1" ht="15" x14ac:dyDescent="0.25">
      <c r="A11" s="127" t="s">
        <v>635</v>
      </c>
      <c r="B11" s="128" t="s">
        <v>632</v>
      </c>
      <c r="C11" s="120" t="s">
        <v>1089</v>
      </c>
      <c r="D11" s="128" t="s">
        <v>637</v>
      </c>
      <c r="E11" s="121">
        <v>359475.56190051371</v>
      </c>
      <c r="F11" s="121">
        <v>359475.56190051371</v>
      </c>
      <c r="G11" s="121">
        <v>359475.56190051371</v>
      </c>
      <c r="H11" s="129">
        <v>0.86153846153846159</v>
      </c>
      <c r="I11" s="123" t="b">
        <v>1</v>
      </c>
      <c r="J11" s="122">
        <v>-2.7073034001467766E-2</v>
      </c>
      <c r="K11" s="121">
        <v>0</v>
      </c>
    </row>
    <row r="12" spans="1:114" s="119" customFormat="1" ht="15" x14ac:dyDescent="0.25">
      <c r="A12" s="118" t="s">
        <v>917</v>
      </c>
      <c r="B12" s="119" t="s">
        <v>956</v>
      </c>
      <c r="C12" s="120" t="s">
        <v>977</v>
      </c>
      <c r="D12" s="119" t="s">
        <v>67</v>
      </c>
      <c r="E12" s="121">
        <v>359614.34691407293</v>
      </c>
      <c r="F12" s="121">
        <v>359614.34691407293</v>
      </c>
      <c r="G12" s="121">
        <v>359614.34691407293</v>
      </c>
      <c r="H12" s="122">
        <v>1</v>
      </c>
      <c r="I12" s="123" t="b">
        <v>0</v>
      </c>
      <c r="J12" s="122">
        <v>-2.7469562611637022E-2</v>
      </c>
      <c r="K12" s="121">
        <v>0</v>
      </c>
    </row>
    <row r="13" spans="1:114" s="119" customFormat="1" ht="15" x14ac:dyDescent="0.25">
      <c r="A13" s="118" t="s">
        <v>917</v>
      </c>
      <c r="B13" s="119" t="s">
        <v>956</v>
      </c>
      <c r="C13" s="120" t="s">
        <v>1030</v>
      </c>
      <c r="D13" s="119" t="s">
        <v>194</v>
      </c>
      <c r="E13" s="121">
        <v>359614.34691407293</v>
      </c>
      <c r="F13" s="121">
        <v>359614.34691407293</v>
      </c>
      <c r="G13" s="121">
        <v>359614.34691407293</v>
      </c>
      <c r="H13" s="122">
        <v>1</v>
      </c>
      <c r="I13" s="123" t="b">
        <v>0</v>
      </c>
      <c r="J13" s="122">
        <v>-2.7469562611637022E-2</v>
      </c>
      <c r="K13" s="121">
        <v>0</v>
      </c>
    </row>
    <row r="14" spans="1:114" s="119" customFormat="1" ht="15" x14ac:dyDescent="0.25">
      <c r="A14" s="118" t="s">
        <v>835</v>
      </c>
      <c r="B14" s="119" t="s">
        <v>951</v>
      </c>
      <c r="C14" s="120" t="s">
        <v>991</v>
      </c>
      <c r="D14" s="119" t="s">
        <v>25</v>
      </c>
      <c r="E14" s="121">
        <v>360144.17427744687</v>
      </c>
      <c r="F14" s="121">
        <v>360144.17427744687</v>
      </c>
      <c r="G14" s="121">
        <v>360144.17427744687</v>
      </c>
      <c r="H14" s="122">
        <v>0.38772008686210646</v>
      </c>
      <c r="I14" s="123" t="b">
        <v>0</v>
      </c>
      <c r="J14" s="122">
        <v>-2.8983355078419537E-2</v>
      </c>
      <c r="K14" s="121">
        <v>0</v>
      </c>
    </row>
    <row r="15" spans="1:114" s="119" customFormat="1" ht="15" x14ac:dyDescent="0.25">
      <c r="A15" s="118" t="s">
        <v>835</v>
      </c>
      <c r="B15" s="119" t="s">
        <v>951</v>
      </c>
      <c r="C15" s="120" t="s">
        <v>1000</v>
      </c>
      <c r="D15" s="119" t="s">
        <v>37</v>
      </c>
      <c r="E15" s="121">
        <v>360144.17427744687</v>
      </c>
      <c r="F15" s="121">
        <v>360144.17427744687</v>
      </c>
      <c r="G15" s="121">
        <v>360144.17427744687</v>
      </c>
      <c r="H15" s="122">
        <v>0.25263157894736843</v>
      </c>
      <c r="I15" s="123" t="b">
        <v>0</v>
      </c>
      <c r="J15" s="122">
        <v>-2.8983355078419537E-2</v>
      </c>
      <c r="K15" s="121">
        <v>0</v>
      </c>
    </row>
    <row r="16" spans="1:114" s="119" customFormat="1" ht="15" x14ac:dyDescent="0.25">
      <c r="A16" s="118" t="s">
        <v>835</v>
      </c>
      <c r="B16" s="119" t="s">
        <v>951</v>
      </c>
      <c r="C16" s="120" t="s">
        <v>1007</v>
      </c>
      <c r="D16" s="119" t="s">
        <v>31</v>
      </c>
      <c r="E16" s="121">
        <v>360144.17427744687</v>
      </c>
      <c r="F16" s="121">
        <v>360144.17427744687</v>
      </c>
      <c r="G16" s="121">
        <v>360144.17427744687</v>
      </c>
      <c r="H16" s="122">
        <v>0.2053096536059057</v>
      </c>
      <c r="I16" s="123" t="b">
        <v>0</v>
      </c>
      <c r="J16" s="122">
        <v>-2.8983355078419537E-2</v>
      </c>
      <c r="K16" s="121">
        <v>0</v>
      </c>
    </row>
    <row r="17" spans="1:11" s="119" customFormat="1" ht="15" x14ac:dyDescent="0.25">
      <c r="A17" s="118" t="s">
        <v>835</v>
      </c>
      <c r="B17" s="119" t="s">
        <v>951</v>
      </c>
      <c r="C17" s="120" t="s">
        <v>1015</v>
      </c>
      <c r="D17" s="119" t="s">
        <v>126</v>
      </c>
      <c r="E17" s="121">
        <v>360144.17427744687</v>
      </c>
      <c r="F17" s="121">
        <v>360144.17427744687</v>
      </c>
      <c r="G17" s="121">
        <v>360144.17427744687</v>
      </c>
      <c r="H17" s="122">
        <v>0.5127866326552486</v>
      </c>
      <c r="I17" s="123" t="b">
        <v>0</v>
      </c>
      <c r="J17" s="122">
        <v>-2.8983355078419537E-2</v>
      </c>
      <c r="K17" s="121">
        <v>0</v>
      </c>
    </row>
    <row r="18" spans="1:11" s="119" customFormat="1" ht="15" x14ac:dyDescent="0.25">
      <c r="A18" s="118" t="s">
        <v>397</v>
      </c>
      <c r="B18" s="119" t="s">
        <v>395</v>
      </c>
      <c r="C18" s="120" t="s">
        <v>1179</v>
      </c>
      <c r="D18" s="119" t="s">
        <v>96</v>
      </c>
      <c r="E18" s="121">
        <v>363640.22106059809</v>
      </c>
      <c r="F18" s="121">
        <v>363640.22106059809</v>
      </c>
      <c r="G18" s="121">
        <v>363640.22106059809</v>
      </c>
      <c r="H18" s="122">
        <v>1</v>
      </c>
      <c r="I18" s="123" t="b">
        <v>0</v>
      </c>
      <c r="J18" s="122">
        <v>-3.8972060173137368E-2</v>
      </c>
      <c r="K18" s="121">
        <v>0</v>
      </c>
    </row>
    <row r="19" spans="1:11" s="119" customFormat="1" ht="15" x14ac:dyDescent="0.25">
      <c r="A19" s="127" t="s">
        <v>898</v>
      </c>
      <c r="B19" s="128" t="s">
        <v>937</v>
      </c>
      <c r="C19" s="120" t="s">
        <v>996</v>
      </c>
      <c r="D19" s="128" t="s">
        <v>23</v>
      </c>
      <c r="E19" s="121">
        <v>366877.13028321968</v>
      </c>
      <c r="F19" s="121">
        <v>366877.13028321968</v>
      </c>
      <c r="G19" s="121">
        <v>366877.13028321968</v>
      </c>
      <c r="H19" s="129">
        <v>1</v>
      </c>
      <c r="I19" s="123" t="b">
        <v>1</v>
      </c>
      <c r="J19" s="122">
        <v>-4.8220372237770537E-2</v>
      </c>
      <c r="K19" s="121">
        <v>0</v>
      </c>
    </row>
    <row r="20" spans="1:11" s="119" customFormat="1" ht="15" x14ac:dyDescent="0.25">
      <c r="A20" s="118" t="s">
        <v>563</v>
      </c>
      <c r="B20" s="119" t="s">
        <v>561</v>
      </c>
      <c r="C20" s="120" t="s">
        <v>1170</v>
      </c>
      <c r="D20" s="119" t="s">
        <v>29</v>
      </c>
      <c r="E20" s="121">
        <v>367465.64969280397</v>
      </c>
      <c r="F20" s="121">
        <v>367465.64969280397</v>
      </c>
      <c r="G20" s="121">
        <v>367465.64969280397</v>
      </c>
      <c r="H20" s="122">
        <v>1</v>
      </c>
      <c r="I20" s="123" t="b">
        <v>0</v>
      </c>
      <c r="J20" s="122">
        <v>-4.990185626515431E-2</v>
      </c>
      <c r="K20" s="121">
        <v>0</v>
      </c>
    </row>
    <row r="21" spans="1:11" s="119" customFormat="1" ht="15" x14ac:dyDescent="0.25">
      <c r="A21" s="127" t="s">
        <v>714</v>
      </c>
      <c r="B21" s="128" t="s">
        <v>710</v>
      </c>
      <c r="C21" s="120" t="s">
        <v>1107</v>
      </c>
      <c r="D21" s="128" t="s">
        <v>711</v>
      </c>
      <c r="E21" s="121">
        <v>377566.74962643726</v>
      </c>
      <c r="F21" s="121">
        <v>377566.74962643726</v>
      </c>
      <c r="G21" s="121">
        <v>377566.74962643726</v>
      </c>
      <c r="H21" s="129">
        <v>0.97611352536115692</v>
      </c>
      <c r="I21" s="123" t="b">
        <v>1</v>
      </c>
      <c r="J21" s="122">
        <v>-7.8762141789820772E-2</v>
      </c>
      <c r="K21" s="121">
        <v>0</v>
      </c>
    </row>
    <row r="22" spans="1:11" s="119" customFormat="1" ht="15" x14ac:dyDescent="0.25">
      <c r="A22" s="127" t="s">
        <v>714</v>
      </c>
      <c r="B22" s="128" t="s">
        <v>710</v>
      </c>
      <c r="C22" s="120" t="s">
        <v>1125</v>
      </c>
      <c r="D22" s="128" t="s">
        <v>716</v>
      </c>
      <c r="E22" s="121">
        <v>377566.74962643726</v>
      </c>
      <c r="F22" s="121">
        <v>377566.74962643726</v>
      </c>
      <c r="G22" s="121">
        <v>377566.74962643726</v>
      </c>
      <c r="H22" s="129">
        <v>1</v>
      </c>
      <c r="I22" s="123" t="b">
        <v>1</v>
      </c>
      <c r="J22" s="122">
        <v>-7.8762141789820772E-2</v>
      </c>
      <c r="K22" s="121">
        <v>0</v>
      </c>
    </row>
    <row r="23" spans="1:11" s="119" customFormat="1" ht="15" x14ac:dyDescent="0.25">
      <c r="A23" s="118" t="s">
        <v>295</v>
      </c>
      <c r="B23" s="119" t="s">
        <v>291</v>
      </c>
      <c r="C23" s="120" t="s">
        <v>1134</v>
      </c>
      <c r="D23" s="119" t="s">
        <v>292</v>
      </c>
      <c r="E23" s="121">
        <v>397223.24034321052</v>
      </c>
      <c r="F23" s="121">
        <v>377362.07832604996</v>
      </c>
      <c r="G23" s="121">
        <v>377362.07832604996</v>
      </c>
      <c r="H23" s="122">
        <v>1</v>
      </c>
      <c r="I23" s="123" t="b">
        <v>0</v>
      </c>
      <c r="J23" s="122">
        <v>-0.1349235438377443</v>
      </c>
      <c r="K23" s="121">
        <v>0</v>
      </c>
    </row>
    <row r="24" spans="1:11" s="119" customFormat="1" ht="15" x14ac:dyDescent="0.25">
      <c r="A24" s="118" t="s">
        <v>295</v>
      </c>
      <c r="B24" s="119" t="s">
        <v>291</v>
      </c>
      <c r="C24" s="120" t="s">
        <v>1150</v>
      </c>
      <c r="D24" s="119" t="s">
        <v>297</v>
      </c>
      <c r="E24" s="121">
        <v>397223.24034321052</v>
      </c>
      <c r="F24" s="121">
        <v>377362.07832604996</v>
      </c>
      <c r="G24" s="121">
        <v>377362.07832604996</v>
      </c>
      <c r="H24" s="122">
        <v>1</v>
      </c>
      <c r="I24" s="123" t="b">
        <v>0</v>
      </c>
      <c r="J24" s="122">
        <v>-0.1349235438377443</v>
      </c>
      <c r="K24" s="121">
        <v>0</v>
      </c>
    </row>
    <row r="25" spans="1:11" s="119" customFormat="1" ht="15" x14ac:dyDescent="0.25">
      <c r="A25" s="118" t="s">
        <v>295</v>
      </c>
      <c r="B25" s="119" t="s">
        <v>291</v>
      </c>
      <c r="C25" s="120" t="s">
        <v>1052</v>
      </c>
      <c r="D25" s="119" t="s">
        <v>86</v>
      </c>
      <c r="E25" s="121">
        <v>397223.24034321052</v>
      </c>
      <c r="F25" s="121">
        <v>377362.07832604996</v>
      </c>
      <c r="G25" s="121">
        <v>377362.07832604996</v>
      </c>
      <c r="H25" s="122">
        <v>0.80952380952380953</v>
      </c>
      <c r="I25" s="123" t="b">
        <v>0</v>
      </c>
      <c r="J25" s="122">
        <v>-0.1349235438377443</v>
      </c>
      <c r="K25" s="121">
        <v>0</v>
      </c>
    </row>
    <row r="26" spans="1:11" s="119" customFormat="1" ht="15" x14ac:dyDescent="0.25">
      <c r="A26" s="127" t="s">
        <v>906</v>
      </c>
      <c r="B26" s="128" t="s">
        <v>944</v>
      </c>
      <c r="C26" s="120" t="s">
        <v>1073</v>
      </c>
      <c r="D26" s="128" t="s">
        <v>74</v>
      </c>
      <c r="E26" s="121">
        <v>424859.44021671172</v>
      </c>
      <c r="F26" s="121">
        <v>424859.44021671172</v>
      </c>
      <c r="G26" s="121">
        <v>424859.44021671172</v>
      </c>
      <c r="H26" s="129">
        <v>0.65363128491620115</v>
      </c>
      <c r="I26" s="123" t="b">
        <v>0</v>
      </c>
      <c r="J26" s="122">
        <v>-0.21388411490489068</v>
      </c>
      <c r="K26" s="121">
        <v>0</v>
      </c>
    </row>
    <row r="27" spans="1:11" s="119" customFormat="1" ht="15" x14ac:dyDescent="0.25">
      <c r="A27" s="127" t="s">
        <v>920</v>
      </c>
      <c r="B27" s="128" t="s">
        <v>211</v>
      </c>
      <c r="C27" s="120" t="s">
        <v>1019</v>
      </c>
      <c r="D27" s="128" t="s">
        <v>96</v>
      </c>
      <c r="E27" s="121">
        <v>427145.59935744153</v>
      </c>
      <c r="F27" s="121">
        <v>384431.03942169738</v>
      </c>
      <c r="G27" s="121">
        <v>384431.03942169738</v>
      </c>
      <c r="H27" s="129">
        <v>0.33333333333333337</v>
      </c>
      <c r="I27" s="123" t="b">
        <v>1</v>
      </c>
      <c r="J27" s="122">
        <v>-0.22041599816411872</v>
      </c>
      <c r="K27" s="121">
        <v>0</v>
      </c>
    </row>
    <row r="28" spans="1:11" s="119" customFormat="1" ht="15" x14ac:dyDescent="0.25">
      <c r="A28" s="118" t="s">
        <v>925</v>
      </c>
      <c r="B28" s="119" t="s">
        <v>963</v>
      </c>
      <c r="C28" s="120" t="s">
        <v>980</v>
      </c>
      <c r="D28" s="119" t="s">
        <v>332</v>
      </c>
      <c r="E28" s="121">
        <v>428405.83846972708</v>
      </c>
      <c r="F28" s="121">
        <v>385565.25462275441</v>
      </c>
      <c r="G28" s="121">
        <v>385565.25462275441</v>
      </c>
      <c r="H28" s="122">
        <v>0.86870764197242345</v>
      </c>
      <c r="I28" s="123" t="b">
        <v>0</v>
      </c>
      <c r="J28" s="122">
        <v>-0.22401668134207742</v>
      </c>
      <c r="K28" s="121">
        <v>0</v>
      </c>
    </row>
    <row r="29" spans="1:11" s="119" customFormat="1" ht="15" x14ac:dyDescent="0.25">
      <c r="A29" s="118" t="s">
        <v>911</v>
      </c>
      <c r="B29" s="119" t="s">
        <v>949</v>
      </c>
      <c r="C29" s="120" t="s">
        <v>976</v>
      </c>
      <c r="D29" s="119" t="s">
        <v>786</v>
      </c>
      <c r="E29" s="121">
        <v>388892.38938565867</v>
      </c>
      <c r="F29" s="121">
        <v>388892.38938565867</v>
      </c>
      <c r="G29" s="121">
        <v>388892.38938565867</v>
      </c>
      <c r="H29" s="122">
        <v>0.90213236964284749</v>
      </c>
      <c r="I29" s="123" t="b">
        <v>0</v>
      </c>
      <c r="J29" s="122">
        <v>-0.11112111253045343</v>
      </c>
      <c r="K29" s="121">
        <v>0</v>
      </c>
    </row>
    <row r="30" spans="1:11" s="119" customFormat="1" ht="15" x14ac:dyDescent="0.25">
      <c r="A30" s="118" t="s">
        <v>929</v>
      </c>
      <c r="B30" s="119" t="s">
        <v>966</v>
      </c>
      <c r="C30" s="120" t="s">
        <v>1033</v>
      </c>
      <c r="D30" s="119" t="s">
        <v>194</v>
      </c>
      <c r="E30" s="121">
        <v>391159.82908531197</v>
      </c>
      <c r="F30" s="121">
        <v>391159.82908531197</v>
      </c>
      <c r="G30" s="121">
        <v>391159.82908531197</v>
      </c>
      <c r="H30" s="122">
        <v>1</v>
      </c>
      <c r="I30" s="123" t="b">
        <v>0</v>
      </c>
      <c r="J30" s="122">
        <v>-0.11759951167231986</v>
      </c>
      <c r="K30" s="121">
        <v>0</v>
      </c>
    </row>
    <row r="31" spans="1:11" s="119" customFormat="1" ht="15" x14ac:dyDescent="0.25">
      <c r="A31" s="118" t="s">
        <v>929</v>
      </c>
      <c r="B31" s="119" t="s">
        <v>966</v>
      </c>
      <c r="C31" s="120" t="s">
        <v>1037</v>
      </c>
      <c r="D31" s="119" t="s">
        <v>72</v>
      </c>
      <c r="E31" s="121">
        <v>391159.82908531197</v>
      </c>
      <c r="F31" s="121">
        <v>391159.82908531197</v>
      </c>
      <c r="G31" s="121">
        <v>391159.82908531197</v>
      </c>
      <c r="H31" s="122">
        <v>1</v>
      </c>
      <c r="I31" s="123" t="b">
        <v>0</v>
      </c>
      <c r="J31" s="122">
        <v>-0.11759951167231986</v>
      </c>
      <c r="K31" s="121">
        <v>0</v>
      </c>
    </row>
    <row r="32" spans="1:11" s="119" customFormat="1" ht="15" x14ac:dyDescent="0.25">
      <c r="A32" s="118" t="s">
        <v>544</v>
      </c>
      <c r="B32" s="119" t="s">
        <v>542</v>
      </c>
      <c r="C32" s="120" t="s">
        <v>1137</v>
      </c>
      <c r="D32" s="119" t="s">
        <v>347</v>
      </c>
      <c r="E32" s="121">
        <v>395302.92723375169</v>
      </c>
      <c r="F32" s="121">
        <v>395302.92723375169</v>
      </c>
      <c r="G32" s="121">
        <v>395302.92723375169</v>
      </c>
      <c r="H32" s="122">
        <v>0.88099461155542558</v>
      </c>
      <c r="I32" s="123" t="b">
        <v>0</v>
      </c>
      <c r="J32" s="122">
        <v>-0.12943693495357622</v>
      </c>
      <c r="K32" s="121">
        <v>0</v>
      </c>
    </row>
    <row r="33" spans="1:11" s="119" customFormat="1" ht="15" x14ac:dyDescent="0.25">
      <c r="A33" s="118" t="s">
        <v>544</v>
      </c>
      <c r="B33" s="119" t="s">
        <v>542</v>
      </c>
      <c r="C33" s="120" t="s">
        <v>1028</v>
      </c>
      <c r="D33" s="119" t="s">
        <v>96</v>
      </c>
      <c r="E33" s="121">
        <v>395302.92723375169</v>
      </c>
      <c r="F33" s="121">
        <v>395302.92723375169</v>
      </c>
      <c r="G33" s="121">
        <v>395302.92723375169</v>
      </c>
      <c r="H33" s="122">
        <v>0.26829409928186676</v>
      </c>
      <c r="I33" s="123" t="b">
        <v>0</v>
      </c>
      <c r="J33" s="122">
        <v>-0.12943693495357622</v>
      </c>
      <c r="K33" s="121">
        <v>0</v>
      </c>
    </row>
    <row r="34" spans="1:11" s="119" customFormat="1" ht="15" x14ac:dyDescent="0.25">
      <c r="A34" s="118" t="s">
        <v>317</v>
      </c>
      <c r="B34" s="119" t="s">
        <v>314</v>
      </c>
      <c r="C34" s="120" t="s">
        <v>1115</v>
      </c>
      <c r="D34" s="119" t="s">
        <v>144</v>
      </c>
      <c r="E34" s="121">
        <v>397826.81747984857</v>
      </c>
      <c r="F34" s="121">
        <v>397826.81747984857</v>
      </c>
      <c r="G34" s="121">
        <v>397826.81747984857</v>
      </c>
      <c r="H34" s="122">
        <v>1</v>
      </c>
      <c r="I34" s="123" t="b">
        <v>0</v>
      </c>
      <c r="J34" s="122">
        <v>-0.13664804994242452</v>
      </c>
      <c r="K34" s="121">
        <v>0</v>
      </c>
    </row>
    <row r="35" spans="1:11" s="119" customFormat="1" ht="15" x14ac:dyDescent="0.25">
      <c r="A35" s="118" t="s">
        <v>317</v>
      </c>
      <c r="B35" s="119" t="s">
        <v>314</v>
      </c>
      <c r="C35" s="120" t="s">
        <v>1018</v>
      </c>
      <c r="D35" s="119" t="s">
        <v>126</v>
      </c>
      <c r="E35" s="121">
        <v>397826.81747984857</v>
      </c>
      <c r="F35" s="121">
        <v>397826.81747984857</v>
      </c>
      <c r="G35" s="121">
        <v>397826.81747984857</v>
      </c>
      <c r="H35" s="122">
        <v>1</v>
      </c>
      <c r="I35" s="123" t="b">
        <v>0</v>
      </c>
      <c r="J35" s="122">
        <v>-0.13664804994242452</v>
      </c>
      <c r="K35" s="121">
        <v>0</v>
      </c>
    </row>
    <row r="36" spans="1:11" s="119" customFormat="1" ht="15" x14ac:dyDescent="0.25">
      <c r="A36" s="118" t="s">
        <v>317</v>
      </c>
      <c r="B36" s="119" t="s">
        <v>314</v>
      </c>
      <c r="C36" s="120" t="s">
        <v>1048</v>
      </c>
      <c r="D36" s="119" t="s">
        <v>74</v>
      </c>
      <c r="E36" s="121">
        <v>397826.81747984857</v>
      </c>
      <c r="F36" s="121">
        <v>397826.81747984857</v>
      </c>
      <c r="G36" s="121">
        <v>397826.81747984857</v>
      </c>
      <c r="H36" s="122">
        <v>1</v>
      </c>
      <c r="I36" s="123" t="b">
        <v>0</v>
      </c>
      <c r="J36" s="122">
        <v>-0.13664804994242452</v>
      </c>
      <c r="K36" s="121">
        <v>0</v>
      </c>
    </row>
    <row r="37" spans="1:11" s="119" customFormat="1" ht="15" x14ac:dyDescent="0.25">
      <c r="A37" s="118" t="s">
        <v>555</v>
      </c>
      <c r="B37" s="119" t="s">
        <v>553</v>
      </c>
      <c r="C37" s="120" t="s">
        <v>1120</v>
      </c>
      <c r="D37" s="119" t="s">
        <v>50</v>
      </c>
      <c r="E37" s="121">
        <v>443390.375</v>
      </c>
      <c r="F37" s="121">
        <v>399051.33750000002</v>
      </c>
      <c r="G37" s="121">
        <v>399051.33750000002</v>
      </c>
      <c r="H37" s="122">
        <v>1</v>
      </c>
      <c r="I37" s="123" t="b">
        <v>0</v>
      </c>
      <c r="J37" s="122">
        <v>-0.26682964285714283</v>
      </c>
      <c r="K37" s="121">
        <v>0</v>
      </c>
    </row>
    <row r="38" spans="1:11" s="119" customFormat="1" ht="15" x14ac:dyDescent="0.25">
      <c r="A38" s="118" t="s">
        <v>555</v>
      </c>
      <c r="B38" s="119" t="s">
        <v>553</v>
      </c>
      <c r="C38" s="120" t="s">
        <v>1201</v>
      </c>
      <c r="D38" s="119" t="s">
        <v>557</v>
      </c>
      <c r="E38" s="121">
        <v>443390.375</v>
      </c>
      <c r="F38" s="121">
        <v>399051.33750000002</v>
      </c>
      <c r="G38" s="121">
        <v>399051.33750000002</v>
      </c>
      <c r="H38" s="122">
        <v>1</v>
      </c>
      <c r="I38" s="123" t="b">
        <v>0</v>
      </c>
      <c r="J38" s="122">
        <v>-0.26682964285714283</v>
      </c>
      <c r="K38" s="121">
        <v>0</v>
      </c>
    </row>
    <row r="39" spans="1:11" s="119" customFormat="1" ht="15" x14ac:dyDescent="0.25">
      <c r="A39" s="118" t="s">
        <v>207</v>
      </c>
      <c r="B39" s="119" t="s">
        <v>205</v>
      </c>
      <c r="C39" s="120" t="s">
        <v>1166</v>
      </c>
      <c r="D39" s="119" t="s">
        <v>40</v>
      </c>
      <c r="E39" s="121">
        <v>471235.91229533328</v>
      </c>
      <c r="F39" s="121">
        <v>400550.52545103326</v>
      </c>
      <c r="G39" s="121">
        <v>400550.52545103326</v>
      </c>
      <c r="H39" s="122">
        <v>1</v>
      </c>
      <c r="I39" s="123" t="b">
        <v>0</v>
      </c>
      <c r="J39" s="122">
        <v>-0.34638832084380944</v>
      </c>
      <c r="K39" s="121">
        <v>0</v>
      </c>
    </row>
    <row r="40" spans="1:11" s="119" customFormat="1" ht="15" x14ac:dyDescent="0.25">
      <c r="A40" s="118" t="s">
        <v>207</v>
      </c>
      <c r="B40" s="119" t="s">
        <v>205</v>
      </c>
      <c r="C40" s="120" t="s">
        <v>1047</v>
      </c>
      <c r="D40" s="119" t="s">
        <v>74</v>
      </c>
      <c r="E40" s="121">
        <v>471235.91229533328</v>
      </c>
      <c r="F40" s="121">
        <v>400550.52545103326</v>
      </c>
      <c r="G40" s="121">
        <v>400550.52545103326</v>
      </c>
      <c r="H40" s="122">
        <v>1</v>
      </c>
      <c r="I40" s="123" t="b">
        <v>0</v>
      </c>
      <c r="J40" s="122">
        <v>-0.34638832084380944</v>
      </c>
      <c r="K40" s="121">
        <v>0</v>
      </c>
    </row>
    <row r="41" spans="1:11" s="119" customFormat="1" ht="15" x14ac:dyDescent="0.25">
      <c r="A41" s="118" t="s">
        <v>800</v>
      </c>
      <c r="B41" s="119" t="s">
        <v>954</v>
      </c>
      <c r="C41" s="120" t="s">
        <v>1010</v>
      </c>
      <c r="D41" s="119" t="s">
        <v>225</v>
      </c>
      <c r="E41" s="121">
        <v>404027.37683574914</v>
      </c>
      <c r="F41" s="121">
        <v>404027.37683574914</v>
      </c>
      <c r="G41" s="121">
        <v>404027.37683574914</v>
      </c>
      <c r="H41" s="122">
        <v>1</v>
      </c>
      <c r="I41" s="123" t="b">
        <v>0</v>
      </c>
      <c r="J41" s="122">
        <v>-0.15436393381642599</v>
      </c>
      <c r="K41" s="121">
        <v>0</v>
      </c>
    </row>
    <row r="42" spans="1:11" s="119" customFormat="1" ht="15" x14ac:dyDescent="0.25">
      <c r="A42" s="118" t="s">
        <v>510</v>
      </c>
      <c r="B42" s="119" t="s">
        <v>508</v>
      </c>
      <c r="C42" s="120" t="s">
        <v>1038</v>
      </c>
      <c r="D42" s="119" t="s">
        <v>74</v>
      </c>
      <c r="E42" s="121">
        <v>451693.51588292926</v>
      </c>
      <c r="F42" s="121">
        <v>406524.16429463634</v>
      </c>
      <c r="G42" s="121">
        <v>406524.16429463634</v>
      </c>
      <c r="H42" s="122">
        <v>1</v>
      </c>
      <c r="I42" s="123" t="b">
        <v>0</v>
      </c>
      <c r="J42" s="122">
        <v>-0.29055290252265498</v>
      </c>
      <c r="K42" s="121">
        <v>0</v>
      </c>
    </row>
    <row r="43" spans="1:11" s="119" customFormat="1" ht="15" x14ac:dyDescent="0.25">
      <c r="A43" s="118" t="s">
        <v>312</v>
      </c>
      <c r="B43" s="119" t="s">
        <v>308</v>
      </c>
      <c r="C43" s="120" t="s">
        <v>1121</v>
      </c>
      <c r="D43" s="119" t="s">
        <v>309</v>
      </c>
      <c r="E43" s="121">
        <v>407392.33988956967</v>
      </c>
      <c r="F43" s="121">
        <v>407392.33988956967</v>
      </c>
      <c r="G43" s="121">
        <v>407392.33988956967</v>
      </c>
      <c r="H43" s="122">
        <v>1</v>
      </c>
      <c r="I43" s="123" t="b">
        <v>0</v>
      </c>
      <c r="J43" s="122">
        <v>-0.16397811397019901</v>
      </c>
      <c r="K43" s="121">
        <v>0</v>
      </c>
    </row>
    <row r="44" spans="1:11" s="119" customFormat="1" ht="15" x14ac:dyDescent="0.25">
      <c r="A44" s="118" t="s">
        <v>172</v>
      </c>
      <c r="B44" s="119" t="s">
        <v>170</v>
      </c>
      <c r="C44" s="120" t="s">
        <v>1167</v>
      </c>
      <c r="D44" s="119" t="s">
        <v>968</v>
      </c>
      <c r="E44" s="121">
        <v>480330.54215543286</v>
      </c>
      <c r="F44" s="121">
        <v>408280.96083211794</v>
      </c>
      <c r="G44" s="121">
        <v>408280.96083211794</v>
      </c>
      <c r="H44" s="122">
        <v>1</v>
      </c>
      <c r="I44" s="123" t="b">
        <v>0</v>
      </c>
      <c r="J44" s="122">
        <v>-0.37237297758695109</v>
      </c>
      <c r="K44" s="121">
        <v>0</v>
      </c>
    </row>
    <row r="45" spans="1:11" s="119" customFormat="1" ht="15" x14ac:dyDescent="0.25">
      <c r="A45" s="118" t="s">
        <v>172</v>
      </c>
      <c r="B45" s="119" t="s">
        <v>170</v>
      </c>
      <c r="C45" s="120" t="s">
        <v>1178</v>
      </c>
      <c r="D45" s="119" t="s">
        <v>29</v>
      </c>
      <c r="E45" s="121">
        <v>480330.54215543286</v>
      </c>
      <c r="F45" s="121">
        <v>408280.96083211794</v>
      </c>
      <c r="G45" s="121">
        <v>408280.96083211794</v>
      </c>
      <c r="H45" s="122">
        <v>1</v>
      </c>
      <c r="I45" s="123" t="b">
        <v>0</v>
      </c>
      <c r="J45" s="122">
        <v>-0.37237297758695109</v>
      </c>
      <c r="K45" s="121">
        <v>0</v>
      </c>
    </row>
    <row r="46" spans="1:11" s="119" customFormat="1" ht="15" x14ac:dyDescent="0.25">
      <c r="A46" s="118" t="s">
        <v>172</v>
      </c>
      <c r="B46" s="119" t="s">
        <v>170</v>
      </c>
      <c r="C46" s="120" t="s">
        <v>1186</v>
      </c>
      <c r="D46" s="119" t="s">
        <v>176</v>
      </c>
      <c r="E46" s="121">
        <v>480330.54215543286</v>
      </c>
      <c r="F46" s="121">
        <v>408280.96083211794</v>
      </c>
      <c r="G46" s="121">
        <v>408280.96083211794</v>
      </c>
      <c r="H46" s="122">
        <v>1</v>
      </c>
      <c r="I46" s="123" t="b">
        <v>0</v>
      </c>
      <c r="J46" s="122">
        <v>-0.37237297758695109</v>
      </c>
      <c r="K46" s="121">
        <v>0</v>
      </c>
    </row>
    <row r="47" spans="1:11" s="119" customFormat="1" ht="15" x14ac:dyDescent="0.25">
      <c r="A47" s="118" t="s">
        <v>172</v>
      </c>
      <c r="B47" s="119" t="s">
        <v>170</v>
      </c>
      <c r="C47" s="120" t="s">
        <v>1032</v>
      </c>
      <c r="D47" s="119" t="s">
        <v>179</v>
      </c>
      <c r="E47" s="121">
        <v>480330.54215543286</v>
      </c>
      <c r="F47" s="121">
        <v>408280.96083211794</v>
      </c>
      <c r="G47" s="121">
        <v>408280.96083211794</v>
      </c>
      <c r="H47" s="122">
        <v>1</v>
      </c>
      <c r="I47" s="123" t="b">
        <v>0</v>
      </c>
      <c r="J47" s="122">
        <v>-0.37237297758695109</v>
      </c>
      <c r="K47" s="121">
        <v>0</v>
      </c>
    </row>
    <row r="48" spans="1:11" s="119" customFormat="1" ht="15" x14ac:dyDescent="0.25">
      <c r="A48" s="118" t="s">
        <v>172</v>
      </c>
      <c r="B48" s="119" t="s">
        <v>170</v>
      </c>
      <c r="C48" s="120" t="s">
        <v>1055</v>
      </c>
      <c r="D48" s="119" t="s">
        <v>182</v>
      </c>
      <c r="E48" s="121">
        <v>480330.54215543286</v>
      </c>
      <c r="F48" s="121">
        <v>408280.96083211794</v>
      </c>
      <c r="G48" s="121">
        <v>408280.96083211794</v>
      </c>
      <c r="H48" s="122">
        <v>1</v>
      </c>
      <c r="I48" s="123" t="b">
        <v>0</v>
      </c>
      <c r="J48" s="122">
        <v>-0.37237297758695109</v>
      </c>
      <c r="K48" s="121">
        <v>0</v>
      </c>
    </row>
    <row r="49" spans="1:11" s="119" customFormat="1" ht="15" x14ac:dyDescent="0.25">
      <c r="A49" s="118" t="s">
        <v>651</v>
      </c>
      <c r="B49" s="119" t="s">
        <v>649</v>
      </c>
      <c r="C49" s="120" t="s">
        <v>1065</v>
      </c>
      <c r="D49" s="119" t="s">
        <v>72</v>
      </c>
      <c r="E49" s="121">
        <v>412915.35159441142</v>
      </c>
      <c r="F49" s="121">
        <v>412915.35159441142</v>
      </c>
      <c r="G49" s="121">
        <v>412915.35159441142</v>
      </c>
      <c r="H49" s="122">
        <v>0.95757575757575752</v>
      </c>
      <c r="I49" s="123" t="b">
        <v>0</v>
      </c>
      <c r="J49" s="122">
        <v>-0.17975814741260399</v>
      </c>
      <c r="K49" s="121">
        <v>0</v>
      </c>
    </row>
    <row r="50" spans="1:11" s="119" customFormat="1" ht="15" x14ac:dyDescent="0.25">
      <c r="A50" s="118" t="s">
        <v>904</v>
      </c>
      <c r="B50" s="119" t="s">
        <v>1244</v>
      </c>
      <c r="C50" s="120" t="s">
        <v>990</v>
      </c>
      <c r="D50" s="119" t="s">
        <v>347</v>
      </c>
      <c r="E50" s="121">
        <v>459709.4233854562</v>
      </c>
      <c r="F50" s="121">
        <v>413738.48104691057</v>
      </c>
      <c r="G50" s="121">
        <v>413738.48104691057</v>
      </c>
      <c r="H50" s="122">
        <v>1</v>
      </c>
      <c r="I50" s="123" t="b">
        <v>0</v>
      </c>
      <c r="J50" s="122">
        <v>-0.31345549538701767</v>
      </c>
      <c r="K50" s="121">
        <v>0</v>
      </c>
    </row>
    <row r="51" spans="1:11" s="119" customFormat="1" ht="15" x14ac:dyDescent="0.25">
      <c r="A51" s="118" t="s">
        <v>453</v>
      </c>
      <c r="B51" s="119" t="s">
        <v>449</v>
      </c>
      <c r="C51" s="120" t="s">
        <v>1103</v>
      </c>
      <c r="D51" s="119" t="s">
        <v>450</v>
      </c>
      <c r="E51" s="121">
        <v>463703.57965578069</v>
      </c>
      <c r="F51" s="121">
        <v>417333.22169020266</v>
      </c>
      <c r="G51" s="121">
        <v>417333.22169020266</v>
      </c>
      <c r="H51" s="122">
        <v>8.2796288888888903E-2</v>
      </c>
      <c r="I51" s="123" t="b">
        <v>0</v>
      </c>
      <c r="J51" s="122">
        <v>-0.32486737044508773</v>
      </c>
      <c r="K51" s="121">
        <v>0</v>
      </c>
    </row>
    <row r="52" spans="1:11" s="119" customFormat="1" ht="15" x14ac:dyDescent="0.25">
      <c r="A52" s="118" t="s">
        <v>453</v>
      </c>
      <c r="B52" s="119" t="s">
        <v>449</v>
      </c>
      <c r="C52" s="120" t="s">
        <v>1104</v>
      </c>
      <c r="D52" s="119" t="s">
        <v>455</v>
      </c>
      <c r="E52" s="121">
        <v>463703.57965578069</v>
      </c>
      <c r="F52" s="121">
        <v>417333.22169020266</v>
      </c>
      <c r="G52" s="121">
        <v>417333.22169020266</v>
      </c>
      <c r="H52" s="122">
        <v>0.90143282580645157</v>
      </c>
      <c r="I52" s="123" t="b">
        <v>0</v>
      </c>
      <c r="J52" s="122">
        <v>-0.32486737044508773</v>
      </c>
      <c r="K52" s="121">
        <v>0</v>
      </c>
    </row>
    <row r="53" spans="1:11" s="119" customFormat="1" ht="15" x14ac:dyDescent="0.25">
      <c r="A53" s="118" t="s">
        <v>453</v>
      </c>
      <c r="B53" s="119" t="s">
        <v>449</v>
      </c>
      <c r="C53" s="120" t="s">
        <v>1133</v>
      </c>
      <c r="D53" s="119" t="s">
        <v>459</v>
      </c>
      <c r="E53" s="121">
        <v>463703.57965578069</v>
      </c>
      <c r="F53" s="121">
        <v>417333.22169020266</v>
      </c>
      <c r="G53" s="121">
        <v>417333.22169020266</v>
      </c>
      <c r="H53" s="122">
        <v>0.81973851333333336</v>
      </c>
      <c r="I53" s="123" t="b">
        <v>0</v>
      </c>
      <c r="J53" s="122">
        <v>-0.32486737044508773</v>
      </c>
      <c r="K53" s="121">
        <v>0</v>
      </c>
    </row>
    <row r="54" spans="1:11" s="119" customFormat="1" ht="15" x14ac:dyDescent="0.25">
      <c r="A54" s="118" t="s">
        <v>453</v>
      </c>
      <c r="B54" s="119" t="s">
        <v>449</v>
      </c>
      <c r="C54" s="120" t="s">
        <v>1158</v>
      </c>
      <c r="D54" s="119" t="s">
        <v>463</v>
      </c>
      <c r="E54" s="121">
        <v>463703.57965578069</v>
      </c>
      <c r="F54" s="121">
        <v>417333.22169020266</v>
      </c>
      <c r="G54" s="121">
        <v>417333.22169020266</v>
      </c>
      <c r="H54" s="122">
        <v>0.5976416230247279</v>
      </c>
      <c r="I54" s="123" t="b">
        <v>0</v>
      </c>
      <c r="J54" s="122">
        <v>-0.32486737044508773</v>
      </c>
      <c r="K54" s="121">
        <v>0</v>
      </c>
    </row>
    <row r="55" spans="1:11" s="119" customFormat="1" ht="15" x14ac:dyDescent="0.25">
      <c r="A55" s="118" t="s">
        <v>453</v>
      </c>
      <c r="B55" s="119" t="s">
        <v>449</v>
      </c>
      <c r="C55" s="120" t="s">
        <v>1182</v>
      </c>
      <c r="D55" s="119" t="s">
        <v>466</v>
      </c>
      <c r="E55" s="121">
        <v>463703.57965578069</v>
      </c>
      <c r="F55" s="121">
        <v>417333.22169020266</v>
      </c>
      <c r="G55" s="121">
        <v>417333.22169020266</v>
      </c>
      <c r="H55" s="122">
        <v>0.5750330388888889</v>
      </c>
      <c r="I55" s="123" t="b">
        <v>0</v>
      </c>
      <c r="J55" s="122">
        <v>-0.32486737044508773</v>
      </c>
      <c r="K55" s="121">
        <v>0</v>
      </c>
    </row>
    <row r="56" spans="1:11" s="119" customFormat="1" ht="15" x14ac:dyDescent="0.25">
      <c r="A56" s="118" t="s">
        <v>453</v>
      </c>
      <c r="B56" s="119" t="s">
        <v>449</v>
      </c>
      <c r="C56" s="120" t="s">
        <v>1044</v>
      </c>
      <c r="D56" s="119" t="s">
        <v>470</v>
      </c>
      <c r="E56" s="121">
        <v>463703.57965578069</v>
      </c>
      <c r="F56" s="121">
        <v>417333.22169020266</v>
      </c>
      <c r="G56" s="121">
        <v>417333.22169020266</v>
      </c>
      <c r="H56" s="122">
        <v>0.58054057692307692</v>
      </c>
      <c r="I56" s="123" t="b">
        <v>0</v>
      </c>
      <c r="J56" s="122">
        <v>-0.32486737044508773</v>
      </c>
      <c r="K56" s="121">
        <v>0</v>
      </c>
    </row>
    <row r="57" spans="1:11" s="119" customFormat="1" ht="15" x14ac:dyDescent="0.25">
      <c r="A57" s="118" t="s">
        <v>515</v>
      </c>
      <c r="B57" s="119" t="s">
        <v>512</v>
      </c>
      <c r="C57" s="120" t="s">
        <v>1041</v>
      </c>
      <c r="D57" s="119" t="s">
        <v>74</v>
      </c>
      <c r="E57" s="121">
        <v>422667.97361139231</v>
      </c>
      <c r="F57" s="121">
        <v>422667.97361139231</v>
      </c>
      <c r="G57" s="121">
        <v>422667.97361139231</v>
      </c>
      <c r="H57" s="122">
        <v>1</v>
      </c>
      <c r="I57" s="123" t="b">
        <v>0</v>
      </c>
      <c r="J57" s="122">
        <v>-0.20762278174683524</v>
      </c>
      <c r="K57" s="121">
        <v>0</v>
      </c>
    </row>
    <row r="58" spans="1:11" s="119" customFormat="1" ht="15" x14ac:dyDescent="0.25">
      <c r="A58" s="127" t="s">
        <v>515</v>
      </c>
      <c r="B58" s="128" t="s">
        <v>512</v>
      </c>
      <c r="C58" s="120" t="s">
        <v>1116</v>
      </c>
      <c r="D58" s="128" t="s">
        <v>513</v>
      </c>
      <c r="E58" s="121">
        <v>422667.97361139231</v>
      </c>
      <c r="F58" s="121">
        <v>422667.97361139231</v>
      </c>
      <c r="G58" s="121">
        <v>422667.97361139231</v>
      </c>
      <c r="H58" s="129">
        <v>1</v>
      </c>
      <c r="I58" s="123" t="b">
        <v>1</v>
      </c>
      <c r="J58" s="122">
        <v>-0.20762278174683524</v>
      </c>
      <c r="K58" s="121">
        <v>0</v>
      </c>
    </row>
    <row r="59" spans="1:11" s="119" customFormat="1" ht="15" x14ac:dyDescent="0.25">
      <c r="A59" s="127" t="s">
        <v>358</v>
      </c>
      <c r="B59" s="128" t="s">
        <v>354</v>
      </c>
      <c r="C59" s="120" t="s">
        <v>1206</v>
      </c>
      <c r="D59" s="128" t="s">
        <v>459</v>
      </c>
      <c r="E59" s="121">
        <v>424350.36936892028</v>
      </c>
      <c r="F59" s="121">
        <v>424350.36936892028</v>
      </c>
      <c r="G59" s="121">
        <v>424350.36936892028</v>
      </c>
      <c r="H59" s="129">
        <v>1</v>
      </c>
      <c r="I59" s="123" t="b">
        <v>1</v>
      </c>
      <c r="J59" s="122">
        <v>-0.21242962676834365</v>
      </c>
      <c r="K59" s="121">
        <v>0</v>
      </c>
    </row>
    <row r="60" spans="1:11" s="119" customFormat="1" ht="15" x14ac:dyDescent="0.25">
      <c r="A60" s="127" t="s">
        <v>358</v>
      </c>
      <c r="B60" s="128" t="s">
        <v>354</v>
      </c>
      <c r="C60" s="120" t="s">
        <v>1140</v>
      </c>
      <c r="D60" s="128" t="s">
        <v>355</v>
      </c>
      <c r="E60" s="121">
        <v>424350.36936892028</v>
      </c>
      <c r="F60" s="121">
        <v>424350.36936892028</v>
      </c>
      <c r="G60" s="121">
        <v>424350.36936892028</v>
      </c>
      <c r="H60" s="129">
        <v>1</v>
      </c>
      <c r="I60" s="123" t="b">
        <v>1</v>
      </c>
      <c r="J60" s="122">
        <v>-0.21242962676834365</v>
      </c>
      <c r="K60" s="121">
        <v>0</v>
      </c>
    </row>
    <row r="61" spans="1:11" s="119" customFormat="1" ht="15" x14ac:dyDescent="0.25">
      <c r="A61" s="118" t="s">
        <v>909</v>
      </c>
      <c r="B61" s="119" t="s">
        <v>947</v>
      </c>
      <c r="C61" s="120" t="s">
        <v>1011</v>
      </c>
      <c r="D61" s="119" t="s">
        <v>126</v>
      </c>
      <c r="E61" s="121">
        <v>433499.53873648524</v>
      </c>
      <c r="F61" s="121">
        <v>433499.53873648524</v>
      </c>
      <c r="G61" s="121">
        <v>433499.53873648524</v>
      </c>
      <c r="H61" s="122">
        <v>1</v>
      </c>
      <c r="I61" s="123" t="b">
        <v>0</v>
      </c>
      <c r="J61" s="122">
        <v>-0.23857011067567213</v>
      </c>
      <c r="K61" s="121">
        <v>0</v>
      </c>
    </row>
    <row r="62" spans="1:11" s="119" customFormat="1" ht="15" x14ac:dyDescent="0.25">
      <c r="A62" s="118" t="s">
        <v>909</v>
      </c>
      <c r="B62" s="119" t="s">
        <v>947</v>
      </c>
      <c r="C62" s="120" t="s">
        <v>1051</v>
      </c>
      <c r="D62" s="119" t="s">
        <v>74</v>
      </c>
      <c r="E62" s="121">
        <v>433499.53873648524</v>
      </c>
      <c r="F62" s="121">
        <v>433499.53873648524</v>
      </c>
      <c r="G62" s="121">
        <v>433499.53873648524</v>
      </c>
      <c r="H62" s="122">
        <v>1</v>
      </c>
      <c r="I62" s="123" t="b">
        <v>0</v>
      </c>
      <c r="J62" s="122">
        <v>-0.23857011067567213</v>
      </c>
      <c r="K62" s="121">
        <v>0</v>
      </c>
    </row>
    <row r="63" spans="1:11" s="119" customFormat="1" ht="15" x14ac:dyDescent="0.25">
      <c r="A63" s="118" t="s">
        <v>580</v>
      </c>
      <c r="B63" s="119" t="s">
        <v>578</v>
      </c>
      <c r="C63" s="120" t="s">
        <v>1157</v>
      </c>
      <c r="D63" s="119" t="s">
        <v>767</v>
      </c>
      <c r="E63" s="121">
        <v>426087.04037722625</v>
      </c>
      <c r="F63" s="121">
        <v>426087.04037722625</v>
      </c>
      <c r="G63" s="121">
        <v>426087.04037722625</v>
      </c>
      <c r="H63" s="122">
        <v>1</v>
      </c>
      <c r="I63" s="123" t="b">
        <v>0</v>
      </c>
      <c r="J63" s="122">
        <v>-0.2173915439349321</v>
      </c>
      <c r="K63" s="121">
        <v>0</v>
      </c>
    </row>
    <row r="64" spans="1:11" s="119" customFormat="1" ht="15" x14ac:dyDescent="0.25">
      <c r="A64" s="118" t="s">
        <v>580</v>
      </c>
      <c r="B64" s="119" t="s">
        <v>578</v>
      </c>
      <c r="C64" s="120" t="s">
        <v>1173</v>
      </c>
      <c r="D64" s="119" t="s">
        <v>582</v>
      </c>
      <c r="E64" s="121">
        <v>426087.04037722625</v>
      </c>
      <c r="F64" s="121">
        <v>426087.04037722625</v>
      </c>
      <c r="G64" s="121">
        <v>426087.04037722625</v>
      </c>
      <c r="H64" s="122">
        <v>1</v>
      </c>
      <c r="I64" s="123" t="b">
        <v>0</v>
      </c>
      <c r="J64" s="122">
        <v>-0.2173915439349321</v>
      </c>
      <c r="K64" s="121">
        <v>0</v>
      </c>
    </row>
    <row r="65" spans="1:11" s="119" customFormat="1" ht="15" x14ac:dyDescent="0.25">
      <c r="A65" s="118" t="s">
        <v>408</v>
      </c>
      <c r="B65" s="119" t="s">
        <v>405</v>
      </c>
      <c r="C65" s="120" t="s">
        <v>1123</v>
      </c>
      <c r="D65" s="119" t="s">
        <v>406</v>
      </c>
      <c r="E65" s="121">
        <v>427096.68426739302</v>
      </c>
      <c r="F65" s="121">
        <v>427096.68426739302</v>
      </c>
      <c r="G65" s="121">
        <v>427096.68426739302</v>
      </c>
      <c r="H65" s="122">
        <v>1</v>
      </c>
      <c r="I65" s="123" t="b">
        <v>0</v>
      </c>
      <c r="J65" s="122">
        <v>-0.22027624076398</v>
      </c>
      <c r="K65" s="121">
        <v>0</v>
      </c>
    </row>
    <row r="66" spans="1:11" s="119" customFormat="1" ht="15" x14ac:dyDescent="0.25">
      <c r="A66" s="118" t="s">
        <v>408</v>
      </c>
      <c r="B66" s="119" t="s">
        <v>405</v>
      </c>
      <c r="C66" s="120" t="s">
        <v>1147</v>
      </c>
      <c r="D66" s="119" t="s">
        <v>23</v>
      </c>
      <c r="E66" s="121">
        <v>427096.68426739302</v>
      </c>
      <c r="F66" s="121">
        <v>427096.68426739302</v>
      </c>
      <c r="G66" s="121">
        <v>427096.68426739302</v>
      </c>
      <c r="H66" s="122">
        <v>1</v>
      </c>
      <c r="I66" s="123" t="b">
        <v>0</v>
      </c>
      <c r="J66" s="122">
        <v>-0.22027624076398</v>
      </c>
      <c r="K66" s="121">
        <v>0</v>
      </c>
    </row>
    <row r="67" spans="1:11" s="119" customFormat="1" ht="15" x14ac:dyDescent="0.25">
      <c r="A67" s="118" t="s">
        <v>220</v>
      </c>
      <c r="B67" s="119" t="s">
        <v>218</v>
      </c>
      <c r="C67" s="120" t="s">
        <v>1129</v>
      </c>
      <c r="D67" s="119" t="s">
        <v>23</v>
      </c>
      <c r="E67" s="121">
        <v>518124.56280928344</v>
      </c>
      <c r="F67" s="121">
        <v>466312.1065283551</v>
      </c>
      <c r="G67" s="121">
        <v>466312.1065283551</v>
      </c>
      <c r="H67" s="122">
        <v>1</v>
      </c>
      <c r="I67" s="123" t="b">
        <v>0</v>
      </c>
      <c r="J67" s="122">
        <v>-0.48035589374080989</v>
      </c>
      <c r="K67" s="121">
        <v>0</v>
      </c>
    </row>
    <row r="68" spans="1:11" s="119" customFormat="1" ht="15" x14ac:dyDescent="0.25">
      <c r="A68" s="118" t="s">
        <v>220</v>
      </c>
      <c r="B68" s="119" t="s">
        <v>218</v>
      </c>
      <c r="C68" s="120" t="s">
        <v>1171</v>
      </c>
      <c r="D68" s="119" t="s">
        <v>222</v>
      </c>
      <c r="E68" s="121">
        <v>518124.56280928344</v>
      </c>
      <c r="F68" s="121">
        <v>466312.1065283551</v>
      </c>
      <c r="G68" s="121">
        <v>466312.1065283551</v>
      </c>
      <c r="H68" s="122">
        <v>1</v>
      </c>
      <c r="I68" s="123" t="b">
        <v>0</v>
      </c>
      <c r="J68" s="122">
        <v>-0.48035589374080989</v>
      </c>
      <c r="K68" s="121">
        <v>0</v>
      </c>
    </row>
    <row r="69" spans="1:11" s="119" customFormat="1" ht="15" x14ac:dyDescent="0.25">
      <c r="A69" s="118" t="s">
        <v>220</v>
      </c>
      <c r="B69" s="119" t="s">
        <v>218</v>
      </c>
      <c r="C69" s="120" t="s">
        <v>1197</v>
      </c>
      <c r="D69" s="119" t="s">
        <v>225</v>
      </c>
      <c r="E69" s="121">
        <v>518124.56280928344</v>
      </c>
      <c r="F69" s="121">
        <v>466312.1065283551</v>
      </c>
      <c r="G69" s="121">
        <v>466312.1065283551</v>
      </c>
      <c r="H69" s="122">
        <v>1</v>
      </c>
      <c r="I69" s="123" t="b">
        <v>0</v>
      </c>
      <c r="J69" s="122">
        <v>-0.48035589374080989</v>
      </c>
      <c r="K69" s="121">
        <v>0</v>
      </c>
    </row>
    <row r="70" spans="1:11" s="119" customFormat="1" ht="15" x14ac:dyDescent="0.25">
      <c r="A70" s="118" t="s">
        <v>289</v>
      </c>
      <c r="B70" s="119" t="s">
        <v>285</v>
      </c>
      <c r="C70" s="120" t="s">
        <v>1130</v>
      </c>
      <c r="D70" s="119" t="s">
        <v>286</v>
      </c>
      <c r="E70" s="121">
        <v>491971.95359865739</v>
      </c>
      <c r="F70" s="121">
        <v>467373.3559187245</v>
      </c>
      <c r="G70" s="121">
        <v>467373.3559187245</v>
      </c>
      <c r="H70" s="122">
        <v>1</v>
      </c>
      <c r="I70" s="123" t="b">
        <v>0</v>
      </c>
      <c r="J70" s="122">
        <v>-0.40563415313902107</v>
      </c>
      <c r="K70" s="121">
        <v>0</v>
      </c>
    </row>
    <row r="71" spans="1:11" s="119" customFormat="1" ht="15" x14ac:dyDescent="0.25">
      <c r="A71" s="118" t="s">
        <v>677</v>
      </c>
      <c r="B71" s="119" t="s">
        <v>674</v>
      </c>
      <c r="C71" s="120" t="s">
        <v>1159</v>
      </c>
      <c r="D71" s="119" t="s">
        <v>675</v>
      </c>
      <c r="E71" s="121">
        <v>461751.56870135915</v>
      </c>
      <c r="F71" s="121">
        <v>461751.56870135915</v>
      </c>
      <c r="G71" s="121">
        <v>461751.56870135915</v>
      </c>
      <c r="H71" s="122">
        <v>0.89426086956521744</v>
      </c>
      <c r="I71" s="123" t="b">
        <v>0</v>
      </c>
      <c r="J71" s="122">
        <v>-0.31929019628959754</v>
      </c>
      <c r="K71" s="121">
        <v>0</v>
      </c>
    </row>
    <row r="72" spans="1:11" s="119" customFormat="1" ht="15" x14ac:dyDescent="0.25">
      <c r="A72" s="118" t="s">
        <v>235</v>
      </c>
      <c r="B72" s="119" t="s">
        <v>233</v>
      </c>
      <c r="C72" s="120" t="s">
        <v>981</v>
      </c>
      <c r="D72" s="119" t="s">
        <v>140</v>
      </c>
      <c r="E72" s="121">
        <v>489790.53770180559</v>
      </c>
      <c r="F72" s="121">
        <v>489790.53770180559</v>
      </c>
      <c r="G72" s="121">
        <v>489790.53770180559</v>
      </c>
      <c r="H72" s="122">
        <v>1</v>
      </c>
      <c r="I72" s="123" t="b">
        <v>0</v>
      </c>
      <c r="J72" s="122">
        <v>-0.39940153629087316</v>
      </c>
      <c r="K72" s="121">
        <v>0</v>
      </c>
    </row>
    <row r="73" spans="1:11" s="119" customFormat="1" ht="15" x14ac:dyDescent="0.25">
      <c r="A73" s="118" t="s">
        <v>576</v>
      </c>
      <c r="B73" s="119" t="s">
        <v>573</v>
      </c>
      <c r="C73" s="120" t="s">
        <v>1183</v>
      </c>
      <c r="D73" s="119" t="s">
        <v>574</v>
      </c>
      <c r="E73" s="121">
        <v>469332.7750232041</v>
      </c>
      <c r="F73" s="121">
        <v>469332.7750232041</v>
      </c>
      <c r="G73" s="121">
        <v>469332.7750232041</v>
      </c>
      <c r="H73" s="122">
        <v>1</v>
      </c>
      <c r="I73" s="123" t="b">
        <v>0</v>
      </c>
      <c r="J73" s="122">
        <v>-0.34095078578058313</v>
      </c>
      <c r="K73" s="121">
        <v>0</v>
      </c>
    </row>
    <row r="74" spans="1:11" s="119" customFormat="1" ht="15" x14ac:dyDescent="0.25">
      <c r="A74" s="118" t="s">
        <v>188</v>
      </c>
      <c r="B74" s="119" t="s">
        <v>185</v>
      </c>
      <c r="C74" s="120" t="s">
        <v>1098</v>
      </c>
      <c r="D74" s="119" t="s">
        <v>186</v>
      </c>
      <c r="E74" s="121">
        <v>480028.55737198947</v>
      </c>
      <c r="F74" s="121">
        <v>480028.55737198947</v>
      </c>
      <c r="G74" s="121">
        <v>480028.55737198947</v>
      </c>
      <c r="H74" s="122">
        <v>0.85366419973250118</v>
      </c>
      <c r="I74" s="123" t="b">
        <v>0</v>
      </c>
      <c r="J74" s="122">
        <v>-0.37151016391996983</v>
      </c>
      <c r="K74" s="121">
        <v>0</v>
      </c>
    </row>
    <row r="75" spans="1:11" s="119" customFormat="1" ht="15" x14ac:dyDescent="0.25">
      <c r="A75" s="118" t="s">
        <v>900</v>
      </c>
      <c r="B75" s="119" t="s">
        <v>939</v>
      </c>
      <c r="C75" s="120" t="s">
        <v>993</v>
      </c>
      <c r="D75" s="119" t="s">
        <v>45</v>
      </c>
      <c r="E75" s="121">
        <v>476994.27388807281</v>
      </c>
      <c r="F75" s="121">
        <v>476994.27388807281</v>
      </c>
      <c r="G75" s="121">
        <v>476994.27388807281</v>
      </c>
      <c r="H75" s="122">
        <v>1</v>
      </c>
      <c r="I75" s="123" t="b">
        <v>0</v>
      </c>
      <c r="J75" s="122">
        <v>-0.36284078253735097</v>
      </c>
      <c r="K75" s="121">
        <v>0</v>
      </c>
    </row>
    <row r="76" spans="1:11" s="119" customFormat="1" ht="15" x14ac:dyDescent="0.25">
      <c r="A76" s="118" t="s">
        <v>414</v>
      </c>
      <c r="B76" s="119" t="s">
        <v>412</v>
      </c>
      <c r="C76" s="120" t="s">
        <v>1124</v>
      </c>
      <c r="D76" s="119" t="s">
        <v>406</v>
      </c>
      <c r="E76" s="121">
        <v>491860.33923735283</v>
      </c>
      <c r="F76" s="121">
        <v>491860.33923735283</v>
      </c>
      <c r="G76" s="121">
        <v>491860.33923735283</v>
      </c>
      <c r="H76" s="122">
        <v>1</v>
      </c>
      <c r="I76" s="123" t="b">
        <v>0</v>
      </c>
      <c r="J76" s="122">
        <v>-0.40531525496386522</v>
      </c>
      <c r="K76" s="121">
        <v>0</v>
      </c>
    </row>
    <row r="77" spans="1:11" s="119" customFormat="1" ht="15" x14ac:dyDescent="0.25">
      <c r="A77" s="118" t="s">
        <v>895</v>
      </c>
      <c r="B77" s="119" t="s">
        <v>935</v>
      </c>
      <c r="C77" s="120" t="s">
        <v>1017</v>
      </c>
      <c r="D77" s="119" t="s">
        <v>96</v>
      </c>
      <c r="E77" s="121">
        <v>504107.40936844214</v>
      </c>
      <c r="F77" s="121">
        <v>504107.40936844214</v>
      </c>
      <c r="G77" s="121">
        <v>504107.40936844214</v>
      </c>
      <c r="H77" s="122">
        <v>1</v>
      </c>
      <c r="I77" s="123" t="b">
        <v>0</v>
      </c>
      <c r="J77" s="122">
        <v>-0.44030688390983475</v>
      </c>
      <c r="K77" s="121">
        <v>0</v>
      </c>
    </row>
    <row r="78" spans="1:11" s="119" customFormat="1" ht="15" x14ac:dyDescent="0.25">
      <c r="A78" s="118" t="s">
        <v>504</v>
      </c>
      <c r="B78" s="119" t="s">
        <v>502</v>
      </c>
      <c r="C78" s="120" t="s">
        <v>1199</v>
      </c>
      <c r="D78" s="119" t="s">
        <v>194</v>
      </c>
      <c r="E78" s="121">
        <v>505043.9597176442</v>
      </c>
      <c r="F78" s="121">
        <v>505043.9597176442</v>
      </c>
      <c r="G78" s="121">
        <v>505043.9597176442</v>
      </c>
      <c r="H78" s="122">
        <v>1</v>
      </c>
      <c r="I78" s="123" t="b">
        <v>0</v>
      </c>
      <c r="J78" s="122">
        <v>-0.44298274205041199</v>
      </c>
      <c r="K78" s="121">
        <v>0</v>
      </c>
    </row>
    <row r="79" spans="1:11" s="119" customFormat="1" ht="15" x14ac:dyDescent="0.25">
      <c r="A79" s="127" t="s">
        <v>504</v>
      </c>
      <c r="B79" s="128" t="s">
        <v>502</v>
      </c>
      <c r="C79" s="120" t="s">
        <v>1078</v>
      </c>
      <c r="D79" s="128" t="s">
        <v>72</v>
      </c>
      <c r="E79" s="121">
        <v>505043.9597176442</v>
      </c>
      <c r="F79" s="121">
        <v>505043.9597176442</v>
      </c>
      <c r="G79" s="121">
        <v>505043.9597176442</v>
      </c>
      <c r="H79" s="129">
        <v>1</v>
      </c>
      <c r="I79" s="123" t="b">
        <v>0</v>
      </c>
      <c r="J79" s="122">
        <v>-0.44298274205041199</v>
      </c>
      <c r="K79" s="121">
        <v>0</v>
      </c>
    </row>
    <row r="80" spans="1:11" s="119" customFormat="1" ht="15" x14ac:dyDescent="0.25">
      <c r="A80" s="118" t="s">
        <v>902</v>
      </c>
      <c r="B80" s="119" t="s">
        <v>941</v>
      </c>
      <c r="C80" s="120" t="s">
        <v>1004</v>
      </c>
      <c r="D80" s="119" t="s">
        <v>35</v>
      </c>
      <c r="E80" s="121">
        <v>536537.09465910704</v>
      </c>
      <c r="F80" s="121">
        <v>536537.09465910704</v>
      </c>
      <c r="G80" s="121">
        <v>536537.09465910704</v>
      </c>
      <c r="H80" s="122">
        <v>1</v>
      </c>
      <c r="I80" s="123" t="b">
        <v>0</v>
      </c>
      <c r="J80" s="122">
        <v>-0.53296312759744868</v>
      </c>
      <c r="K80" s="121">
        <v>0</v>
      </c>
    </row>
    <row r="81" spans="1:11" s="119" customFormat="1" ht="15" x14ac:dyDescent="0.25">
      <c r="A81" s="118" t="s">
        <v>902</v>
      </c>
      <c r="B81" s="119" t="s">
        <v>941</v>
      </c>
      <c r="C81" s="120" t="s">
        <v>1005</v>
      </c>
      <c r="D81" s="119" t="s">
        <v>769</v>
      </c>
      <c r="E81" s="121">
        <v>536537.09465910704</v>
      </c>
      <c r="F81" s="121">
        <v>536537.09465910704</v>
      </c>
      <c r="G81" s="121">
        <v>536537.09465910704</v>
      </c>
      <c r="H81" s="122">
        <v>1</v>
      </c>
      <c r="I81" s="123" t="b">
        <v>0</v>
      </c>
      <c r="J81" s="122">
        <v>-0.53296312759744868</v>
      </c>
      <c r="K81" s="121">
        <v>0</v>
      </c>
    </row>
    <row r="82" spans="1:11" s="119" customFormat="1" ht="15" x14ac:dyDescent="0.25">
      <c r="A82" s="118" t="s">
        <v>703</v>
      </c>
      <c r="B82" s="119" t="s">
        <v>701</v>
      </c>
      <c r="C82" s="120" t="s">
        <v>1160</v>
      </c>
      <c r="D82" s="119" t="s">
        <v>35</v>
      </c>
      <c r="E82" s="121">
        <v>476725.71958476288</v>
      </c>
      <c r="F82" s="121">
        <v>476725.71958476288</v>
      </c>
      <c r="G82" s="121">
        <v>476725.71958476288</v>
      </c>
      <c r="H82" s="122">
        <v>1</v>
      </c>
      <c r="I82" s="123" t="b">
        <v>0</v>
      </c>
      <c r="J82" s="122">
        <v>-0.3620734845278939</v>
      </c>
      <c r="K82" s="121">
        <v>0</v>
      </c>
    </row>
    <row r="83" spans="1:11" s="119" customFormat="1" ht="15" x14ac:dyDescent="0.25">
      <c r="A83" s="118" t="s">
        <v>533</v>
      </c>
      <c r="B83" s="119" t="s">
        <v>531</v>
      </c>
      <c r="C83" s="120" t="s">
        <v>1196</v>
      </c>
      <c r="D83" s="119" t="s">
        <v>487</v>
      </c>
      <c r="E83" s="121">
        <v>496653.3336115884</v>
      </c>
      <c r="F83" s="121">
        <v>496653.3336115884</v>
      </c>
      <c r="G83" s="121">
        <v>496653.3336115884</v>
      </c>
      <c r="H83" s="122">
        <v>1</v>
      </c>
      <c r="I83" s="123" t="b">
        <v>0</v>
      </c>
      <c r="J83" s="122">
        <v>-0.41900952460453822</v>
      </c>
      <c r="K83" s="121">
        <v>0</v>
      </c>
    </row>
    <row r="84" spans="1:11" s="119" customFormat="1" ht="15" x14ac:dyDescent="0.25">
      <c r="A84" s="118" t="s">
        <v>655</v>
      </c>
      <c r="B84" s="119" t="s">
        <v>653</v>
      </c>
      <c r="C84" s="120" t="s">
        <v>1042</v>
      </c>
      <c r="D84" s="119" t="s">
        <v>74</v>
      </c>
      <c r="E84" s="121">
        <v>538915.08602831583</v>
      </c>
      <c r="F84" s="121">
        <v>538915.08602831583</v>
      </c>
      <c r="G84" s="121">
        <v>538915.08602831583</v>
      </c>
      <c r="H84" s="122">
        <v>1</v>
      </c>
      <c r="I84" s="123" t="b">
        <v>0</v>
      </c>
      <c r="J84" s="122">
        <v>-0.53975738865233103</v>
      </c>
      <c r="K84" s="121">
        <v>0</v>
      </c>
    </row>
    <row r="85" spans="1:11" s="119" customFormat="1" ht="15" x14ac:dyDescent="0.25">
      <c r="A85" s="118" t="s">
        <v>231</v>
      </c>
      <c r="B85" s="119" t="s">
        <v>228</v>
      </c>
      <c r="C85" s="120" t="s">
        <v>1117</v>
      </c>
      <c r="D85" s="119" t="s">
        <v>229</v>
      </c>
      <c r="E85" s="121">
        <v>616849.3744376729</v>
      </c>
      <c r="F85" s="121">
        <v>586006.90571578918</v>
      </c>
      <c r="G85" s="121">
        <v>586006.90571578918</v>
      </c>
      <c r="H85" s="122">
        <v>0.86206896551724133</v>
      </c>
      <c r="I85" s="123" t="b">
        <v>0</v>
      </c>
      <c r="J85" s="122">
        <v>-0.76242678410763687</v>
      </c>
      <c r="K85" s="121">
        <v>0</v>
      </c>
    </row>
    <row r="86" spans="1:11" s="119" customFormat="1" ht="15" x14ac:dyDescent="0.25">
      <c r="A86" s="118" t="s">
        <v>500</v>
      </c>
      <c r="B86" s="119" t="s">
        <v>498</v>
      </c>
      <c r="C86" s="120" t="s">
        <v>979</v>
      </c>
      <c r="D86" s="119" t="s">
        <v>50</v>
      </c>
      <c r="E86" s="121">
        <v>705978.50044247182</v>
      </c>
      <c r="F86" s="121">
        <v>635380.65039822471</v>
      </c>
      <c r="G86" s="121">
        <v>635380.65039822471</v>
      </c>
      <c r="H86" s="122">
        <v>1</v>
      </c>
      <c r="I86" s="123" t="b">
        <v>0</v>
      </c>
      <c r="J86" s="122">
        <v>-1.0170814298356339</v>
      </c>
      <c r="K86" s="121">
        <v>0</v>
      </c>
    </row>
    <row r="87" spans="1:11" s="119" customFormat="1" ht="15" x14ac:dyDescent="0.25">
      <c r="A87" s="118" t="s">
        <v>905</v>
      </c>
      <c r="B87" s="119" t="s">
        <v>943</v>
      </c>
      <c r="C87" s="120" t="s">
        <v>989</v>
      </c>
      <c r="D87" s="119" t="s">
        <v>50</v>
      </c>
      <c r="E87" s="121">
        <v>740343.56618500617</v>
      </c>
      <c r="F87" s="121">
        <v>740343.56618500617</v>
      </c>
      <c r="G87" s="121">
        <v>740343.56618500617</v>
      </c>
      <c r="H87" s="122">
        <v>1</v>
      </c>
      <c r="I87" s="123" t="b">
        <v>0</v>
      </c>
      <c r="J87" s="122">
        <v>-1.1152673319571607</v>
      </c>
      <c r="K87" s="121">
        <v>0</v>
      </c>
    </row>
    <row r="88" spans="1:11" s="119" customFormat="1" ht="15" x14ac:dyDescent="0.25">
      <c r="A88" s="118" t="s">
        <v>905</v>
      </c>
      <c r="B88" s="119" t="s">
        <v>943</v>
      </c>
      <c r="C88" s="120" t="s">
        <v>997</v>
      </c>
      <c r="D88" s="119" t="s">
        <v>45</v>
      </c>
      <c r="E88" s="121">
        <v>740343.56618500617</v>
      </c>
      <c r="F88" s="121">
        <v>740343.56618500617</v>
      </c>
      <c r="G88" s="121">
        <v>740343.56618500617</v>
      </c>
      <c r="H88" s="122">
        <v>1</v>
      </c>
      <c r="I88" s="123" t="b">
        <v>0</v>
      </c>
      <c r="J88" s="122">
        <v>-1.1152673319571607</v>
      </c>
      <c r="K88" s="121">
        <v>0</v>
      </c>
    </row>
    <row r="89" spans="1:11" s="119" customFormat="1" ht="15" x14ac:dyDescent="0.25">
      <c r="A89" s="118" t="s">
        <v>905</v>
      </c>
      <c r="B89" s="119" t="s">
        <v>943</v>
      </c>
      <c r="C89" s="120" t="s">
        <v>999</v>
      </c>
      <c r="D89" s="119" t="s">
        <v>35</v>
      </c>
      <c r="E89" s="121">
        <v>740343.56618500617</v>
      </c>
      <c r="F89" s="121">
        <v>740343.56618500617</v>
      </c>
      <c r="G89" s="121">
        <v>740343.56618500617</v>
      </c>
      <c r="H89" s="122">
        <v>1</v>
      </c>
      <c r="I89" s="123" t="b">
        <v>0</v>
      </c>
      <c r="J89" s="122">
        <v>-1.1152673319571607</v>
      </c>
      <c r="K89" s="121">
        <v>0</v>
      </c>
    </row>
    <row r="90" spans="1:11" s="119" customFormat="1" ht="15" x14ac:dyDescent="0.25">
      <c r="A90" s="118" t="s">
        <v>422</v>
      </c>
      <c r="B90" s="119" t="s">
        <v>420</v>
      </c>
      <c r="C90" s="120" t="s">
        <v>1138</v>
      </c>
      <c r="D90" s="119" t="s">
        <v>45</v>
      </c>
      <c r="E90" s="121">
        <v>738918.4757277827</v>
      </c>
      <c r="F90" s="121">
        <v>738918.4757277827</v>
      </c>
      <c r="G90" s="121">
        <v>738918.4757277827</v>
      </c>
      <c r="H90" s="122">
        <v>1</v>
      </c>
      <c r="I90" s="123" t="b">
        <v>0</v>
      </c>
      <c r="J90" s="122">
        <v>-1.1111956449365219</v>
      </c>
      <c r="K90" s="121">
        <v>0</v>
      </c>
    </row>
    <row r="91" spans="1:11" s="119" customFormat="1" ht="15" x14ac:dyDescent="0.25">
      <c r="A91" s="118" t="s">
        <v>422</v>
      </c>
      <c r="B91" s="119" t="s">
        <v>420</v>
      </c>
      <c r="C91" s="120" t="s">
        <v>1180</v>
      </c>
      <c r="D91" s="119" t="s">
        <v>194</v>
      </c>
      <c r="E91" s="121">
        <v>738918.4757277827</v>
      </c>
      <c r="F91" s="121">
        <v>738918.4757277827</v>
      </c>
      <c r="G91" s="121">
        <v>738918.4757277827</v>
      </c>
      <c r="H91" s="122">
        <v>1</v>
      </c>
      <c r="I91" s="123" t="b">
        <v>0</v>
      </c>
      <c r="J91" s="122">
        <v>-1.1111956449365219</v>
      </c>
      <c r="K91" s="121">
        <v>0</v>
      </c>
    </row>
    <row r="92" spans="1:11" s="119" customFormat="1" ht="15" x14ac:dyDescent="0.25">
      <c r="A92" s="127" t="s">
        <v>93</v>
      </c>
      <c r="B92" s="128" t="s">
        <v>91</v>
      </c>
      <c r="C92" s="120" t="s">
        <v>1119</v>
      </c>
      <c r="D92" s="128" t="s">
        <v>50</v>
      </c>
      <c r="E92" s="121">
        <v>806107.37573117926</v>
      </c>
      <c r="F92" s="121">
        <v>806107.37573117926</v>
      </c>
      <c r="G92" s="121">
        <v>806107.37573117926</v>
      </c>
      <c r="H92" s="129">
        <v>0.89055659787367103</v>
      </c>
      <c r="I92" s="123" t="b">
        <v>1</v>
      </c>
      <c r="J92" s="122">
        <v>-1.3031639306605123</v>
      </c>
      <c r="K92" s="121">
        <v>0</v>
      </c>
    </row>
    <row r="93" spans="1:11" s="119" customFormat="1" ht="15" x14ac:dyDescent="0.25">
      <c r="A93" s="127" t="s">
        <v>699</v>
      </c>
      <c r="B93" s="127" t="s">
        <v>695</v>
      </c>
      <c r="C93" s="120" t="s">
        <v>1143</v>
      </c>
      <c r="D93" s="130" t="s">
        <v>696</v>
      </c>
      <c r="E93" s="121">
        <v>858596.58381498116</v>
      </c>
      <c r="F93" s="121">
        <v>858596.58381498116</v>
      </c>
      <c r="G93" s="121">
        <v>858596.58381498116</v>
      </c>
      <c r="H93" s="129">
        <v>1</v>
      </c>
      <c r="I93" s="130" t="b">
        <v>0</v>
      </c>
      <c r="J93" s="122">
        <v>-1.453133096614232</v>
      </c>
      <c r="K93" s="121">
        <v>0</v>
      </c>
    </row>
    <row r="94" spans="1:11" s="119" customFormat="1" ht="15" x14ac:dyDescent="0.25">
      <c r="A94" s="127" t="s">
        <v>525</v>
      </c>
      <c r="B94" s="127" t="s">
        <v>523</v>
      </c>
      <c r="C94" s="120" t="s">
        <v>1099</v>
      </c>
      <c r="D94" s="130" t="s">
        <v>67</v>
      </c>
      <c r="E94" s="121">
        <v>904889.32340156299</v>
      </c>
      <c r="F94" s="121">
        <v>904889.32340156299</v>
      </c>
      <c r="G94" s="121">
        <v>904889.32340156299</v>
      </c>
      <c r="H94" s="129">
        <v>1</v>
      </c>
      <c r="I94" s="130" t="b">
        <v>0</v>
      </c>
      <c r="J94" s="122">
        <v>-1.5853980668616083</v>
      </c>
      <c r="K94" s="121">
        <v>0</v>
      </c>
    </row>
    <row r="95" spans="1:11" s="119" customFormat="1" ht="15" x14ac:dyDescent="0.25">
      <c r="A95" s="127" t="s">
        <v>525</v>
      </c>
      <c r="B95" s="127" t="s">
        <v>523</v>
      </c>
      <c r="C95" s="120" t="s">
        <v>1132</v>
      </c>
      <c r="D95" s="130" t="s">
        <v>45</v>
      </c>
      <c r="E95" s="121">
        <v>904889.32340156299</v>
      </c>
      <c r="F95" s="121">
        <v>904889.32340156299</v>
      </c>
      <c r="G95" s="121">
        <v>904889.32340156299</v>
      </c>
      <c r="H95" s="129">
        <v>1</v>
      </c>
      <c r="I95" s="130" t="b">
        <v>0</v>
      </c>
      <c r="J95" s="122">
        <v>-1.5853980668616083</v>
      </c>
      <c r="K95" s="121">
        <v>0</v>
      </c>
    </row>
    <row r="96" spans="1:11" s="119" customFormat="1" ht="15" x14ac:dyDescent="0.25">
      <c r="A96" s="127" t="s">
        <v>525</v>
      </c>
      <c r="B96" s="127" t="s">
        <v>523</v>
      </c>
      <c r="C96" s="120" t="s">
        <v>1198</v>
      </c>
      <c r="D96" s="130" t="s">
        <v>194</v>
      </c>
      <c r="E96" s="121">
        <v>904889.32340156299</v>
      </c>
      <c r="F96" s="121">
        <v>904889.32340156299</v>
      </c>
      <c r="G96" s="121">
        <v>904889.32340156299</v>
      </c>
      <c r="H96" s="129">
        <v>1</v>
      </c>
      <c r="I96" s="130" t="b">
        <v>0</v>
      </c>
      <c r="J96" s="122">
        <v>-1.5853980668616083</v>
      </c>
      <c r="K96" s="121">
        <v>0</v>
      </c>
    </row>
    <row r="97" spans="1:16345" s="119" customFormat="1" ht="15" x14ac:dyDescent="0.25">
      <c r="A97" s="127" t="s">
        <v>133</v>
      </c>
      <c r="B97" s="127" t="s">
        <v>130</v>
      </c>
      <c r="C97" s="120" t="s">
        <v>1127</v>
      </c>
      <c r="D97" s="130" t="s">
        <v>23</v>
      </c>
      <c r="E97" s="121">
        <v>1132746.3555407419</v>
      </c>
      <c r="F97" s="121">
        <v>1019471.7199866677</v>
      </c>
      <c r="G97" s="121">
        <v>1019471.7199866677</v>
      </c>
      <c r="H97" s="129">
        <v>1</v>
      </c>
      <c r="I97" s="130" t="b">
        <v>0</v>
      </c>
      <c r="J97" s="122">
        <v>-2.236418158687834</v>
      </c>
      <c r="K97" s="121">
        <v>0</v>
      </c>
    </row>
    <row r="98" spans="1:16345" s="119" customFormat="1" ht="15" x14ac:dyDescent="0.25">
      <c r="A98" s="127" t="s">
        <v>928</v>
      </c>
      <c r="B98" s="127" t="s">
        <v>965</v>
      </c>
      <c r="C98" s="120" t="s">
        <v>1003</v>
      </c>
      <c r="D98" s="130" t="s">
        <v>35</v>
      </c>
      <c r="E98" s="121">
        <v>1121190.4468259104</v>
      </c>
      <c r="F98" s="121">
        <v>1121190.4468259104</v>
      </c>
      <c r="G98" s="121">
        <v>1121190.4468259104</v>
      </c>
      <c r="H98" s="129">
        <v>1</v>
      </c>
      <c r="I98" s="130" t="b">
        <v>0</v>
      </c>
      <c r="J98" s="122">
        <v>-2.203401276645458</v>
      </c>
      <c r="K98" s="121">
        <v>0</v>
      </c>
    </row>
    <row r="99" spans="1:16345" s="119" customFormat="1" ht="15" x14ac:dyDescent="0.25">
      <c r="A99" s="127" t="s">
        <v>485</v>
      </c>
      <c r="B99" s="127" t="s">
        <v>482</v>
      </c>
      <c r="C99" s="120" t="s">
        <v>1194</v>
      </c>
      <c r="D99" s="130" t="s">
        <v>487</v>
      </c>
      <c r="E99" s="121">
        <v>1149427.3329852731</v>
      </c>
      <c r="F99" s="121">
        <v>1149427.3329852731</v>
      </c>
      <c r="G99" s="121">
        <v>1149427.3329852731</v>
      </c>
      <c r="H99" s="129">
        <v>1</v>
      </c>
      <c r="I99" s="130" t="b">
        <v>0</v>
      </c>
      <c r="J99" s="122">
        <v>-2.2840780942436374</v>
      </c>
      <c r="K99" s="121">
        <v>0</v>
      </c>
    </row>
    <row r="100" spans="1:16345" s="131" customFormat="1" ht="15" x14ac:dyDescent="0.25">
      <c r="A100" s="127" t="s">
        <v>485</v>
      </c>
      <c r="B100" s="127" t="s">
        <v>482</v>
      </c>
      <c r="C100" s="120" t="s">
        <v>1175</v>
      </c>
      <c r="D100" s="130" t="s">
        <v>483</v>
      </c>
      <c r="E100" s="121">
        <v>1149427.3329852731</v>
      </c>
      <c r="F100" s="121">
        <v>1149427.3329852731</v>
      </c>
      <c r="G100" s="121">
        <v>1149427.3329852731</v>
      </c>
      <c r="H100" s="129">
        <v>1</v>
      </c>
      <c r="I100" s="130" t="b">
        <v>0</v>
      </c>
      <c r="J100" s="122">
        <v>-2.2840780942436374</v>
      </c>
      <c r="K100" s="121">
        <v>0</v>
      </c>
    </row>
    <row r="101" spans="1:16345" s="131" customFormat="1" ht="15" x14ac:dyDescent="0.25">
      <c r="A101" s="127" t="s">
        <v>485</v>
      </c>
      <c r="B101" s="127" t="s">
        <v>482</v>
      </c>
      <c r="C101" s="120" t="s">
        <v>1195</v>
      </c>
      <c r="D101" s="130" t="s">
        <v>487</v>
      </c>
      <c r="E101" s="121">
        <v>1149427.3329852731</v>
      </c>
      <c r="F101" s="121">
        <v>1149427.3329852731</v>
      </c>
      <c r="G101" s="121">
        <v>1149427.3329852731</v>
      </c>
      <c r="H101" s="129">
        <v>1</v>
      </c>
      <c r="I101" s="130" t="b">
        <v>0</v>
      </c>
      <c r="J101" s="122">
        <v>-2.2840780942436374</v>
      </c>
      <c r="K101" s="121">
        <v>0</v>
      </c>
    </row>
    <row r="102" spans="1:16345" s="119" customFormat="1" ht="15" x14ac:dyDescent="0.25">
      <c r="A102" s="127" t="s">
        <v>894</v>
      </c>
      <c r="B102" s="127" t="s">
        <v>934</v>
      </c>
      <c r="C102" s="120" t="s">
        <v>1026</v>
      </c>
      <c r="D102" s="130" t="s">
        <v>194</v>
      </c>
      <c r="E102" s="121">
        <v>1370629.4965751211</v>
      </c>
      <c r="F102" s="121">
        <v>1370629.4965751211</v>
      </c>
      <c r="G102" s="121">
        <v>1370629.4965751211</v>
      </c>
      <c r="H102" s="129">
        <v>1</v>
      </c>
      <c r="I102" s="130" t="b">
        <v>0</v>
      </c>
      <c r="J102" s="122">
        <v>-2.9160842759289172</v>
      </c>
      <c r="K102" s="121">
        <v>0</v>
      </c>
    </row>
    <row r="103" spans="1:16345" s="119" customFormat="1" ht="15" x14ac:dyDescent="0.25">
      <c r="A103" s="127" t="s">
        <v>930</v>
      </c>
      <c r="B103" s="127" t="s">
        <v>967</v>
      </c>
      <c r="C103" s="120" t="s">
        <v>978</v>
      </c>
      <c r="D103" s="130" t="s">
        <v>67</v>
      </c>
      <c r="E103" s="121">
        <v>1705426.8444307554</v>
      </c>
      <c r="F103" s="121">
        <v>1705426.8444307554</v>
      </c>
      <c r="G103" s="121">
        <v>1705426.8444307554</v>
      </c>
      <c r="H103" s="129">
        <v>1</v>
      </c>
      <c r="I103" s="130" t="b">
        <v>0</v>
      </c>
      <c r="J103" s="122">
        <v>-3.8726481269450153</v>
      </c>
      <c r="K103" s="121">
        <v>0</v>
      </c>
    </row>
    <row r="104" spans="1:16345" s="142" customFormat="1" ht="15" x14ac:dyDescent="0.25">
      <c r="A104" s="127" t="s">
        <v>664</v>
      </c>
      <c r="B104" s="127" t="s">
        <v>662</v>
      </c>
      <c r="C104" s="120" t="s">
        <v>974</v>
      </c>
      <c r="D104" s="130" t="s">
        <v>67</v>
      </c>
      <c r="E104" s="121">
        <v>243609.17193654182</v>
      </c>
      <c r="F104" s="121">
        <v>243609.17193654182</v>
      </c>
      <c r="G104" s="121">
        <v>243609.17193654182</v>
      </c>
      <c r="H104" s="129">
        <v>0</v>
      </c>
      <c r="I104" s="130" t="b">
        <v>0</v>
      </c>
      <c r="J104" s="122">
        <v>0.30397379446702333</v>
      </c>
      <c r="K104" s="121">
        <v>0</v>
      </c>
      <c r="L104" s="139"/>
      <c r="M104" s="130"/>
      <c r="N104" s="130"/>
      <c r="O104" s="130"/>
      <c r="P104" s="130"/>
      <c r="Q104" s="130"/>
      <c r="R104" s="140"/>
      <c r="S104" s="140"/>
      <c r="T104" s="140"/>
      <c r="U104" s="141"/>
      <c r="V104" s="119"/>
      <c r="W104" s="128"/>
      <c r="X104" s="119"/>
      <c r="Y104" s="141"/>
      <c r="Z104" s="141"/>
      <c r="AA104" s="132"/>
      <c r="AB104" s="121"/>
      <c r="AC104" s="121"/>
      <c r="AD104" s="121"/>
      <c r="AE104" s="128"/>
      <c r="AF104" s="128"/>
      <c r="AG104" s="128"/>
      <c r="AH104" s="128"/>
      <c r="AI104" s="121"/>
      <c r="AJ104" s="121"/>
      <c r="AK104" s="121"/>
      <c r="AL104" s="132"/>
      <c r="AM104" s="132"/>
      <c r="AN104" s="129"/>
      <c r="AO104" s="130"/>
      <c r="AP104" s="121"/>
      <c r="AQ104" s="121"/>
      <c r="AR104" s="121"/>
      <c r="AS104" s="130"/>
      <c r="AT104" s="121"/>
      <c r="AU104" s="130"/>
      <c r="AV104" s="122"/>
      <c r="AW104" s="121"/>
      <c r="AX104" s="121"/>
      <c r="AY104" s="127"/>
      <c r="AZ104" s="127"/>
      <c r="BA104" s="120"/>
      <c r="BB104" s="130"/>
      <c r="BC104" s="130"/>
      <c r="BD104" s="139"/>
      <c r="BE104" s="130"/>
      <c r="BF104" s="130"/>
      <c r="BG104" s="130"/>
      <c r="BH104" s="130"/>
      <c r="BI104" s="130"/>
      <c r="BJ104" s="140"/>
      <c r="BK104" s="140"/>
      <c r="BL104" s="140"/>
      <c r="BM104" s="141"/>
      <c r="BN104" s="119"/>
      <c r="BO104" s="128"/>
      <c r="BP104" s="119"/>
      <c r="BQ104" s="141"/>
      <c r="BR104" s="141"/>
      <c r="BS104" s="132"/>
      <c r="BT104" s="121"/>
      <c r="BU104" s="121"/>
      <c r="BV104" s="121"/>
      <c r="BW104" s="128"/>
      <c r="BX104" s="128"/>
      <c r="BY104" s="128"/>
      <c r="BZ104" s="128"/>
      <c r="CA104" s="121"/>
      <c r="CB104" s="121"/>
      <c r="CC104" s="121"/>
      <c r="CD104" s="132"/>
      <c r="CE104" s="132"/>
      <c r="CF104" s="129"/>
      <c r="CG104" s="130"/>
      <c r="CH104" s="121"/>
      <c r="CI104" s="121"/>
      <c r="CJ104" s="121"/>
      <c r="CK104" s="130"/>
      <c r="CL104" s="121"/>
      <c r="CM104" s="130"/>
      <c r="CN104" s="122"/>
      <c r="CO104" s="121"/>
      <c r="CP104" s="121"/>
      <c r="CQ104" s="127"/>
      <c r="CR104" s="127"/>
      <c r="CS104" s="120"/>
      <c r="CT104" s="130"/>
      <c r="CU104" s="130"/>
      <c r="CV104" s="139"/>
      <c r="CW104" s="130"/>
      <c r="CX104" s="130"/>
      <c r="CY104" s="130"/>
      <c r="CZ104" s="130"/>
      <c r="DA104" s="130"/>
      <c r="DB104" s="140"/>
      <c r="DC104" s="140"/>
      <c r="DD104" s="140"/>
      <c r="DE104" s="141"/>
      <c r="DF104" s="119"/>
      <c r="DG104" s="128"/>
      <c r="DH104" s="119"/>
      <c r="DI104" s="141"/>
      <c r="DJ104" s="141"/>
      <c r="DK104" s="132"/>
      <c r="DL104" s="121"/>
      <c r="DM104" s="121"/>
      <c r="DN104" s="121"/>
      <c r="DO104" s="128"/>
      <c r="DP104" s="128"/>
      <c r="DQ104" s="128"/>
      <c r="DR104" s="128"/>
      <c r="DS104" s="121"/>
      <c r="DT104" s="121"/>
      <c r="DU104" s="121"/>
      <c r="DV104" s="132"/>
      <c r="DW104" s="132"/>
      <c r="DX104" s="129"/>
      <c r="DY104" s="130"/>
      <c r="DZ104" s="121"/>
      <c r="EA104" s="121"/>
      <c r="EB104" s="121"/>
      <c r="EC104" s="130"/>
      <c r="ED104" s="121"/>
      <c r="EE104" s="130"/>
      <c r="EF104" s="122"/>
      <c r="EG104" s="121"/>
      <c r="EH104" s="121"/>
      <c r="EI104" s="127"/>
      <c r="EJ104" s="127"/>
      <c r="EK104" s="120"/>
      <c r="EL104" s="130"/>
      <c r="EM104" s="130"/>
      <c r="EN104" s="139"/>
      <c r="EO104" s="130"/>
      <c r="EP104" s="130"/>
      <c r="EQ104" s="130"/>
      <c r="ER104" s="130"/>
      <c r="ES104" s="130"/>
      <c r="ET104" s="140"/>
      <c r="EU104" s="140"/>
      <c r="EV104" s="140"/>
      <c r="EW104" s="141"/>
      <c r="EX104" s="119"/>
      <c r="EY104" s="128"/>
      <c r="EZ104" s="119"/>
      <c r="FA104" s="141"/>
      <c r="FB104" s="141"/>
      <c r="FC104" s="132"/>
      <c r="FD104" s="121"/>
      <c r="FE104" s="121"/>
      <c r="FF104" s="121"/>
      <c r="FG104" s="128"/>
      <c r="FH104" s="128"/>
      <c r="FI104" s="128"/>
      <c r="FJ104" s="128"/>
      <c r="FK104" s="121"/>
      <c r="FL104" s="121"/>
      <c r="FM104" s="121"/>
      <c r="FN104" s="132"/>
      <c r="FO104" s="132"/>
      <c r="FP104" s="129"/>
      <c r="FQ104" s="130"/>
      <c r="FR104" s="121"/>
      <c r="FS104" s="121"/>
      <c r="FT104" s="121"/>
      <c r="FU104" s="130"/>
      <c r="FV104" s="121"/>
      <c r="FW104" s="130"/>
      <c r="FX104" s="122"/>
      <c r="FY104" s="121"/>
      <c r="FZ104" s="121"/>
      <c r="GA104" s="127"/>
      <c r="GB104" s="127"/>
      <c r="GC104" s="120"/>
      <c r="GD104" s="130"/>
      <c r="GE104" s="130"/>
      <c r="GF104" s="139"/>
      <c r="GG104" s="130"/>
      <c r="GH104" s="130"/>
      <c r="GI104" s="130"/>
      <c r="GJ104" s="130"/>
      <c r="GK104" s="130"/>
      <c r="GL104" s="140"/>
      <c r="GM104" s="140"/>
      <c r="GN104" s="140"/>
      <c r="GO104" s="141"/>
      <c r="GP104" s="119"/>
      <c r="GQ104" s="128"/>
      <c r="GR104" s="119"/>
      <c r="GS104" s="141"/>
      <c r="GT104" s="141"/>
      <c r="GU104" s="132"/>
      <c r="GV104" s="121"/>
      <c r="GW104" s="121"/>
      <c r="GX104" s="121"/>
      <c r="GY104" s="128"/>
      <c r="GZ104" s="128"/>
      <c r="HA104" s="128"/>
      <c r="HB104" s="128"/>
      <c r="HC104" s="121"/>
      <c r="HD104" s="121"/>
      <c r="HE104" s="121"/>
      <c r="HF104" s="132"/>
      <c r="HG104" s="132"/>
      <c r="HH104" s="129"/>
      <c r="HI104" s="130"/>
      <c r="HJ104" s="121"/>
      <c r="HK104" s="121"/>
      <c r="HL104" s="121"/>
      <c r="HM104" s="130"/>
      <c r="HN104" s="121"/>
      <c r="HO104" s="130"/>
      <c r="HP104" s="122"/>
      <c r="HQ104" s="121"/>
      <c r="HR104" s="121"/>
      <c r="HS104" s="127"/>
      <c r="HT104" s="127"/>
      <c r="HU104" s="120"/>
      <c r="HV104" s="130"/>
      <c r="HW104" s="130"/>
      <c r="HX104" s="139"/>
      <c r="HY104" s="130"/>
      <c r="HZ104" s="130"/>
      <c r="IA104" s="130"/>
      <c r="IB104" s="130"/>
      <c r="IC104" s="130"/>
      <c r="ID104" s="140"/>
      <c r="IE104" s="140"/>
      <c r="IF104" s="140"/>
      <c r="IG104" s="141"/>
      <c r="IH104" s="119"/>
      <c r="II104" s="128"/>
      <c r="IJ104" s="119"/>
      <c r="IK104" s="141"/>
      <c r="IL104" s="141"/>
      <c r="IM104" s="132"/>
      <c r="IN104" s="121"/>
      <c r="IO104" s="121"/>
      <c r="IP104" s="121"/>
      <c r="IQ104" s="128"/>
      <c r="IR104" s="128"/>
      <c r="IS104" s="128"/>
      <c r="IT104" s="128"/>
      <c r="IU104" s="121"/>
      <c r="IV104" s="121"/>
      <c r="IW104" s="121"/>
      <c r="IX104" s="132"/>
      <c r="IY104" s="132"/>
      <c r="IZ104" s="129"/>
      <c r="JA104" s="130"/>
      <c r="JB104" s="121"/>
      <c r="JC104" s="121"/>
      <c r="JD104" s="121"/>
      <c r="JE104" s="130"/>
      <c r="JF104" s="121"/>
      <c r="JG104" s="130"/>
      <c r="JH104" s="122"/>
      <c r="JI104" s="121"/>
      <c r="JJ104" s="121"/>
      <c r="JK104" s="127"/>
      <c r="JL104" s="127"/>
      <c r="JM104" s="120"/>
      <c r="JN104" s="130"/>
      <c r="JO104" s="130"/>
      <c r="JP104" s="139"/>
      <c r="JQ104" s="130"/>
      <c r="JR104" s="130"/>
      <c r="JS104" s="130"/>
      <c r="JT104" s="130"/>
      <c r="JU104" s="130"/>
      <c r="JV104" s="140"/>
      <c r="JW104" s="140"/>
      <c r="JX104" s="140"/>
      <c r="JY104" s="141"/>
      <c r="JZ104" s="119"/>
      <c r="KA104" s="128"/>
      <c r="KB104" s="119"/>
      <c r="KC104" s="141"/>
      <c r="KD104" s="141"/>
      <c r="KE104" s="132"/>
      <c r="KF104" s="121"/>
      <c r="KG104" s="121"/>
      <c r="KH104" s="121"/>
      <c r="KI104" s="128"/>
      <c r="KJ104" s="128"/>
      <c r="KK104" s="128"/>
      <c r="KL104" s="128"/>
      <c r="KM104" s="121"/>
      <c r="KN104" s="121"/>
      <c r="KO104" s="121"/>
      <c r="KP104" s="132"/>
      <c r="KQ104" s="132"/>
      <c r="KR104" s="129"/>
      <c r="KS104" s="130"/>
      <c r="KT104" s="121"/>
      <c r="KU104" s="121"/>
      <c r="KV104" s="121"/>
      <c r="KW104" s="130"/>
      <c r="KX104" s="121"/>
      <c r="KY104" s="130"/>
      <c r="KZ104" s="122"/>
      <c r="LA104" s="121"/>
      <c r="LB104" s="121"/>
      <c r="LC104" s="127"/>
      <c r="LD104" s="127"/>
      <c r="LE104" s="120"/>
      <c r="LF104" s="130"/>
      <c r="LG104" s="130"/>
      <c r="LH104" s="139"/>
      <c r="LI104" s="130"/>
      <c r="LJ104" s="130"/>
      <c r="LK104" s="130"/>
      <c r="LL104" s="130"/>
      <c r="LM104" s="130"/>
      <c r="LN104" s="140"/>
      <c r="LO104" s="140"/>
      <c r="LP104" s="140"/>
      <c r="LQ104" s="141"/>
      <c r="LR104" s="119"/>
      <c r="LS104" s="128"/>
      <c r="LT104" s="119"/>
      <c r="LU104" s="141"/>
      <c r="LV104" s="141"/>
      <c r="LW104" s="132"/>
      <c r="LX104" s="121"/>
      <c r="LY104" s="121"/>
      <c r="LZ104" s="121"/>
      <c r="MA104" s="128"/>
      <c r="MB104" s="128"/>
      <c r="MC104" s="128"/>
      <c r="MD104" s="128"/>
      <c r="ME104" s="121"/>
      <c r="MF104" s="121"/>
      <c r="MG104" s="121"/>
      <c r="MH104" s="132"/>
      <c r="MI104" s="132"/>
      <c r="MJ104" s="129"/>
      <c r="MK104" s="130"/>
      <c r="ML104" s="121"/>
      <c r="MM104" s="121"/>
      <c r="MN104" s="121"/>
      <c r="MO104" s="130"/>
      <c r="MP104" s="121"/>
      <c r="MQ104" s="130"/>
      <c r="MR104" s="122"/>
      <c r="MS104" s="121"/>
      <c r="MT104" s="121"/>
      <c r="MU104" s="127"/>
      <c r="MV104" s="127"/>
      <c r="MW104" s="120"/>
      <c r="MX104" s="130"/>
      <c r="MY104" s="130"/>
      <c r="MZ104" s="139"/>
      <c r="NA104" s="130"/>
      <c r="NB104" s="130"/>
      <c r="NC104" s="130"/>
      <c r="ND104" s="130"/>
      <c r="NE104" s="130"/>
      <c r="NF104" s="140"/>
      <c r="NG104" s="140"/>
      <c r="NH104" s="140"/>
      <c r="NI104" s="141"/>
      <c r="NJ104" s="119"/>
      <c r="NK104" s="128"/>
      <c r="NL104" s="119"/>
      <c r="NM104" s="141"/>
      <c r="NN104" s="141"/>
      <c r="NO104" s="132"/>
      <c r="NP104" s="121"/>
      <c r="NQ104" s="121"/>
      <c r="NR104" s="121"/>
      <c r="NS104" s="128"/>
      <c r="NT104" s="128"/>
      <c r="NU104" s="128"/>
      <c r="NV104" s="128"/>
      <c r="NW104" s="121"/>
      <c r="NX104" s="121"/>
      <c r="NY104" s="121"/>
      <c r="NZ104" s="132"/>
      <c r="OA104" s="132"/>
      <c r="OB104" s="129"/>
      <c r="OC104" s="130"/>
      <c r="OD104" s="121"/>
      <c r="OE104" s="121"/>
      <c r="OF104" s="121"/>
      <c r="OG104" s="130"/>
      <c r="OH104" s="121"/>
      <c r="OI104" s="130"/>
      <c r="OJ104" s="122"/>
      <c r="OK104" s="121"/>
      <c r="OL104" s="121"/>
      <c r="OM104" s="127"/>
      <c r="ON104" s="127"/>
      <c r="OO104" s="120"/>
      <c r="OP104" s="130"/>
      <c r="OQ104" s="130"/>
      <c r="OR104" s="139"/>
      <c r="OS104" s="130"/>
      <c r="OT104" s="130"/>
      <c r="OU104" s="130"/>
      <c r="OV104" s="130"/>
      <c r="OW104" s="130"/>
      <c r="OX104" s="140"/>
      <c r="OY104" s="140"/>
      <c r="OZ104" s="140"/>
      <c r="PA104" s="141"/>
      <c r="PB104" s="119"/>
      <c r="PC104" s="128"/>
      <c r="PD104" s="119"/>
      <c r="PE104" s="141"/>
      <c r="PF104" s="141"/>
      <c r="PG104" s="132"/>
      <c r="PH104" s="121"/>
      <c r="PI104" s="121"/>
      <c r="PJ104" s="121"/>
      <c r="PK104" s="128"/>
      <c r="PL104" s="128"/>
      <c r="PM104" s="128"/>
      <c r="PN104" s="128"/>
      <c r="PO104" s="121"/>
      <c r="PP104" s="121"/>
      <c r="PQ104" s="121"/>
      <c r="PR104" s="132"/>
      <c r="PS104" s="132"/>
      <c r="PT104" s="129"/>
      <c r="PU104" s="130"/>
      <c r="PV104" s="121"/>
      <c r="PW104" s="121"/>
      <c r="PX104" s="121"/>
      <c r="PY104" s="130"/>
      <c r="PZ104" s="121"/>
      <c r="QA104" s="130"/>
      <c r="QB104" s="122"/>
      <c r="QC104" s="121"/>
      <c r="QD104" s="121"/>
      <c r="QE104" s="127"/>
      <c r="QF104" s="127"/>
      <c r="QG104" s="120"/>
      <c r="QH104" s="130"/>
      <c r="QI104" s="130"/>
      <c r="QJ104" s="139"/>
      <c r="QK104" s="130"/>
      <c r="QL104" s="130"/>
      <c r="QM104" s="130"/>
      <c r="QN104" s="130"/>
      <c r="QO104" s="130"/>
      <c r="QP104" s="140"/>
      <c r="QQ104" s="140"/>
      <c r="QR104" s="140"/>
      <c r="QS104" s="141"/>
      <c r="QT104" s="119"/>
      <c r="QU104" s="128"/>
      <c r="QV104" s="119"/>
      <c r="QW104" s="141"/>
      <c r="QX104" s="141"/>
      <c r="QY104" s="132"/>
      <c r="QZ104" s="121"/>
      <c r="RA104" s="121"/>
      <c r="RB104" s="121"/>
      <c r="RC104" s="128"/>
      <c r="RD104" s="128"/>
      <c r="RE104" s="128"/>
      <c r="RF104" s="128"/>
      <c r="RG104" s="121"/>
      <c r="RH104" s="121"/>
      <c r="RI104" s="121"/>
      <c r="RJ104" s="132"/>
      <c r="RK104" s="132"/>
      <c r="RL104" s="129"/>
      <c r="RM104" s="130"/>
      <c r="RN104" s="121"/>
      <c r="RO104" s="121"/>
      <c r="RP104" s="121"/>
      <c r="RQ104" s="130"/>
      <c r="RR104" s="121"/>
      <c r="RS104" s="130"/>
      <c r="RT104" s="122"/>
      <c r="RU104" s="121"/>
      <c r="RV104" s="121"/>
      <c r="RW104" s="127"/>
      <c r="RX104" s="127"/>
      <c r="RY104" s="120"/>
      <c r="RZ104" s="130"/>
      <c r="SA104" s="130"/>
      <c r="SB104" s="139"/>
      <c r="SC104" s="130"/>
      <c r="SD104" s="130"/>
      <c r="SE104" s="130"/>
      <c r="SF104" s="130"/>
      <c r="SG104" s="130"/>
      <c r="SH104" s="140"/>
      <c r="SI104" s="140"/>
      <c r="SJ104" s="140"/>
      <c r="SK104" s="141"/>
      <c r="SL104" s="119"/>
      <c r="SM104" s="128"/>
      <c r="SN104" s="119"/>
      <c r="SO104" s="141"/>
      <c r="SP104" s="141"/>
      <c r="SQ104" s="132"/>
      <c r="SR104" s="121"/>
      <c r="SS104" s="121"/>
      <c r="ST104" s="121"/>
      <c r="SU104" s="128"/>
      <c r="SV104" s="128"/>
      <c r="SW104" s="128"/>
      <c r="SX104" s="128"/>
      <c r="SY104" s="121"/>
      <c r="SZ104" s="121"/>
      <c r="TA104" s="121"/>
      <c r="TB104" s="132"/>
      <c r="TC104" s="132"/>
      <c r="TD104" s="129"/>
      <c r="TE104" s="130"/>
      <c r="TF104" s="121"/>
      <c r="TG104" s="121"/>
      <c r="TH104" s="121"/>
      <c r="TI104" s="130"/>
      <c r="TJ104" s="121"/>
      <c r="TK104" s="130"/>
      <c r="TL104" s="122"/>
      <c r="TM104" s="121"/>
      <c r="TN104" s="121"/>
      <c r="TO104" s="127"/>
      <c r="TP104" s="127"/>
      <c r="TQ104" s="120"/>
      <c r="TR104" s="130"/>
      <c r="TS104" s="130"/>
      <c r="TT104" s="139"/>
      <c r="TU104" s="130"/>
      <c r="TV104" s="130"/>
      <c r="TW104" s="130"/>
      <c r="TX104" s="130"/>
      <c r="TY104" s="130"/>
      <c r="TZ104" s="140"/>
      <c r="UA104" s="140"/>
      <c r="UB104" s="140"/>
      <c r="UC104" s="141"/>
      <c r="UD104" s="119"/>
      <c r="UE104" s="128"/>
      <c r="UF104" s="119"/>
      <c r="UG104" s="141"/>
      <c r="UH104" s="141"/>
      <c r="UI104" s="132"/>
      <c r="UJ104" s="121"/>
      <c r="UK104" s="121"/>
      <c r="UL104" s="121"/>
      <c r="UM104" s="128"/>
      <c r="UN104" s="128"/>
      <c r="UO104" s="128"/>
      <c r="UP104" s="128"/>
      <c r="UQ104" s="121"/>
      <c r="UR104" s="121"/>
      <c r="US104" s="121"/>
      <c r="UT104" s="132"/>
      <c r="UU104" s="132"/>
      <c r="UV104" s="129"/>
      <c r="UW104" s="130"/>
      <c r="UX104" s="121"/>
      <c r="UY104" s="121"/>
      <c r="UZ104" s="121"/>
      <c r="VA104" s="130"/>
      <c r="VB104" s="121"/>
      <c r="VC104" s="130"/>
      <c r="VD104" s="122"/>
      <c r="VE104" s="121"/>
      <c r="VF104" s="121"/>
      <c r="VG104" s="127"/>
      <c r="VH104" s="127"/>
      <c r="VI104" s="120"/>
      <c r="VJ104" s="130"/>
      <c r="VK104" s="130"/>
      <c r="VL104" s="139"/>
      <c r="VM104" s="130"/>
      <c r="VN104" s="130"/>
      <c r="VO104" s="130"/>
      <c r="VP104" s="130"/>
      <c r="VQ104" s="130"/>
      <c r="VR104" s="140"/>
      <c r="VS104" s="140"/>
      <c r="VT104" s="140"/>
      <c r="VU104" s="141"/>
      <c r="VV104" s="119"/>
      <c r="VW104" s="128"/>
      <c r="VX104" s="119"/>
      <c r="VY104" s="141"/>
      <c r="VZ104" s="141"/>
      <c r="WA104" s="132"/>
      <c r="WB104" s="121"/>
      <c r="WC104" s="121"/>
      <c r="WD104" s="121"/>
      <c r="WE104" s="128"/>
      <c r="WF104" s="128"/>
      <c r="WG104" s="128"/>
      <c r="WH104" s="128"/>
      <c r="WI104" s="121"/>
      <c r="WJ104" s="121"/>
      <c r="WK104" s="121"/>
      <c r="WL104" s="132"/>
      <c r="WM104" s="132"/>
      <c r="WN104" s="129"/>
      <c r="WO104" s="130"/>
      <c r="WP104" s="121"/>
      <c r="WQ104" s="121"/>
      <c r="WR104" s="121"/>
      <c r="WS104" s="130"/>
      <c r="WT104" s="121"/>
      <c r="WU104" s="130"/>
      <c r="WV104" s="122"/>
      <c r="WW104" s="121"/>
      <c r="WX104" s="121"/>
      <c r="WY104" s="127"/>
      <c r="WZ104" s="127"/>
      <c r="XA104" s="120"/>
      <c r="XB104" s="130"/>
      <c r="XC104" s="130"/>
      <c r="XD104" s="139"/>
      <c r="XE104" s="130"/>
      <c r="XF104" s="130"/>
      <c r="XG104" s="130"/>
      <c r="XH104" s="130"/>
      <c r="XI104" s="130"/>
      <c r="XJ104" s="140"/>
      <c r="XK104" s="140"/>
      <c r="XL104" s="140"/>
      <c r="XM104" s="141"/>
      <c r="XN104" s="119"/>
      <c r="XO104" s="128"/>
      <c r="XP104" s="119"/>
      <c r="XQ104" s="141"/>
      <c r="XR104" s="141"/>
      <c r="XS104" s="132"/>
      <c r="XT104" s="121"/>
      <c r="XU104" s="121"/>
      <c r="XV104" s="121"/>
      <c r="XW104" s="128"/>
      <c r="XX104" s="128"/>
      <c r="XY104" s="128"/>
      <c r="XZ104" s="128"/>
      <c r="YA104" s="121"/>
      <c r="YB104" s="121"/>
      <c r="YC104" s="121"/>
      <c r="YD104" s="132"/>
      <c r="YE104" s="132"/>
      <c r="YF104" s="129"/>
      <c r="YG104" s="130"/>
      <c r="YH104" s="121"/>
      <c r="YI104" s="121"/>
      <c r="YJ104" s="121"/>
      <c r="YK104" s="130"/>
      <c r="YL104" s="121"/>
      <c r="YM104" s="130"/>
      <c r="YN104" s="122"/>
      <c r="YO104" s="121"/>
      <c r="YP104" s="121"/>
      <c r="YQ104" s="127"/>
      <c r="YR104" s="127"/>
      <c r="YS104" s="120"/>
      <c r="YT104" s="130"/>
      <c r="YU104" s="130"/>
      <c r="YV104" s="139"/>
      <c r="YW104" s="130"/>
      <c r="YX104" s="130"/>
      <c r="YY104" s="130"/>
      <c r="YZ104" s="130"/>
      <c r="ZA104" s="130"/>
      <c r="ZB104" s="140"/>
      <c r="ZC104" s="140"/>
      <c r="ZD104" s="140"/>
      <c r="ZE104" s="141"/>
      <c r="ZF104" s="119"/>
      <c r="ZG104" s="128"/>
      <c r="ZH104" s="119"/>
      <c r="ZI104" s="141"/>
      <c r="ZJ104" s="141"/>
      <c r="ZK104" s="132"/>
      <c r="ZL104" s="121"/>
      <c r="ZM104" s="121"/>
      <c r="ZN104" s="121"/>
      <c r="ZO104" s="128"/>
      <c r="ZP104" s="128"/>
      <c r="ZQ104" s="128"/>
      <c r="ZR104" s="128"/>
      <c r="ZS104" s="121"/>
      <c r="ZT104" s="121"/>
      <c r="ZU104" s="121"/>
      <c r="ZV104" s="132"/>
      <c r="ZW104" s="132"/>
      <c r="ZX104" s="129"/>
      <c r="ZY104" s="130"/>
      <c r="ZZ104" s="121"/>
      <c r="AAA104" s="121"/>
      <c r="AAB104" s="121"/>
      <c r="AAC104" s="130"/>
      <c r="AAD104" s="121"/>
      <c r="AAE104" s="130"/>
      <c r="AAF104" s="122"/>
      <c r="AAG104" s="121"/>
      <c r="AAH104" s="121"/>
      <c r="AAI104" s="127"/>
      <c r="AAJ104" s="127"/>
      <c r="AAK104" s="120"/>
      <c r="AAL104" s="130"/>
      <c r="AAM104" s="130"/>
      <c r="AAN104" s="139"/>
      <c r="AAO104" s="130"/>
      <c r="AAP104" s="130"/>
      <c r="AAQ104" s="130"/>
      <c r="AAR104" s="130"/>
      <c r="AAS104" s="130"/>
      <c r="AAT104" s="140"/>
      <c r="AAU104" s="140"/>
      <c r="AAV104" s="140"/>
      <c r="AAW104" s="141"/>
      <c r="AAX104" s="119"/>
      <c r="AAY104" s="128"/>
      <c r="AAZ104" s="119"/>
      <c r="ABA104" s="141"/>
      <c r="ABB104" s="141"/>
      <c r="ABC104" s="132"/>
      <c r="ABD104" s="121"/>
      <c r="ABE104" s="121"/>
      <c r="ABF104" s="121"/>
      <c r="ABG104" s="128"/>
      <c r="ABH104" s="128"/>
      <c r="ABI104" s="128"/>
      <c r="ABJ104" s="128"/>
      <c r="ABK104" s="121"/>
      <c r="ABL104" s="121"/>
      <c r="ABM104" s="121"/>
      <c r="ABN104" s="132"/>
      <c r="ABO104" s="132"/>
      <c r="ABP104" s="129"/>
      <c r="ABQ104" s="130"/>
      <c r="ABR104" s="121"/>
      <c r="ABS104" s="121"/>
      <c r="ABT104" s="121"/>
      <c r="ABU104" s="130"/>
      <c r="ABV104" s="121"/>
      <c r="ABW104" s="130"/>
      <c r="ABX104" s="122"/>
      <c r="ABY104" s="121"/>
      <c r="ABZ104" s="121"/>
      <c r="ACA104" s="127"/>
      <c r="ACB104" s="127"/>
      <c r="ACC104" s="120"/>
      <c r="ACD104" s="130"/>
      <c r="ACE104" s="130"/>
      <c r="ACF104" s="139"/>
      <c r="ACG104" s="130"/>
      <c r="ACH104" s="130"/>
      <c r="ACI104" s="130"/>
      <c r="ACJ104" s="130"/>
      <c r="ACK104" s="130"/>
      <c r="ACL104" s="140"/>
      <c r="ACM104" s="140"/>
      <c r="ACN104" s="140"/>
      <c r="ACO104" s="141"/>
      <c r="ACP104" s="119"/>
      <c r="ACQ104" s="128"/>
      <c r="ACR104" s="119"/>
      <c r="ACS104" s="141"/>
      <c r="ACT104" s="141"/>
      <c r="ACU104" s="132"/>
      <c r="ACV104" s="121"/>
      <c r="ACW104" s="121"/>
      <c r="ACX104" s="121"/>
      <c r="ACY104" s="128"/>
      <c r="ACZ104" s="128"/>
      <c r="ADA104" s="128"/>
      <c r="ADB104" s="128"/>
      <c r="ADC104" s="121"/>
      <c r="ADD104" s="121"/>
      <c r="ADE104" s="121"/>
      <c r="ADF104" s="132"/>
      <c r="ADG104" s="132"/>
      <c r="ADH104" s="129"/>
      <c r="ADI104" s="130"/>
      <c r="ADJ104" s="121"/>
      <c r="ADK104" s="121"/>
      <c r="ADL104" s="121"/>
      <c r="ADM104" s="130"/>
      <c r="ADN104" s="121"/>
      <c r="ADO104" s="130"/>
      <c r="ADP104" s="122"/>
      <c r="ADQ104" s="121"/>
      <c r="ADR104" s="121"/>
      <c r="ADS104" s="127"/>
      <c r="ADT104" s="127"/>
      <c r="ADU104" s="120"/>
      <c r="ADV104" s="130"/>
      <c r="ADW104" s="130"/>
      <c r="ADX104" s="139"/>
      <c r="ADY104" s="130"/>
      <c r="ADZ104" s="130"/>
      <c r="AEA104" s="130"/>
      <c r="AEB104" s="130"/>
      <c r="AEC104" s="130"/>
      <c r="AED104" s="140"/>
      <c r="AEE104" s="140"/>
      <c r="AEF104" s="140"/>
      <c r="AEG104" s="141"/>
      <c r="AEH104" s="119"/>
      <c r="AEI104" s="128"/>
      <c r="AEJ104" s="119"/>
      <c r="AEK104" s="141"/>
      <c r="AEL104" s="141"/>
      <c r="AEM104" s="132"/>
      <c r="AEN104" s="121"/>
      <c r="AEO104" s="121"/>
      <c r="AEP104" s="121"/>
      <c r="AEQ104" s="128"/>
      <c r="AER104" s="128"/>
      <c r="AES104" s="128"/>
      <c r="AET104" s="128"/>
      <c r="AEU104" s="121"/>
      <c r="AEV104" s="121"/>
      <c r="AEW104" s="121"/>
      <c r="AEX104" s="132"/>
      <c r="AEY104" s="132"/>
      <c r="AEZ104" s="129"/>
      <c r="AFA104" s="130"/>
      <c r="AFB104" s="121"/>
      <c r="AFC104" s="121"/>
      <c r="AFD104" s="121"/>
      <c r="AFE104" s="130"/>
      <c r="AFF104" s="121"/>
      <c r="AFG104" s="130"/>
      <c r="AFH104" s="122"/>
      <c r="AFI104" s="121"/>
      <c r="AFJ104" s="121"/>
      <c r="AFK104" s="127"/>
      <c r="AFL104" s="127"/>
      <c r="AFM104" s="120"/>
      <c r="AFN104" s="130"/>
      <c r="AFO104" s="130"/>
      <c r="AFP104" s="139"/>
      <c r="AFQ104" s="130"/>
      <c r="AFR104" s="130"/>
      <c r="AFS104" s="130"/>
      <c r="AFT104" s="130"/>
      <c r="AFU104" s="130"/>
      <c r="AFV104" s="140"/>
      <c r="AFW104" s="140"/>
      <c r="AFX104" s="140"/>
      <c r="AFY104" s="141"/>
      <c r="AFZ104" s="119"/>
      <c r="AGA104" s="128"/>
      <c r="AGB104" s="119"/>
      <c r="AGC104" s="141"/>
      <c r="AGD104" s="141"/>
      <c r="AGE104" s="132"/>
      <c r="AGF104" s="121"/>
      <c r="AGG104" s="121"/>
      <c r="AGH104" s="121"/>
      <c r="AGI104" s="128"/>
      <c r="AGJ104" s="128"/>
      <c r="AGK104" s="128"/>
      <c r="AGL104" s="128"/>
      <c r="AGM104" s="121"/>
      <c r="AGN104" s="121"/>
      <c r="AGO104" s="121"/>
      <c r="AGP104" s="132"/>
      <c r="AGQ104" s="132"/>
      <c r="AGR104" s="129"/>
      <c r="AGS104" s="130"/>
      <c r="AGT104" s="121"/>
      <c r="AGU104" s="121"/>
      <c r="AGV104" s="121"/>
      <c r="AGW104" s="130"/>
      <c r="AGX104" s="121"/>
      <c r="AGY104" s="130"/>
      <c r="AGZ104" s="122"/>
      <c r="AHA104" s="121"/>
      <c r="AHB104" s="121"/>
      <c r="AHC104" s="127"/>
      <c r="AHD104" s="127"/>
      <c r="AHE104" s="120"/>
      <c r="AHF104" s="130"/>
      <c r="AHG104" s="130"/>
      <c r="AHH104" s="139"/>
      <c r="AHI104" s="130"/>
      <c r="AHJ104" s="130"/>
      <c r="AHK104" s="130"/>
      <c r="AHL104" s="130"/>
      <c r="AHM104" s="130"/>
      <c r="AHN104" s="140"/>
      <c r="AHO104" s="140"/>
      <c r="AHP104" s="140"/>
      <c r="AHQ104" s="141"/>
      <c r="AHR104" s="119"/>
      <c r="AHS104" s="128"/>
      <c r="AHT104" s="119"/>
      <c r="AHU104" s="141"/>
      <c r="AHV104" s="141"/>
      <c r="AHW104" s="132"/>
      <c r="AHX104" s="121"/>
      <c r="AHY104" s="121"/>
      <c r="AHZ104" s="121"/>
      <c r="AIA104" s="128"/>
      <c r="AIB104" s="128"/>
      <c r="AIC104" s="128"/>
      <c r="AID104" s="128"/>
      <c r="AIE104" s="121"/>
      <c r="AIF104" s="121"/>
      <c r="AIG104" s="121"/>
      <c r="AIH104" s="132"/>
      <c r="AII104" s="132"/>
      <c r="AIJ104" s="129"/>
      <c r="AIK104" s="130"/>
      <c r="AIL104" s="121"/>
      <c r="AIM104" s="121"/>
      <c r="AIN104" s="121"/>
      <c r="AIO104" s="130"/>
      <c r="AIP104" s="121"/>
      <c r="AIQ104" s="130"/>
      <c r="AIR104" s="122"/>
      <c r="AIS104" s="121"/>
      <c r="AIT104" s="121"/>
      <c r="AIU104" s="127"/>
      <c r="AIV104" s="127"/>
      <c r="AIW104" s="120"/>
      <c r="AIX104" s="130"/>
      <c r="AIY104" s="130"/>
      <c r="AIZ104" s="139"/>
      <c r="AJA104" s="130"/>
      <c r="AJB104" s="130"/>
      <c r="AJC104" s="130"/>
      <c r="AJD104" s="130"/>
      <c r="AJE104" s="130"/>
      <c r="AJF104" s="140"/>
      <c r="AJG104" s="140"/>
      <c r="AJH104" s="140"/>
      <c r="AJI104" s="141"/>
      <c r="AJJ104" s="119"/>
      <c r="AJK104" s="128"/>
      <c r="AJL104" s="119"/>
      <c r="AJM104" s="141"/>
      <c r="AJN104" s="141"/>
      <c r="AJO104" s="132"/>
      <c r="AJP104" s="121"/>
      <c r="AJQ104" s="121"/>
      <c r="AJR104" s="121"/>
      <c r="AJS104" s="128"/>
      <c r="AJT104" s="128"/>
      <c r="AJU104" s="128"/>
      <c r="AJV104" s="128"/>
      <c r="AJW104" s="121"/>
      <c r="AJX104" s="121"/>
      <c r="AJY104" s="121"/>
      <c r="AJZ104" s="132"/>
      <c r="AKA104" s="132"/>
      <c r="AKB104" s="129"/>
      <c r="AKC104" s="130"/>
      <c r="AKD104" s="121"/>
      <c r="AKE104" s="121"/>
      <c r="AKF104" s="121"/>
      <c r="AKG104" s="130"/>
      <c r="AKH104" s="121"/>
      <c r="AKI104" s="130"/>
      <c r="AKJ104" s="122"/>
      <c r="AKK104" s="121"/>
      <c r="AKL104" s="121"/>
      <c r="AKM104" s="127"/>
      <c r="AKN104" s="127"/>
      <c r="AKO104" s="120"/>
      <c r="AKP104" s="130"/>
      <c r="AKQ104" s="130"/>
      <c r="AKR104" s="139"/>
      <c r="AKS104" s="130"/>
      <c r="AKT104" s="130"/>
      <c r="AKU104" s="130"/>
      <c r="AKV104" s="130"/>
      <c r="AKW104" s="130"/>
      <c r="AKX104" s="140"/>
      <c r="AKY104" s="140"/>
      <c r="AKZ104" s="140"/>
      <c r="ALA104" s="141"/>
      <c r="ALB104" s="119"/>
      <c r="ALC104" s="128"/>
      <c r="ALD104" s="119"/>
      <c r="ALE104" s="141"/>
      <c r="ALF104" s="141"/>
      <c r="ALG104" s="132"/>
      <c r="ALH104" s="121"/>
      <c r="ALI104" s="121"/>
      <c r="ALJ104" s="121"/>
      <c r="ALK104" s="128"/>
      <c r="ALL104" s="128"/>
      <c r="ALM104" s="128"/>
      <c r="ALN104" s="128"/>
      <c r="ALO104" s="121"/>
      <c r="ALP104" s="121"/>
      <c r="ALQ104" s="121"/>
      <c r="ALR104" s="132"/>
      <c r="ALS104" s="132"/>
      <c r="ALT104" s="129"/>
      <c r="ALU104" s="130"/>
      <c r="ALV104" s="121"/>
      <c r="ALW104" s="121"/>
      <c r="ALX104" s="121"/>
      <c r="ALY104" s="130"/>
      <c r="ALZ104" s="121"/>
      <c r="AMA104" s="130"/>
      <c r="AMB104" s="122"/>
      <c r="AMC104" s="121"/>
      <c r="AMD104" s="121"/>
      <c r="AME104" s="127"/>
      <c r="AMF104" s="127"/>
      <c r="AMG104" s="120"/>
      <c r="AMH104" s="130"/>
      <c r="AMI104" s="130"/>
      <c r="AMJ104" s="139"/>
      <c r="AMK104" s="130"/>
      <c r="AML104" s="130"/>
      <c r="AMM104" s="130"/>
      <c r="AMN104" s="130"/>
      <c r="AMO104" s="130"/>
      <c r="AMP104" s="140"/>
      <c r="AMQ104" s="140"/>
      <c r="AMR104" s="140"/>
      <c r="AMS104" s="141"/>
      <c r="AMT104" s="119"/>
      <c r="AMU104" s="128"/>
      <c r="AMV104" s="119"/>
      <c r="AMW104" s="141"/>
      <c r="AMX104" s="141"/>
      <c r="AMY104" s="132"/>
      <c r="AMZ104" s="121"/>
      <c r="ANA104" s="121"/>
      <c r="ANB104" s="121"/>
      <c r="ANC104" s="128"/>
      <c r="AND104" s="128"/>
      <c r="ANE104" s="128"/>
      <c r="ANF104" s="128"/>
      <c r="ANG104" s="121"/>
      <c r="ANH104" s="121"/>
      <c r="ANI104" s="121"/>
      <c r="ANJ104" s="132"/>
      <c r="ANK104" s="132"/>
      <c r="ANL104" s="129"/>
      <c r="ANM104" s="130"/>
      <c r="ANN104" s="121"/>
      <c r="ANO104" s="121"/>
      <c r="ANP104" s="121"/>
      <c r="ANQ104" s="130"/>
      <c r="ANR104" s="121"/>
      <c r="ANS104" s="130"/>
      <c r="ANT104" s="122"/>
      <c r="ANU104" s="121"/>
      <c r="ANV104" s="121"/>
      <c r="ANW104" s="127"/>
      <c r="ANX104" s="127"/>
      <c r="ANY104" s="120"/>
      <c r="ANZ104" s="130"/>
      <c r="AOA104" s="130"/>
      <c r="AOB104" s="139"/>
      <c r="AOC104" s="130"/>
      <c r="AOD104" s="130"/>
      <c r="AOE104" s="130"/>
      <c r="AOF104" s="130"/>
      <c r="AOG104" s="130"/>
      <c r="AOH104" s="140"/>
      <c r="AOI104" s="140"/>
      <c r="AOJ104" s="140"/>
      <c r="AOK104" s="141"/>
      <c r="AOL104" s="119"/>
      <c r="AOM104" s="128"/>
      <c r="AON104" s="119"/>
      <c r="AOO104" s="141"/>
      <c r="AOP104" s="141"/>
      <c r="AOQ104" s="132"/>
      <c r="AOR104" s="121"/>
      <c r="AOS104" s="121"/>
      <c r="AOT104" s="121"/>
      <c r="AOU104" s="128"/>
      <c r="AOV104" s="128"/>
      <c r="AOW104" s="128"/>
      <c r="AOX104" s="128"/>
      <c r="AOY104" s="121"/>
      <c r="AOZ104" s="121"/>
      <c r="APA104" s="121"/>
      <c r="APB104" s="132"/>
      <c r="APC104" s="132"/>
      <c r="APD104" s="129"/>
      <c r="APE104" s="130"/>
      <c r="APF104" s="121"/>
      <c r="APG104" s="121"/>
      <c r="APH104" s="121"/>
      <c r="API104" s="130"/>
      <c r="APJ104" s="121"/>
      <c r="APK104" s="130"/>
      <c r="APL104" s="122"/>
      <c r="APM104" s="121"/>
      <c r="APN104" s="121"/>
      <c r="APO104" s="127"/>
      <c r="APP104" s="127"/>
      <c r="APQ104" s="120"/>
      <c r="APR104" s="130"/>
      <c r="APS104" s="130"/>
      <c r="APT104" s="139"/>
      <c r="APU104" s="130"/>
      <c r="APV104" s="130"/>
      <c r="APW104" s="130"/>
      <c r="APX104" s="130"/>
      <c r="APY104" s="130"/>
      <c r="APZ104" s="140"/>
      <c r="AQA104" s="140"/>
      <c r="AQB104" s="140"/>
      <c r="AQC104" s="141"/>
      <c r="AQD104" s="119"/>
      <c r="AQE104" s="128"/>
      <c r="AQF104" s="119"/>
      <c r="AQG104" s="141"/>
      <c r="AQH104" s="141"/>
      <c r="AQI104" s="132"/>
      <c r="AQJ104" s="121"/>
      <c r="AQK104" s="121"/>
      <c r="AQL104" s="121"/>
      <c r="AQM104" s="128"/>
      <c r="AQN104" s="128"/>
      <c r="AQO104" s="128"/>
      <c r="AQP104" s="128"/>
      <c r="AQQ104" s="121"/>
      <c r="AQR104" s="121"/>
      <c r="AQS104" s="121"/>
      <c r="AQT104" s="132"/>
      <c r="AQU104" s="132"/>
      <c r="AQV104" s="129"/>
      <c r="AQW104" s="130"/>
      <c r="AQX104" s="121"/>
      <c r="AQY104" s="121"/>
      <c r="AQZ104" s="121"/>
      <c r="ARA104" s="130"/>
      <c r="ARB104" s="121"/>
      <c r="ARC104" s="130"/>
      <c r="ARD104" s="122"/>
      <c r="ARE104" s="121"/>
      <c r="ARF104" s="121"/>
      <c r="ARG104" s="127"/>
      <c r="ARH104" s="127"/>
      <c r="ARI104" s="120"/>
      <c r="ARJ104" s="130"/>
      <c r="ARK104" s="130"/>
      <c r="ARL104" s="139"/>
      <c r="ARM104" s="130"/>
      <c r="ARN104" s="130"/>
      <c r="ARO104" s="130"/>
      <c r="ARP104" s="130"/>
      <c r="ARQ104" s="130"/>
      <c r="ARR104" s="140"/>
      <c r="ARS104" s="140"/>
      <c r="ART104" s="140"/>
      <c r="ARU104" s="141"/>
      <c r="ARV104" s="119"/>
      <c r="ARW104" s="128"/>
      <c r="ARX104" s="119"/>
      <c r="ARY104" s="141"/>
      <c r="ARZ104" s="141"/>
      <c r="ASA104" s="132"/>
      <c r="ASB104" s="121"/>
      <c r="ASC104" s="121"/>
      <c r="ASD104" s="121"/>
      <c r="ASE104" s="128"/>
      <c r="ASF104" s="128"/>
      <c r="ASG104" s="128"/>
      <c r="ASH104" s="128"/>
      <c r="ASI104" s="121"/>
      <c r="ASJ104" s="121"/>
      <c r="ASK104" s="121"/>
      <c r="ASL104" s="132"/>
      <c r="ASM104" s="132"/>
      <c r="ASN104" s="129"/>
      <c r="ASO104" s="130"/>
      <c r="ASP104" s="121"/>
      <c r="ASQ104" s="121"/>
      <c r="ASR104" s="121"/>
      <c r="ASS104" s="130"/>
      <c r="AST104" s="121"/>
      <c r="ASU104" s="130"/>
      <c r="ASV104" s="122"/>
      <c r="ASW104" s="121"/>
      <c r="ASX104" s="121"/>
      <c r="ASY104" s="127"/>
      <c r="ASZ104" s="127"/>
      <c r="ATA104" s="120"/>
      <c r="ATB104" s="130"/>
      <c r="ATC104" s="130"/>
      <c r="ATD104" s="139"/>
      <c r="ATE104" s="130"/>
      <c r="ATF104" s="130"/>
      <c r="ATG104" s="130"/>
      <c r="ATH104" s="130"/>
      <c r="ATI104" s="130"/>
      <c r="ATJ104" s="140"/>
      <c r="ATK104" s="140"/>
      <c r="ATL104" s="140"/>
      <c r="ATM104" s="141"/>
      <c r="ATN104" s="119"/>
      <c r="ATO104" s="128"/>
      <c r="ATP104" s="119"/>
      <c r="ATQ104" s="141"/>
      <c r="ATR104" s="141"/>
      <c r="ATS104" s="132"/>
      <c r="ATT104" s="121"/>
      <c r="ATU104" s="121"/>
      <c r="ATV104" s="121"/>
      <c r="ATW104" s="128"/>
      <c r="ATX104" s="128"/>
      <c r="ATY104" s="128"/>
      <c r="ATZ104" s="128"/>
      <c r="AUA104" s="121"/>
      <c r="AUB104" s="121"/>
      <c r="AUC104" s="121"/>
      <c r="AUD104" s="132"/>
      <c r="AUE104" s="132"/>
      <c r="AUF104" s="129"/>
      <c r="AUG104" s="130"/>
      <c r="AUH104" s="121"/>
      <c r="AUI104" s="121"/>
      <c r="AUJ104" s="121"/>
      <c r="AUK104" s="130"/>
      <c r="AUL104" s="121"/>
      <c r="AUM104" s="130"/>
      <c r="AUN104" s="122"/>
      <c r="AUO104" s="121"/>
      <c r="AUP104" s="121"/>
      <c r="AUQ104" s="127"/>
      <c r="AUR104" s="127"/>
      <c r="AUS104" s="120"/>
      <c r="AUT104" s="130"/>
      <c r="AUU104" s="130"/>
      <c r="AUV104" s="139"/>
      <c r="AUW104" s="130"/>
      <c r="AUX104" s="130"/>
      <c r="AUY104" s="130"/>
      <c r="AUZ104" s="130"/>
      <c r="AVA104" s="130"/>
      <c r="AVB104" s="140"/>
      <c r="AVC104" s="140"/>
      <c r="AVD104" s="140"/>
      <c r="AVE104" s="141"/>
      <c r="AVF104" s="119"/>
      <c r="AVG104" s="128"/>
      <c r="AVH104" s="119"/>
      <c r="AVI104" s="141"/>
      <c r="AVJ104" s="141"/>
      <c r="AVK104" s="132"/>
      <c r="AVL104" s="121"/>
      <c r="AVM104" s="121"/>
      <c r="AVN104" s="121"/>
      <c r="AVO104" s="128"/>
      <c r="AVP104" s="128"/>
      <c r="AVQ104" s="128"/>
      <c r="AVR104" s="128"/>
      <c r="AVS104" s="121"/>
      <c r="AVT104" s="121"/>
      <c r="AVU104" s="121"/>
      <c r="AVV104" s="132"/>
      <c r="AVW104" s="132"/>
      <c r="AVX104" s="129"/>
      <c r="AVY104" s="130"/>
      <c r="AVZ104" s="121"/>
      <c r="AWA104" s="121"/>
      <c r="AWB104" s="121"/>
      <c r="AWC104" s="130"/>
      <c r="AWD104" s="121"/>
      <c r="AWE104" s="130"/>
      <c r="AWF104" s="122"/>
      <c r="AWG104" s="121"/>
      <c r="AWH104" s="121"/>
      <c r="AWI104" s="127"/>
      <c r="AWJ104" s="127"/>
      <c r="AWK104" s="120"/>
      <c r="AWL104" s="130"/>
      <c r="AWM104" s="130"/>
      <c r="AWN104" s="139"/>
      <c r="AWO104" s="130"/>
      <c r="AWP104" s="130"/>
      <c r="AWQ104" s="130"/>
      <c r="AWR104" s="130"/>
      <c r="AWS104" s="130"/>
      <c r="AWT104" s="140"/>
      <c r="AWU104" s="140"/>
      <c r="AWV104" s="140"/>
      <c r="AWW104" s="141"/>
      <c r="AWX104" s="119"/>
      <c r="AWY104" s="128"/>
      <c r="AWZ104" s="119"/>
      <c r="AXA104" s="141"/>
      <c r="AXB104" s="141"/>
      <c r="AXC104" s="132"/>
      <c r="AXD104" s="121"/>
      <c r="AXE104" s="121"/>
      <c r="AXF104" s="121"/>
      <c r="AXG104" s="128"/>
      <c r="AXH104" s="128"/>
      <c r="AXI104" s="128"/>
      <c r="AXJ104" s="128"/>
      <c r="AXK104" s="121"/>
      <c r="AXL104" s="121"/>
      <c r="AXM104" s="121"/>
      <c r="AXN104" s="132"/>
      <c r="AXO104" s="132"/>
      <c r="AXP104" s="129"/>
      <c r="AXQ104" s="130"/>
      <c r="AXR104" s="121"/>
      <c r="AXS104" s="121"/>
      <c r="AXT104" s="121"/>
      <c r="AXU104" s="130"/>
      <c r="AXV104" s="121"/>
      <c r="AXW104" s="130"/>
      <c r="AXX104" s="122"/>
      <c r="AXY104" s="121"/>
      <c r="AXZ104" s="121"/>
      <c r="AYA104" s="127"/>
      <c r="AYB104" s="127"/>
      <c r="AYC104" s="120"/>
      <c r="AYD104" s="130"/>
      <c r="AYE104" s="130"/>
      <c r="AYF104" s="139"/>
      <c r="AYG104" s="130"/>
      <c r="AYH104" s="130"/>
      <c r="AYI104" s="130"/>
      <c r="AYJ104" s="130"/>
      <c r="AYK104" s="130"/>
      <c r="AYL104" s="140"/>
      <c r="AYM104" s="140"/>
      <c r="AYN104" s="140"/>
      <c r="AYO104" s="141"/>
      <c r="AYP104" s="119"/>
      <c r="AYQ104" s="128"/>
      <c r="AYR104" s="119"/>
      <c r="AYS104" s="141"/>
      <c r="AYT104" s="141"/>
      <c r="AYU104" s="132"/>
      <c r="AYV104" s="121"/>
      <c r="AYW104" s="121"/>
      <c r="AYX104" s="121"/>
      <c r="AYY104" s="128"/>
      <c r="AYZ104" s="128"/>
      <c r="AZA104" s="128"/>
      <c r="AZB104" s="128"/>
      <c r="AZC104" s="121"/>
      <c r="AZD104" s="121"/>
      <c r="AZE104" s="121"/>
      <c r="AZF104" s="132"/>
      <c r="AZG104" s="132"/>
      <c r="AZH104" s="129"/>
      <c r="AZI104" s="130"/>
      <c r="AZJ104" s="121"/>
      <c r="AZK104" s="121"/>
      <c r="AZL104" s="121"/>
      <c r="AZM104" s="130"/>
      <c r="AZN104" s="121"/>
      <c r="AZO104" s="130"/>
      <c r="AZP104" s="122"/>
      <c r="AZQ104" s="121"/>
      <c r="AZR104" s="121"/>
      <c r="AZS104" s="127"/>
      <c r="AZT104" s="127"/>
      <c r="AZU104" s="120"/>
      <c r="AZV104" s="130"/>
      <c r="AZW104" s="130"/>
      <c r="AZX104" s="139"/>
      <c r="AZY104" s="130"/>
      <c r="AZZ104" s="130"/>
      <c r="BAA104" s="130"/>
      <c r="BAB104" s="130"/>
      <c r="BAC104" s="130"/>
      <c r="BAD104" s="140"/>
      <c r="BAE104" s="140"/>
      <c r="BAF104" s="140"/>
      <c r="BAG104" s="141"/>
      <c r="BAH104" s="119"/>
      <c r="BAI104" s="128"/>
      <c r="BAJ104" s="119"/>
      <c r="BAK104" s="141"/>
      <c r="BAL104" s="141"/>
      <c r="BAM104" s="132"/>
      <c r="BAN104" s="121"/>
      <c r="BAO104" s="121"/>
      <c r="BAP104" s="121"/>
      <c r="BAQ104" s="128"/>
      <c r="BAR104" s="128"/>
      <c r="BAS104" s="128"/>
      <c r="BAT104" s="128"/>
      <c r="BAU104" s="121"/>
      <c r="BAV104" s="121"/>
      <c r="BAW104" s="121"/>
      <c r="BAX104" s="132"/>
      <c r="BAY104" s="132"/>
      <c r="BAZ104" s="129"/>
      <c r="BBA104" s="130"/>
      <c r="BBB104" s="121"/>
      <c r="BBC104" s="121"/>
      <c r="BBD104" s="121"/>
      <c r="BBE104" s="130"/>
      <c r="BBF104" s="121"/>
      <c r="BBG104" s="130"/>
      <c r="BBH104" s="122"/>
      <c r="BBI104" s="121"/>
      <c r="BBJ104" s="121"/>
      <c r="BBK104" s="127"/>
      <c r="BBL104" s="127"/>
      <c r="BBM104" s="120"/>
      <c r="BBN104" s="130"/>
      <c r="BBO104" s="130"/>
      <c r="BBP104" s="139"/>
      <c r="BBQ104" s="130"/>
      <c r="BBR104" s="130"/>
      <c r="BBS104" s="130"/>
      <c r="BBT104" s="130"/>
      <c r="BBU104" s="130"/>
      <c r="BBV104" s="140"/>
      <c r="BBW104" s="140"/>
      <c r="BBX104" s="140"/>
      <c r="BBY104" s="141"/>
      <c r="BBZ104" s="119"/>
      <c r="BCA104" s="128"/>
      <c r="BCB104" s="119"/>
      <c r="BCC104" s="141"/>
      <c r="BCD104" s="141"/>
      <c r="BCE104" s="132"/>
      <c r="BCF104" s="121"/>
      <c r="BCG104" s="121"/>
      <c r="BCH104" s="121"/>
      <c r="BCI104" s="128"/>
      <c r="BCJ104" s="128"/>
      <c r="BCK104" s="128"/>
      <c r="BCL104" s="128"/>
      <c r="BCM104" s="121"/>
      <c r="BCN104" s="121"/>
      <c r="BCO104" s="121"/>
      <c r="BCP104" s="132"/>
      <c r="BCQ104" s="132"/>
      <c r="BCR104" s="129"/>
      <c r="BCS104" s="130"/>
      <c r="BCT104" s="121"/>
      <c r="BCU104" s="121"/>
      <c r="BCV104" s="121"/>
      <c r="BCW104" s="130"/>
      <c r="BCX104" s="121"/>
      <c r="BCY104" s="130"/>
      <c r="BCZ104" s="122"/>
      <c r="BDA104" s="121"/>
      <c r="BDB104" s="121"/>
      <c r="BDC104" s="127"/>
      <c r="BDD104" s="127"/>
      <c r="BDE104" s="120"/>
      <c r="BDF104" s="130"/>
      <c r="BDG104" s="130"/>
      <c r="BDH104" s="139"/>
      <c r="BDI104" s="130"/>
      <c r="BDJ104" s="130"/>
      <c r="BDK104" s="130"/>
      <c r="BDL104" s="130"/>
      <c r="BDM104" s="130"/>
      <c r="BDN104" s="140"/>
      <c r="BDO104" s="140"/>
      <c r="BDP104" s="140"/>
      <c r="BDQ104" s="141"/>
      <c r="BDR104" s="119"/>
      <c r="BDS104" s="128"/>
      <c r="BDT104" s="119"/>
      <c r="BDU104" s="141"/>
      <c r="BDV104" s="141"/>
      <c r="BDW104" s="132"/>
      <c r="BDX104" s="121"/>
      <c r="BDY104" s="121"/>
      <c r="BDZ104" s="121"/>
      <c r="BEA104" s="128"/>
      <c r="BEB104" s="128"/>
      <c r="BEC104" s="128"/>
      <c r="BED104" s="128"/>
      <c r="BEE104" s="121"/>
      <c r="BEF104" s="121"/>
      <c r="BEG104" s="121"/>
      <c r="BEH104" s="132"/>
      <c r="BEI104" s="132"/>
      <c r="BEJ104" s="129"/>
      <c r="BEK104" s="130"/>
      <c r="BEL104" s="121"/>
      <c r="BEM104" s="121"/>
      <c r="BEN104" s="121"/>
      <c r="BEO104" s="130"/>
      <c r="BEP104" s="121"/>
      <c r="BEQ104" s="130"/>
      <c r="BER104" s="122"/>
      <c r="BES104" s="121"/>
      <c r="BET104" s="121"/>
      <c r="BEU104" s="127"/>
      <c r="BEV104" s="127"/>
      <c r="BEW104" s="120"/>
      <c r="BEX104" s="130"/>
      <c r="BEY104" s="130"/>
      <c r="BEZ104" s="139"/>
      <c r="BFA104" s="130"/>
      <c r="BFB104" s="130"/>
      <c r="BFC104" s="130"/>
      <c r="BFD104" s="130"/>
      <c r="BFE104" s="130"/>
      <c r="BFF104" s="140"/>
      <c r="BFG104" s="140"/>
      <c r="BFH104" s="140"/>
      <c r="BFI104" s="141"/>
      <c r="BFJ104" s="119"/>
      <c r="BFK104" s="128"/>
      <c r="BFL104" s="119"/>
      <c r="BFM104" s="141"/>
      <c r="BFN104" s="141"/>
      <c r="BFO104" s="132"/>
      <c r="BFP104" s="121"/>
      <c r="BFQ104" s="121"/>
      <c r="BFR104" s="121"/>
      <c r="BFS104" s="128"/>
      <c r="BFT104" s="128"/>
      <c r="BFU104" s="128"/>
      <c r="BFV104" s="128"/>
      <c r="BFW104" s="121"/>
      <c r="BFX104" s="121"/>
      <c r="BFY104" s="121"/>
      <c r="BFZ104" s="132"/>
      <c r="BGA104" s="132"/>
      <c r="BGB104" s="129"/>
      <c r="BGC104" s="130"/>
      <c r="BGD104" s="121"/>
      <c r="BGE104" s="121"/>
      <c r="BGF104" s="121"/>
      <c r="BGG104" s="130"/>
      <c r="BGH104" s="121"/>
      <c r="BGI104" s="130"/>
      <c r="BGJ104" s="122"/>
      <c r="BGK104" s="121"/>
      <c r="BGL104" s="121"/>
      <c r="BGM104" s="127"/>
      <c r="BGN104" s="127"/>
      <c r="BGO104" s="120"/>
      <c r="BGP104" s="130"/>
      <c r="BGQ104" s="130"/>
      <c r="BGR104" s="139"/>
      <c r="BGS104" s="130"/>
      <c r="BGT104" s="130"/>
      <c r="BGU104" s="130"/>
      <c r="BGV104" s="130"/>
      <c r="BGW104" s="130"/>
      <c r="BGX104" s="140"/>
      <c r="BGY104" s="140"/>
      <c r="BGZ104" s="140"/>
      <c r="BHA104" s="141"/>
      <c r="BHB104" s="119"/>
      <c r="BHC104" s="128"/>
      <c r="BHD104" s="119"/>
      <c r="BHE104" s="141"/>
      <c r="BHF104" s="141"/>
      <c r="BHG104" s="132"/>
      <c r="BHH104" s="121"/>
      <c r="BHI104" s="121"/>
      <c r="BHJ104" s="121"/>
      <c r="BHK104" s="128"/>
      <c r="BHL104" s="128"/>
      <c r="BHM104" s="128"/>
      <c r="BHN104" s="128"/>
      <c r="BHO104" s="121"/>
      <c r="BHP104" s="121"/>
      <c r="BHQ104" s="121"/>
      <c r="BHR104" s="132"/>
      <c r="BHS104" s="132"/>
      <c r="BHT104" s="129"/>
      <c r="BHU104" s="130"/>
      <c r="BHV104" s="121"/>
      <c r="BHW104" s="121"/>
      <c r="BHX104" s="121"/>
      <c r="BHY104" s="130"/>
      <c r="BHZ104" s="121"/>
      <c r="BIA104" s="130"/>
      <c r="BIB104" s="122"/>
      <c r="BIC104" s="121"/>
      <c r="BID104" s="121"/>
      <c r="BIE104" s="127"/>
      <c r="BIF104" s="127"/>
      <c r="BIG104" s="120"/>
      <c r="BIH104" s="130"/>
      <c r="BII104" s="130"/>
      <c r="BIJ104" s="139"/>
      <c r="BIK104" s="130"/>
      <c r="BIL104" s="130"/>
      <c r="BIM104" s="130"/>
      <c r="BIN104" s="130"/>
      <c r="BIO104" s="130"/>
      <c r="BIP104" s="140"/>
      <c r="BIQ104" s="140"/>
      <c r="BIR104" s="140"/>
      <c r="BIS104" s="141"/>
      <c r="BIT104" s="119"/>
      <c r="BIU104" s="128"/>
      <c r="BIV104" s="119"/>
      <c r="BIW104" s="141"/>
      <c r="BIX104" s="141"/>
      <c r="BIY104" s="132"/>
      <c r="BIZ104" s="121"/>
      <c r="BJA104" s="121"/>
      <c r="BJB104" s="121"/>
      <c r="BJC104" s="128"/>
      <c r="BJD104" s="128"/>
      <c r="BJE104" s="128"/>
      <c r="BJF104" s="128"/>
      <c r="BJG104" s="121"/>
      <c r="BJH104" s="121"/>
      <c r="BJI104" s="121"/>
      <c r="BJJ104" s="132"/>
      <c r="BJK104" s="132"/>
      <c r="BJL104" s="129"/>
      <c r="BJM104" s="130"/>
      <c r="BJN104" s="121"/>
      <c r="BJO104" s="121"/>
      <c r="BJP104" s="121"/>
      <c r="BJQ104" s="130"/>
      <c r="BJR104" s="121"/>
      <c r="BJS104" s="130"/>
      <c r="BJT104" s="122"/>
      <c r="BJU104" s="121"/>
      <c r="BJV104" s="121"/>
      <c r="BJW104" s="127"/>
      <c r="BJX104" s="127"/>
      <c r="BJY104" s="120"/>
      <c r="BJZ104" s="130"/>
      <c r="BKA104" s="130"/>
      <c r="BKB104" s="139"/>
      <c r="BKC104" s="130"/>
      <c r="BKD104" s="130"/>
      <c r="BKE104" s="130"/>
      <c r="BKF104" s="130"/>
      <c r="BKG104" s="130"/>
      <c r="BKH104" s="140"/>
      <c r="BKI104" s="140"/>
      <c r="BKJ104" s="140"/>
      <c r="BKK104" s="141"/>
      <c r="BKL104" s="119"/>
      <c r="BKM104" s="128"/>
      <c r="BKN104" s="119"/>
      <c r="BKO104" s="141"/>
      <c r="BKP104" s="141"/>
      <c r="BKQ104" s="132"/>
      <c r="BKR104" s="121"/>
      <c r="BKS104" s="121"/>
      <c r="BKT104" s="121"/>
      <c r="BKU104" s="128"/>
      <c r="BKV104" s="128"/>
      <c r="BKW104" s="128"/>
      <c r="BKX104" s="128"/>
      <c r="BKY104" s="121"/>
      <c r="BKZ104" s="121"/>
      <c r="BLA104" s="121"/>
      <c r="BLB104" s="132"/>
      <c r="BLC104" s="132"/>
      <c r="BLD104" s="129"/>
      <c r="BLE104" s="130"/>
      <c r="BLF104" s="121"/>
      <c r="BLG104" s="121"/>
      <c r="BLH104" s="121"/>
      <c r="BLI104" s="130"/>
      <c r="BLJ104" s="121"/>
      <c r="BLK104" s="130"/>
      <c r="BLL104" s="122"/>
      <c r="BLM104" s="121"/>
      <c r="BLN104" s="121"/>
      <c r="BLO104" s="127"/>
      <c r="BLP104" s="127"/>
      <c r="BLQ104" s="120"/>
      <c r="BLR104" s="130"/>
      <c r="BLS104" s="130"/>
      <c r="BLT104" s="139"/>
      <c r="BLU104" s="130"/>
      <c r="BLV104" s="130"/>
      <c r="BLW104" s="130"/>
      <c r="BLX104" s="130"/>
      <c r="BLY104" s="130"/>
      <c r="BLZ104" s="140"/>
      <c r="BMA104" s="140"/>
      <c r="BMB104" s="140"/>
      <c r="BMC104" s="141"/>
      <c r="BMD104" s="119"/>
      <c r="BME104" s="128"/>
      <c r="BMF104" s="119"/>
      <c r="BMG104" s="141"/>
      <c r="BMH104" s="141"/>
      <c r="BMI104" s="132"/>
      <c r="BMJ104" s="121"/>
      <c r="BMK104" s="121"/>
      <c r="BML104" s="121"/>
      <c r="BMM104" s="128"/>
      <c r="BMN104" s="128"/>
      <c r="BMO104" s="128"/>
      <c r="BMP104" s="128"/>
      <c r="BMQ104" s="121"/>
      <c r="BMR104" s="121"/>
      <c r="BMS104" s="121"/>
      <c r="BMT104" s="132"/>
      <c r="BMU104" s="132"/>
      <c r="BMV104" s="129"/>
      <c r="BMW104" s="130"/>
      <c r="BMX104" s="121"/>
      <c r="BMY104" s="121"/>
      <c r="BMZ104" s="121"/>
      <c r="BNA104" s="130"/>
      <c r="BNB104" s="121"/>
      <c r="BNC104" s="130"/>
      <c r="BND104" s="122"/>
      <c r="BNE104" s="121"/>
      <c r="BNF104" s="121"/>
      <c r="BNG104" s="127"/>
      <c r="BNH104" s="127"/>
      <c r="BNI104" s="120"/>
      <c r="BNJ104" s="130"/>
      <c r="BNK104" s="130"/>
      <c r="BNL104" s="139"/>
      <c r="BNM104" s="130"/>
      <c r="BNN104" s="130"/>
      <c r="BNO104" s="130"/>
      <c r="BNP104" s="130"/>
      <c r="BNQ104" s="130"/>
      <c r="BNR104" s="140"/>
      <c r="BNS104" s="140"/>
      <c r="BNT104" s="140"/>
      <c r="BNU104" s="141"/>
      <c r="BNV104" s="119"/>
      <c r="BNW104" s="128"/>
      <c r="BNX104" s="119"/>
      <c r="BNY104" s="141"/>
      <c r="BNZ104" s="141"/>
      <c r="BOA104" s="132"/>
      <c r="BOB104" s="121"/>
      <c r="BOC104" s="121"/>
      <c r="BOD104" s="121"/>
      <c r="BOE104" s="128"/>
      <c r="BOF104" s="128"/>
      <c r="BOG104" s="128"/>
      <c r="BOH104" s="128"/>
      <c r="BOI104" s="121"/>
      <c r="BOJ104" s="121"/>
      <c r="BOK104" s="121"/>
      <c r="BOL104" s="132"/>
      <c r="BOM104" s="132"/>
      <c r="BON104" s="129"/>
      <c r="BOO104" s="130"/>
      <c r="BOP104" s="121"/>
      <c r="BOQ104" s="121"/>
      <c r="BOR104" s="121"/>
      <c r="BOS104" s="130"/>
      <c r="BOT104" s="121"/>
      <c r="BOU104" s="130"/>
      <c r="BOV104" s="122"/>
      <c r="BOW104" s="121"/>
      <c r="BOX104" s="121"/>
      <c r="BOY104" s="127"/>
      <c r="BOZ104" s="127"/>
      <c r="BPA104" s="120"/>
      <c r="BPB104" s="130"/>
      <c r="BPC104" s="130"/>
      <c r="BPD104" s="139"/>
      <c r="BPE104" s="130"/>
      <c r="BPF104" s="130"/>
      <c r="BPG104" s="130"/>
      <c r="BPH104" s="130"/>
      <c r="BPI104" s="130"/>
      <c r="BPJ104" s="140"/>
      <c r="BPK104" s="140"/>
      <c r="BPL104" s="140"/>
      <c r="BPM104" s="141"/>
      <c r="BPN104" s="119"/>
      <c r="BPO104" s="128"/>
      <c r="BPP104" s="119"/>
      <c r="BPQ104" s="141"/>
      <c r="BPR104" s="141"/>
      <c r="BPS104" s="132"/>
      <c r="BPT104" s="121"/>
      <c r="BPU104" s="121"/>
      <c r="BPV104" s="121"/>
      <c r="BPW104" s="128"/>
      <c r="BPX104" s="128"/>
      <c r="BPY104" s="128"/>
      <c r="BPZ104" s="128"/>
      <c r="BQA104" s="121"/>
      <c r="BQB104" s="121"/>
      <c r="BQC104" s="121"/>
      <c r="BQD104" s="132"/>
      <c r="BQE104" s="132"/>
      <c r="BQF104" s="129"/>
      <c r="BQG104" s="130"/>
      <c r="BQH104" s="121"/>
      <c r="BQI104" s="121"/>
      <c r="BQJ104" s="121"/>
      <c r="BQK104" s="130"/>
      <c r="BQL104" s="121"/>
      <c r="BQM104" s="130"/>
      <c r="BQN104" s="122"/>
      <c r="BQO104" s="121"/>
      <c r="BQP104" s="121"/>
      <c r="BQQ104" s="127"/>
      <c r="BQR104" s="127"/>
      <c r="BQS104" s="120"/>
      <c r="BQT104" s="130"/>
      <c r="BQU104" s="130"/>
      <c r="BQV104" s="139"/>
      <c r="BQW104" s="130"/>
      <c r="BQX104" s="130"/>
      <c r="BQY104" s="130"/>
      <c r="BQZ104" s="130"/>
      <c r="BRA104" s="130"/>
      <c r="BRB104" s="140"/>
      <c r="BRC104" s="140"/>
      <c r="BRD104" s="140"/>
      <c r="BRE104" s="141"/>
      <c r="BRF104" s="119"/>
      <c r="BRG104" s="128"/>
      <c r="BRH104" s="119"/>
      <c r="BRI104" s="141"/>
      <c r="BRJ104" s="141"/>
      <c r="BRK104" s="132"/>
      <c r="BRL104" s="121"/>
      <c r="BRM104" s="121"/>
      <c r="BRN104" s="121"/>
      <c r="BRO104" s="128"/>
      <c r="BRP104" s="128"/>
      <c r="BRQ104" s="128"/>
      <c r="BRR104" s="128"/>
      <c r="BRS104" s="121"/>
      <c r="BRT104" s="121"/>
      <c r="BRU104" s="121"/>
      <c r="BRV104" s="132"/>
      <c r="BRW104" s="132"/>
      <c r="BRX104" s="129"/>
      <c r="BRY104" s="130"/>
      <c r="BRZ104" s="121"/>
      <c r="BSA104" s="121"/>
      <c r="BSB104" s="121"/>
      <c r="BSC104" s="130"/>
      <c r="BSD104" s="121"/>
      <c r="BSE104" s="130"/>
      <c r="BSF104" s="122"/>
      <c r="BSG104" s="121"/>
      <c r="BSH104" s="121"/>
      <c r="BSI104" s="127"/>
      <c r="BSJ104" s="127"/>
      <c r="BSK104" s="120"/>
      <c r="BSL104" s="130"/>
      <c r="BSM104" s="130"/>
      <c r="BSN104" s="139"/>
      <c r="BSO104" s="130"/>
      <c r="BSP104" s="130"/>
      <c r="BSQ104" s="130"/>
      <c r="BSR104" s="130"/>
      <c r="BSS104" s="130"/>
      <c r="BST104" s="140"/>
      <c r="BSU104" s="140"/>
      <c r="BSV104" s="140"/>
      <c r="BSW104" s="141"/>
      <c r="BSX104" s="119"/>
      <c r="BSY104" s="128"/>
      <c r="BSZ104" s="119"/>
      <c r="BTA104" s="141"/>
      <c r="BTB104" s="141"/>
      <c r="BTC104" s="132"/>
      <c r="BTD104" s="121"/>
      <c r="BTE104" s="121"/>
      <c r="BTF104" s="121"/>
      <c r="BTG104" s="128"/>
      <c r="BTH104" s="128"/>
      <c r="BTI104" s="128"/>
      <c r="BTJ104" s="128"/>
      <c r="BTK104" s="121"/>
      <c r="BTL104" s="121"/>
      <c r="BTM104" s="121"/>
      <c r="BTN104" s="132"/>
      <c r="BTO104" s="132"/>
      <c r="BTP104" s="129"/>
      <c r="BTQ104" s="130"/>
      <c r="BTR104" s="121"/>
      <c r="BTS104" s="121"/>
      <c r="BTT104" s="121"/>
      <c r="BTU104" s="130"/>
      <c r="BTV104" s="121"/>
      <c r="BTW104" s="130"/>
      <c r="BTX104" s="122"/>
      <c r="BTY104" s="121"/>
      <c r="BTZ104" s="121"/>
      <c r="BUA104" s="127"/>
      <c r="BUB104" s="127"/>
      <c r="BUC104" s="120"/>
      <c r="BUD104" s="130"/>
      <c r="BUE104" s="130"/>
      <c r="BUF104" s="139"/>
      <c r="BUG104" s="130"/>
      <c r="BUH104" s="130"/>
      <c r="BUI104" s="130"/>
      <c r="BUJ104" s="130"/>
      <c r="BUK104" s="130"/>
      <c r="BUL104" s="140"/>
      <c r="BUM104" s="140"/>
      <c r="BUN104" s="140"/>
      <c r="BUO104" s="141"/>
      <c r="BUP104" s="119"/>
      <c r="BUQ104" s="128"/>
      <c r="BUR104" s="119"/>
      <c r="BUS104" s="141"/>
      <c r="BUT104" s="141"/>
      <c r="BUU104" s="132"/>
      <c r="BUV104" s="121"/>
      <c r="BUW104" s="121"/>
      <c r="BUX104" s="121"/>
      <c r="BUY104" s="128"/>
      <c r="BUZ104" s="128"/>
      <c r="BVA104" s="128"/>
      <c r="BVB104" s="128"/>
      <c r="BVC104" s="121"/>
      <c r="BVD104" s="121"/>
      <c r="BVE104" s="121"/>
      <c r="BVF104" s="132"/>
      <c r="BVG104" s="132"/>
      <c r="BVH104" s="129"/>
      <c r="BVI104" s="130"/>
      <c r="BVJ104" s="121"/>
      <c r="BVK104" s="121"/>
      <c r="BVL104" s="121"/>
      <c r="BVM104" s="130"/>
      <c r="BVN104" s="121"/>
      <c r="BVO104" s="130"/>
      <c r="BVP104" s="122"/>
      <c r="BVQ104" s="121"/>
      <c r="BVR104" s="121"/>
      <c r="BVS104" s="127"/>
      <c r="BVT104" s="127"/>
      <c r="BVU104" s="120"/>
      <c r="BVV104" s="130"/>
      <c r="BVW104" s="130"/>
      <c r="BVX104" s="139"/>
      <c r="BVY104" s="130"/>
      <c r="BVZ104" s="130"/>
      <c r="BWA104" s="130"/>
      <c r="BWB104" s="130"/>
      <c r="BWC104" s="130"/>
      <c r="BWD104" s="140"/>
      <c r="BWE104" s="140"/>
      <c r="BWF104" s="140"/>
      <c r="BWG104" s="141"/>
      <c r="BWH104" s="119"/>
      <c r="BWI104" s="128"/>
      <c r="BWJ104" s="119"/>
      <c r="BWK104" s="141"/>
      <c r="BWL104" s="141"/>
      <c r="BWM104" s="132"/>
      <c r="BWN104" s="121"/>
      <c r="BWO104" s="121"/>
      <c r="BWP104" s="121"/>
      <c r="BWQ104" s="128"/>
      <c r="BWR104" s="128"/>
      <c r="BWS104" s="128"/>
      <c r="BWT104" s="128"/>
      <c r="BWU104" s="121"/>
      <c r="BWV104" s="121"/>
      <c r="BWW104" s="121"/>
      <c r="BWX104" s="132"/>
      <c r="BWY104" s="132"/>
      <c r="BWZ104" s="129"/>
      <c r="BXA104" s="130"/>
      <c r="BXB104" s="121"/>
      <c r="BXC104" s="121"/>
      <c r="BXD104" s="121"/>
      <c r="BXE104" s="130"/>
      <c r="BXF104" s="121"/>
      <c r="BXG104" s="130"/>
      <c r="BXH104" s="122"/>
      <c r="BXI104" s="121"/>
      <c r="BXJ104" s="121"/>
      <c r="BXK104" s="127"/>
      <c r="BXL104" s="127"/>
      <c r="BXM104" s="120"/>
      <c r="BXN104" s="130"/>
      <c r="BXO104" s="130"/>
      <c r="BXP104" s="139"/>
      <c r="BXQ104" s="130"/>
      <c r="BXR104" s="130"/>
      <c r="BXS104" s="130"/>
      <c r="BXT104" s="130"/>
      <c r="BXU104" s="130"/>
      <c r="BXV104" s="140"/>
      <c r="BXW104" s="140"/>
      <c r="BXX104" s="140"/>
      <c r="BXY104" s="141"/>
      <c r="BXZ104" s="119"/>
      <c r="BYA104" s="128"/>
      <c r="BYB104" s="119"/>
      <c r="BYC104" s="141"/>
      <c r="BYD104" s="141"/>
      <c r="BYE104" s="132"/>
      <c r="BYF104" s="121"/>
      <c r="BYG104" s="121"/>
      <c r="BYH104" s="121"/>
      <c r="BYI104" s="128"/>
      <c r="BYJ104" s="128"/>
      <c r="BYK104" s="128"/>
      <c r="BYL104" s="128"/>
      <c r="BYM104" s="121"/>
      <c r="BYN104" s="121"/>
      <c r="BYO104" s="121"/>
      <c r="BYP104" s="132"/>
      <c r="BYQ104" s="132"/>
      <c r="BYR104" s="129"/>
      <c r="BYS104" s="130"/>
      <c r="BYT104" s="121"/>
      <c r="BYU104" s="121"/>
      <c r="BYV104" s="121"/>
      <c r="BYW104" s="130"/>
      <c r="BYX104" s="121"/>
      <c r="BYY104" s="130"/>
      <c r="BYZ104" s="122"/>
      <c r="BZA104" s="121"/>
      <c r="BZB104" s="121"/>
      <c r="BZC104" s="127"/>
      <c r="BZD104" s="127"/>
      <c r="BZE104" s="120"/>
      <c r="BZF104" s="130"/>
      <c r="BZG104" s="130"/>
      <c r="BZH104" s="139"/>
      <c r="BZI104" s="130"/>
      <c r="BZJ104" s="130"/>
      <c r="BZK104" s="130"/>
      <c r="BZL104" s="130"/>
      <c r="BZM104" s="130"/>
      <c r="BZN104" s="140"/>
      <c r="BZO104" s="140"/>
      <c r="BZP104" s="140"/>
      <c r="BZQ104" s="141"/>
      <c r="BZR104" s="119"/>
      <c r="BZS104" s="128"/>
      <c r="BZT104" s="119"/>
      <c r="BZU104" s="141"/>
      <c r="BZV104" s="141"/>
      <c r="BZW104" s="132"/>
      <c r="BZX104" s="121"/>
      <c r="BZY104" s="121"/>
      <c r="BZZ104" s="121"/>
      <c r="CAA104" s="128"/>
      <c r="CAB104" s="128"/>
      <c r="CAC104" s="128"/>
      <c r="CAD104" s="128"/>
      <c r="CAE104" s="121"/>
      <c r="CAF104" s="121"/>
      <c r="CAG104" s="121"/>
      <c r="CAH104" s="132"/>
      <c r="CAI104" s="132"/>
      <c r="CAJ104" s="129"/>
      <c r="CAK104" s="130"/>
      <c r="CAL104" s="121"/>
      <c r="CAM104" s="121"/>
      <c r="CAN104" s="121"/>
      <c r="CAO104" s="130"/>
      <c r="CAP104" s="121"/>
      <c r="CAQ104" s="130"/>
      <c r="CAR104" s="122"/>
      <c r="CAS104" s="121"/>
      <c r="CAT104" s="121"/>
      <c r="CAU104" s="127"/>
      <c r="CAV104" s="127"/>
      <c r="CAW104" s="120"/>
      <c r="CAX104" s="130"/>
      <c r="CAY104" s="130"/>
      <c r="CAZ104" s="139"/>
      <c r="CBA104" s="130"/>
      <c r="CBB104" s="130"/>
      <c r="CBC104" s="130"/>
      <c r="CBD104" s="130"/>
      <c r="CBE104" s="130"/>
      <c r="CBF104" s="140"/>
      <c r="CBG104" s="140"/>
      <c r="CBH104" s="140"/>
      <c r="CBI104" s="141"/>
      <c r="CBJ104" s="119"/>
      <c r="CBK104" s="128"/>
      <c r="CBL104" s="119"/>
      <c r="CBM104" s="141"/>
      <c r="CBN104" s="141"/>
      <c r="CBO104" s="132"/>
      <c r="CBP104" s="121"/>
      <c r="CBQ104" s="121"/>
      <c r="CBR104" s="121"/>
      <c r="CBS104" s="128"/>
      <c r="CBT104" s="128"/>
      <c r="CBU104" s="128"/>
      <c r="CBV104" s="128"/>
      <c r="CBW104" s="121"/>
      <c r="CBX104" s="121"/>
      <c r="CBY104" s="121"/>
      <c r="CBZ104" s="132"/>
      <c r="CCA104" s="132"/>
      <c r="CCB104" s="129"/>
      <c r="CCC104" s="130"/>
      <c r="CCD104" s="121"/>
      <c r="CCE104" s="121"/>
      <c r="CCF104" s="121"/>
      <c r="CCG104" s="130"/>
      <c r="CCH104" s="121"/>
      <c r="CCI104" s="130"/>
      <c r="CCJ104" s="122"/>
      <c r="CCK104" s="121"/>
      <c r="CCL104" s="121"/>
      <c r="CCM104" s="127"/>
      <c r="CCN104" s="127"/>
      <c r="CCO104" s="120"/>
      <c r="CCP104" s="130"/>
      <c r="CCQ104" s="130"/>
      <c r="CCR104" s="139"/>
      <c r="CCS104" s="130"/>
      <c r="CCT104" s="130"/>
      <c r="CCU104" s="130"/>
      <c r="CCV104" s="130"/>
      <c r="CCW104" s="130"/>
      <c r="CCX104" s="140"/>
      <c r="CCY104" s="140"/>
      <c r="CCZ104" s="140"/>
      <c r="CDA104" s="141"/>
      <c r="CDB104" s="119"/>
      <c r="CDC104" s="128"/>
      <c r="CDD104" s="119"/>
      <c r="CDE104" s="141"/>
      <c r="CDF104" s="141"/>
      <c r="CDG104" s="132"/>
      <c r="CDH104" s="121"/>
      <c r="CDI104" s="121"/>
      <c r="CDJ104" s="121"/>
      <c r="CDK104" s="128"/>
      <c r="CDL104" s="128"/>
      <c r="CDM104" s="128"/>
      <c r="CDN104" s="128"/>
      <c r="CDO104" s="121"/>
      <c r="CDP104" s="121"/>
      <c r="CDQ104" s="121"/>
      <c r="CDR104" s="132"/>
      <c r="CDS104" s="132"/>
      <c r="CDT104" s="129"/>
      <c r="CDU104" s="130"/>
      <c r="CDV104" s="121"/>
      <c r="CDW104" s="121"/>
      <c r="CDX104" s="121"/>
      <c r="CDY104" s="130"/>
      <c r="CDZ104" s="121"/>
      <c r="CEA104" s="130"/>
      <c r="CEB104" s="122"/>
      <c r="CEC104" s="121"/>
      <c r="CED104" s="121"/>
      <c r="CEE104" s="127"/>
      <c r="CEF104" s="127"/>
      <c r="CEG104" s="120"/>
      <c r="CEH104" s="130"/>
      <c r="CEI104" s="130"/>
      <c r="CEJ104" s="139"/>
      <c r="CEK104" s="130"/>
      <c r="CEL104" s="130"/>
      <c r="CEM104" s="130"/>
      <c r="CEN104" s="130"/>
      <c r="CEO104" s="130"/>
      <c r="CEP104" s="140"/>
      <c r="CEQ104" s="140"/>
      <c r="CER104" s="140"/>
      <c r="CES104" s="141"/>
      <c r="CET104" s="119"/>
      <c r="CEU104" s="128"/>
      <c r="CEV104" s="119"/>
      <c r="CEW104" s="141"/>
      <c r="CEX104" s="141"/>
      <c r="CEY104" s="132"/>
      <c r="CEZ104" s="121"/>
      <c r="CFA104" s="121"/>
      <c r="CFB104" s="121"/>
      <c r="CFC104" s="128"/>
      <c r="CFD104" s="128"/>
      <c r="CFE104" s="128"/>
      <c r="CFF104" s="128"/>
      <c r="CFG104" s="121"/>
      <c r="CFH104" s="121"/>
      <c r="CFI104" s="121"/>
      <c r="CFJ104" s="132"/>
      <c r="CFK104" s="132"/>
      <c r="CFL104" s="129"/>
      <c r="CFM104" s="130"/>
      <c r="CFN104" s="121"/>
      <c r="CFO104" s="121"/>
      <c r="CFP104" s="121"/>
      <c r="CFQ104" s="130"/>
      <c r="CFR104" s="121"/>
      <c r="CFS104" s="130"/>
      <c r="CFT104" s="122"/>
      <c r="CFU104" s="121"/>
      <c r="CFV104" s="121"/>
      <c r="CFW104" s="127"/>
      <c r="CFX104" s="127"/>
      <c r="CFY104" s="120"/>
      <c r="CFZ104" s="130"/>
      <c r="CGA104" s="130"/>
      <c r="CGB104" s="139"/>
      <c r="CGC104" s="130"/>
      <c r="CGD104" s="130"/>
      <c r="CGE104" s="130"/>
      <c r="CGF104" s="130"/>
      <c r="CGG104" s="130"/>
      <c r="CGH104" s="140"/>
      <c r="CGI104" s="140"/>
      <c r="CGJ104" s="140"/>
      <c r="CGK104" s="141"/>
      <c r="CGL104" s="119"/>
      <c r="CGM104" s="128"/>
      <c r="CGN104" s="119"/>
      <c r="CGO104" s="141"/>
      <c r="CGP104" s="141"/>
      <c r="CGQ104" s="132"/>
      <c r="CGR104" s="121"/>
      <c r="CGS104" s="121"/>
      <c r="CGT104" s="121"/>
      <c r="CGU104" s="128"/>
      <c r="CGV104" s="128"/>
      <c r="CGW104" s="128"/>
      <c r="CGX104" s="128"/>
      <c r="CGY104" s="121"/>
      <c r="CGZ104" s="121"/>
      <c r="CHA104" s="121"/>
      <c r="CHB104" s="132"/>
      <c r="CHC104" s="132"/>
      <c r="CHD104" s="129"/>
      <c r="CHE104" s="130"/>
      <c r="CHF104" s="121"/>
      <c r="CHG104" s="121"/>
      <c r="CHH104" s="121"/>
      <c r="CHI104" s="130"/>
      <c r="CHJ104" s="121"/>
      <c r="CHK104" s="130"/>
      <c r="CHL104" s="122"/>
      <c r="CHM104" s="121"/>
      <c r="CHN104" s="121"/>
      <c r="CHO104" s="127"/>
      <c r="CHP104" s="127"/>
      <c r="CHQ104" s="120"/>
      <c r="CHR104" s="130"/>
      <c r="CHS104" s="130"/>
      <c r="CHT104" s="139"/>
      <c r="CHU104" s="130"/>
      <c r="CHV104" s="130"/>
      <c r="CHW104" s="130"/>
      <c r="CHX104" s="130"/>
      <c r="CHY104" s="130"/>
      <c r="CHZ104" s="140"/>
      <c r="CIA104" s="140"/>
      <c r="CIB104" s="140"/>
      <c r="CIC104" s="141"/>
      <c r="CID104" s="119"/>
      <c r="CIE104" s="128"/>
      <c r="CIF104" s="119"/>
      <c r="CIG104" s="141"/>
      <c r="CIH104" s="141"/>
      <c r="CII104" s="132"/>
      <c r="CIJ104" s="121"/>
      <c r="CIK104" s="121"/>
      <c r="CIL104" s="121"/>
      <c r="CIM104" s="128"/>
      <c r="CIN104" s="128"/>
      <c r="CIO104" s="128"/>
      <c r="CIP104" s="128"/>
      <c r="CIQ104" s="121"/>
      <c r="CIR104" s="121"/>
      <c r="CIS104" s="121"/>
      <c r="CIT104" s="132"/>
      <c r="CIU104" s="132"/>
      <c r="CIV104" s="129"/>
      <c r="CIW104" s="130"/>
      <c r="CIX104" s="121"/>
      <c r="CIY104" s="121"/>
      <c r="CIZ104" s="121"/>
      <c r="CJA104" s="130"/>
      <c r="CJB104" s="121"/>
      <c r="CJC104" s="130"/>
      <c r="CJD104" s="122"/>
      <c r="CJE104" s="121"/>
      <c r="CJF104" s="121"/>
      <c r="CJG104" s="127"/>
      <c r="CJH104" s="127"/>
      <c r="CJI104" s="120"/>
      <c r="CJJ104" s="130"/>
      <c r="CJK104" s="130"/>
      <c r="CJL104" s="139"/>
      <c r="CJM104" s="130"/>
      <c r="CJN104" s="130"/>
      <c r="CJO104" s="130"/>
      <c r="CJP104" s="130"/>
      <c r="CJQ104" s="130"/>
      <c r="CJR104" s="140"/>
      <c r="CJS104" s="140"/>
      <c r="CJT104" s="140"/>
      <c r="CJU104" s="141"/>
      <c r="CJV104" s="119"/>
      <c r="CJW104" s="128"/>
      <c r="CJX104" s="119"/>
      <c r="CJY104" s="141"/>
      <c r="CJZ104" s="141"/>
      <c r="CKA104" s="132"/>
      <c r="CKB104" s="121"/>
      <c r="CKC104" s="121"/>
      <c r="CKD104" s="121"/>
      <c r="CKE104" s="128"/>
      <c r="CKF104" s="128"/>
      <c r="CKG104" s="128"/>
      <c r="CKH104" s="128"/>
      <c r="CKI104" s="121"/>
      <c r="CKJ104" s="121"/>
      <c r="CKK104" s="121"/>
      <c r="CKL104" s="132"/>
      <c r="CKM104" s="132"/>
      <c r="CKN104" s="129"/>
      <c r="CKO104" s="130"/>
      <c r="CKP104" s="121"/>
      <c r="CKQ104" s="121"/>
      <c r="CKR104" s="121"/>
      <c r="CKS104" s="130"/>
      <c r="CKT104" s="121"/>
      <c r="CKU104" s="130"/>
      <c r="CKV104" s="122"/>
      <c r="CKW104" s="121"/>
      <c r="CKX104" s="121"/>
      <c r="CKY104" s="127"/>
      <c r="CKZ104" s="127"/>
      <c r="CLA104" s="120"/>
      <c r="CLB104" s="130"/>
      <c r="CLC104" s="130"/>
      <c r="CLD104" s="139"/>
      <c r="CLE104" s="130"/>
      <c r="CLF104" s="130"/>
      <c r="CLG104" s="130"/>
      <c r="CLH104" s="130"/>
      <c r="CLI104" s="130"/>
      <c r="CLJ104" s="140"/>
      <c r="CLK104" s="140"/>
      <c r="CLL104" s="140"/>
      <c r="CLM104" s="141"/>
      <c r="CLN104" s="119"/>
      <c r="CLO104" s="128"/>
      <c r="CLP104" s="119"/>
      <c r="CLQ104" s="141"/>
      <c r="CLR104" s="141"/>
      <c r="CLS104" s="132"/>
      <c r="CLT104" s="121"/>
      <c r="CLU104" s="121"/>
      <c r="CLV104" s="121"/>
      <c r="CLW104" s="128"/>
      <c r="CLX104" s="128"/>
      <c r="CLY104" s="128"/>
      <c r="CLZ104" s="128"/>
      <c r="CMA104" s="121"/>
      <c r="CMB104" s="121"/>
      <c r="CMC104" s="121"/>
      <c r="CMD104" s="132"/>
      <c r="CME104" s="132"/>
      <c r="CMF104" s="129"/>
      <c r="CMG104" s="130"/>
      <c r="CMH104" s="121"/>
      <c r="CMI104" s="121"/>
      <c r="CMJ104" s="121"/>
      <c r="CMK104" s="130"/>
      <c r="CML104" s="121"/>
      <c r="CMM104" s="130"/>
      <c r="CMN104" s="122"/>
      <c r="CMO104" s="121"/>
      <c r="CMP104" s="121"/>
      <c r="CMQ104" s="127"/>
      <c r="CMR104" s="127"/>
      <c r="CMS104" s="120"/>
      <c r="CMT104" s="130"/>
      <c r="CMU104" s="130"/>
      <c r="CMV104" s="139"/>
      <c r="CMW104" s="130"/>
      <c r="CMX104" s="130"/>
      <c r="CMY104" s="130"/>
      <c r="CMZ104" s="130"/>
      <c r="CNA104" s="130"/>
      <c r="CNB104" s="140"/>
      <c r="CNC104" s="140"/>
      <c r="CND104" s="140"/>
      <c r="CNE104" s="141"/>
      <c r="CNF104" s="119"/>
      <c r="CNG104" s="128"/>
      <c r="CNH104" s="119"/>
      <c r="CNI104" s="141"/>
      <c r="CNJ104" s="141"/>
      <c r="CNK104" s="132"/>
      <c r="CNL104" s="121"/>
      <c r="CNM104" s="121"/>
      <c r="CNN104" s="121"/>
      <c r="CNO104" s="128"/>
      <c r="CNP104" s="128"/>
      <c r="CNQ104" s="128"/>
      <c r="CNR104" s="128"/>
      <c r="CNS104" s="121"/>
      <c r="CNT104" s="121"/>
      <c r="CNU104" s="121"/>
      <c r="CNV104" s="132"/>
      <c r="CNW104" s="132"/>
      <c r="CNX104" s="129"/>
      <c r="CNY104" s="130"/>
      <c r="CNZ104" s="121"/>
      <c r="COA104" s="121"/>
      <c r="COB104" s="121"/>
      <c r="COC104" s="130"/>
      <c r="COD104" s="121"/>
      <c r="COE104" s="130"/>
      <c r="COF104" s="122"/>
      <c r="COG104" s="121"/>
      <c r="COH104" s="121"/>
      <c r="COI104" s="127"/>
      <c r="COJ104" s="127"/>
      <c r="COK104" s="120"/>
      <c r="COL104" s="130"/>
      <c r="COM104" s="130"/>
      <c r="CON104" s="139"/>
      <c r="COO104" s="130"/>
      <c r="COP104" s="130"/>
      <c r="COQ104" s="130"/>
      <c r="COR104" s="130"/>
      <c r="COS104" s="130"/>
      <c r="COT104" s="140"/>
      <c r="COU104" s="140"/>
      <c r="COV104" s="140"/>
      <c r="COW104" s="141"/>
      <c r="COX104" s="119"/>
      <c r="COY104" s="128"/>
      <c r="COZ104" s="119"/>
      <c r="CPA104" s="141"/>
      <c r="CPB104" s="141"/>
      <c r="CPC104" s="132"/>
      <c r="CPD104" s="121"/>
      <c r="CPE104" s="121"/>
      <c r="CPF104" s="121"/>
      <c r="CPG104" s="128"/>
      <c r="CPH104" s="128"/>
      <c r="CPI104" s="128"/>
      <c r="CPJ104" s="128"/>
      <c r="CPK104" s="121"/>
      <c r="CPL104" s="121"/>
      <c r="CPM104" s="121"/>
      <c r="CPN104" s="132"/>
      <c r="CPO104" s="132"/>
      <c r="CPP104" s="129"/>
      <c r="CPQ104" s="130"/>
      <c r="CPR104" s="121"/>
      <c r="CPS104" s="121"/>
      <c r="CPT104" s="121"/>
      <c r="CPU104" s="130"/>
      <c r="CPV104" s="121"/>
      <c r="CPW104" s="130"/>
      <c r="CPX104" s="122"/>
      <c r="CPY104" s="121"/>
      <c r="CPZ104" s="121"/>
      <c r="CQA104" s="127"/>
      <c r="CQB104" s="127"/>
      <c r="CQC104" s="120"/>
      <c r="CQD104" s="130"/>
      <c r="CQE104" s="130"/>
      <c r="CQF104" s="139"/>
      <c r="CQG104" s="130"/>
      <c r="CQH104" s="130"/>
      <c r="CQI104" s="130"/>
      <c r="CQJ104" s="130"/>
      <c r="CQK104" s="130"/>
      <c r="CQL104" s="140"/>
      <c r="CQM104" s="140"/>
      <c r="CQN104" s="140"/>
      <c r="CQO104" s="141"/>
      <c r="CQP104" s="119"/>
      <c r="CQQ104" s="128"/>
      <c r="CQR104" s="119"/>
      <c r="CQS104" s="141"/>
      <c r="CQT104" s="141"/>
      <c r="CQU104" s="132"/>
      <c r="CQV104" s="121"/>
      <c r="CQW104" s="121"/>
      <c r="CQX104" s="121"/>
      <c r="CQY104" s="128"/>
      <c r="CQZ104" s="128"/>
      <c r="CRA104" s="128"/>
      <c r="CRB104" s="128"/>
      <c r="CRC104" s="121"/>
      <c r="CRD104" s="121"/>
      <c r="CRE104" s="121"/>
      <c r="CRF104" s="132"/>
      <c r="CRG104" s="132"/>
      <c r="CRH104" s="129"/>
      <c r="CRI104" s="130"/>
      <c r="CRJ104" s="121"/>
      <c r="CRK104" s="121"/>
      <c r="CRL104" s="121"/>
      <c r="CRM104" s="130"/>
      <c r="CRN104" s="121"/>
      <c r="CRO104" s="130"/>
      <c r="CRP104" s="122"/>
      <c r="CRQ104" s="121"/>
      <c r="CRR104" s="121"/>
      <c r="CRS104" s="127"/>
      <c r="CRT104" s="127"/>
      <c r="CRU104" s="120"/>
      <c r="CRV104" s="130"/>
      <c r="CRW104" s="130"/>
      <c r="CRX104" s="139"/>
      <c r="CRY104" s="130"/>
      <c r="CRZ104" s="130"/>
      <c r="CSA104" s="130"/>
      <c r="CSB104" s="130"/>
      <c r="CSC104" s="130"/>
      <c r="CSD104" s="140"/>
      <c r="CSE104" s="140"/>
      <c r="CSF104" s="140"/>
      <c r="CSG104" s="141"/>
      <c r="CSH104" s="119"/>
      <c r="CSI104" s="128"/>
      <c r="CSJ104" s="119"/>
      <c r="CSK104" s="141"/>
      <c r="CSL104" s="141"/>
      <c r="CSM104" s="132"/>
      <c r="CSN104" s="121"/>
      <c r="CSO104" s="121"/>
      <c r="CSP104" s="121"/>
      <c r="CSQ104" s="128"/>
      <c r="CSR104" s="128"/>
      <c r="CSS104" s="128"/>
      <c r="CST104" s="128"/>
      <c r="CSU104" s="121"/>
      <c r="CSV104" s="121"/>
      <c r="CSW104" s="121"/>
      <c r="CSX104" s="132"/>
      <c r="CSY104" s="132"/>
      <c r="CSZ104" s="129"/>
      <c r="CTA104" s="130"/>
      <c r="CTB104" s="121"/>
      <c r="CTC104" s="121"/>
      <c r="CTD104" s="121"/>
      <c r="CTE104" s="130"/>
      <c r="CTF104" s="121"/>
      <c r="CTG104" s="130"/>
      <c r="CTH104" s="122"/>
      <c r="CTI104" s="121"/>
      <c r="CTJ104" s="121"/>
      <c r="CTK104" s="127"/>
      <c r="CTL104" s="127"/>
      <c r="CTM104" s="120"/>
      <c r="CTN104" s="130"/>
      <c r="CTO104" s="130"/>
      <c r="CTP104" s="139"/>
      <c r="CTQ104" s="130"/>
      <c r="CTR104" s="130"/>
      <c r="CTS104" s="130"/>
      <c r="CTT104" s="130"/>
      <c r="CTU104" s="130"/>
      <c r="CTV104" s="140"/>
      <c r="CTW104" s="140"/>
      <c r="CTX104" s="140"/>
      <c r="CTY104" s="141"/>
      <c r="CTZ104" s="119"/>
      <c r="CUA104" s="128"/>
      <c r="CUB104" s="119"/>
      <c r="CUC104" s="141"/>
      <c r="CUD104" s="141"/>
      <c r="CUE104" s="132"/>
      <c r="CUF104" s="121"/>
      <c r="CUG104" s="121"/>
      <c r="CUH104" s="121"/>
      <c r="CUI104" s="128"/>
      <c r="CUJ104" s="128"/>
      <c r="CUK104" s="128"/>
      <c r="CUL104" s="128"/>
      <c r="CUM104" s="121"/>
      <c r="CUN104" s="121"/>
      <c r="CUO104" s="121"/>
      <c r="CUP104" s="132"/>
      <c r="CUQ104" s="132"/>
      <c r="CUR104" s="129"/>
      <c r="CUS104" s="130"/>
      <c r="CUT104" s="121"/>
      <c r="CUU104" s="121"/>
      <c r="CUV104" s="121"/>
      <c r="CUW104" s="130"/>
      <c r="CUX104" s="121"/>
      <c r="CUY104" s="130"/>
      <c r="CUZ104" s="122"/>
      <c r="CVA104" s="121"/>
      <c r="CVB104" s="121"/>
      <c r="CVC104" s="127"/>
      <c r="CVD104" s="127"/>
      <c r="CVE104" s="120"/>
      <c r="CVF104" s="130"/>
      <c r="CVG104" s="130"/>
      <c r="CVH104" s="139"/>
      <c r="CVI104" s="130"/>
      <c r="CVJ104" s="130"/>
      <c r="CVK104" s="130"/>
      <c r="CVL104" s="130"/>
      <c r="CVM104" s="130"/>
      <c r="CVN104" s="140"/>
      <c r="CVO104" s="140"/>
      <c r="CVP104" s="140"/>
      <c r="CVQ104" s="141"/>
      <c r="CVR104" s="119"/>
      <c r="CVS104" s="128"/>
      <c r="CVT104" s="119"/>
      <c r="CVU104" s="141"/>
      <c r="CVV104" s="141"/>
      <c r="CVW104" s="132"/>
      <c r="CVX104" s="121"/>
      <c r="CVY104" s="121"/>
      <c r="CVZ104" s="121"/>
      <c r="CWA104" s="128"/>
      <c r="CWB104" s="128"/>
      <c r="CWC104" s="128"/>
      <c r="CWD104" s="128"/>
      <c r="CWE104" s="121"/>
      <c r="CWF104" s="121"/>
      <c r="CWG104" s="121"/>
      <c r="CWH104" s="132"/>
      <c r="CWI104" s="132"/>
      <c r="CWJ104" s="129"/>
      <c r="CWK104" s="130"/>
      <c r="CWL104" s="121"/>
      <c r="CWM104" s="121"/>
      <c r="CWN104" s="121"/>
      <c r="CWO104" s="130"/>
      <c r="CWP104" s="121"/>
      <c r="CWQ104" s="130"/>
      <c r="CWR104" s="122"/>
      <c r="CWS104" s="121"/>
      <c r="CWT104" s="121"/>
      <c r="CWU104" s="127"/>
      <c r="CWV104" s="127"/>
      <c r="CWW104" s="120"/>
      <c r="CWX104" s="130"/>
      <c r="CWY104" s="130"/>
      <c r="CWZ104" s="139"/>
      <c r="CXA104" s="130"/>
      <c r="CXB104" s="130"/>
      <c r="CXC104" s="130"/>
      <c r="CXD104" s="130"/>
      <c r="CXE104" s="130"/>
      <c r="CXF104" s="140"/>
      <c r="CXG104" s="140"/>
      <c r="CXH104" s="140"/>
      <c r="CXI104" s="141"/>
      <c r="CXJ104" s="119"/>
      <c r="CXK104" s="128"/>
      <c r="CXL104" s="119"/>
      <c r="CXM104" s="141"/>
      <c r="CXN104" s="141"/>
      <c r="CXO104" s="132"/>
      <c r="CXP104" s="121"/>
      <c r="CXQ104" s="121"/>
      <c r="CXR104" s="121"/>
      <c r="CXS104" s="128"/>
      <c r="CXT104" s="128"/>
      <c r="CXU104" s="128"/>
      <c r="CXV104" s="128"/>
      <c r="CXW104" s="121"/>
      <c r="CXX104" s="121"/>
      <c r="CXY104" s="121"/>
      <c r="CXZ104" s="132"/>
      <c r="CYA104" s="132"/>
      <c r="CYB104" s="129"/>
      <c r="CYC104" s="130"/>
      <c r="CYD104" s="121"/>
      <c r="CYE104" s="121"/>
      <c r="CYF104" s="121"/>
      <c r="CYG104" s="130"/>
      <c r="CYH104" s="121"/>
      <c r="CYI104" s="130"/>
      <c r="CYJ104" s="122"/>
      <c r="CYK104" s="121"/>
      <c r="CYL104" s="121"/>
      <c r="CYM104" s="127"/>
      <c r="CYN104" s="127"/>
      <c r="CYO104" s="120"/>
      <c r="CYP104" s="130"/>
      <c r="CYQ104" s="130"/>
      <c r="CYR104" s="139"/>
      <c r="CYS104" s="130"/>
      <c r="CYT104" s="130"/>
      <c r="CYU104" s="130"/>
      <c r="CYV104" s="130"/>
      <c r="CYW104" s="130"/>
      <c r="CYX104" s="140"/>
      <c r="CYY104" s="140"/>
      <c r="CYZ104" s="140"/>
      <c r="CZA104" s="141"/>
      <c r="CZB104" s="119"/>
      <c r="CZC104" s="128"/>
      <c r="CZD104" s="119"/>
      <c r="CZE104" s="141"/>
      <c r="CZF104" s="141"/>
      <c r="CZG104" s="132"/>
      <c r="CZH104" s="121"/>
      <c r="CZI104" s="121"/>
      <c r="CZJ104" s="121"/>
      <c r="CZK104" s="128"/>
      <c r="CZL104" s="128"/>
      <c r="CZM104" s="128"/>
      <c r="CZN104" s="128"/>
      <c r="CZO104" s="121"/>
      <c r="CZP104" s="121"/>
      <c r="CZQ104" s="121"/>
      <c r="CZR104" s="132"/>
      <c r="CZS104" s="132"/>
      <c r="CZT104" s="129"/>
      <c r="CZU104" s="130"/>
      <c r="CZV104" s="121"/>
      <c r="CZW104" s="121"/>
      <c r="CZX104" s="121"/>
      <c r="CZY104" s="130"/>
      <c r="CZZ104" s="121"/>
      <c r="DAA104" s="130"/>
      <c r="DAB104" s="122"/>
      <c r="DAC104" s="121"/>
      <c r="DAD104" s="121"/>
      <c r="DAE104" s="127"/>
      <c r="DAF104" s="127"/>
      <c r="DAG104" s="120"/>
      <c r="DAH104" s="130"/>
      <c r="DAI104" s="130"/>
      <c r="DAJ104" s="139"/>
      <c r="DAK104" s="130"/>
      <c r="DAL104" s="130"/>
      <c r="DAM104" s="130"/>
      <c r="DAN104" s="130"/>
      <c r="DAO104" s="130"/>
      <c r="DAP104" s="140"/>
      <c r="DAQ104" s="140"/>
      <c r="DAR104" s="140"/>
      <c r="DAS104" s="141"/>
      <c r="DAT104" s="119"/>
      <c r="DAU104" s="128"/>
      <c r="DAV104" s="119"/>
      <c r="DAW104" s="141"/>
      <c r="DAX104" s="141"/>
      <c r="DAY104" s="132"/>
      <c r="DAZ104" s="121"/>
      <c r="DBA104" s="121"/>
      <c r="DBB104" s="121"/>
      <c r="DBC104" s="128"/>
      <c r="DBD104" s="128"/>
      <c r="DBE104" s="128"/>
      <c r="DBF104" s="128"/>
      <c r="DBG104" s="121"/>
      <c r="DBH104" s="121"/>
      <c r="DBI104" s="121"/>
      <c r="DBJ104" s="132"/>
      <c r="DBK104" s="132"/>
      <c r="DBL104" s="129"/>
      <c r="DBM104" s="130"/>
      <c r="DBN104" s="121"/>
      <c r="DBO104" s="121"/>
      <c r="DBP104" s="121"/>
      <c r="DBQ104" s="130"/>
      <c r="DBR104" s="121"/>
      <c r="DBS104" s="130"/>
      <c r="DBT104" s="122"/>
      <c r="DBU104" s="121"/>
      <c r="DBV104" s="121"/>
      <c r="DBW104" s="127"/>
      <c r="DBX104" s="127"/>
      <c r="DBY104" s="120"/>
      <c r="DBZ104" s="130"/>
      <c r="DCA104" s="130"/>
      <c r="DCB104" s="139"/>
      <c r="DCC104" s="130"/>
      <c r="DCD104" s="130"/>
      <c r="DCE104" s="130"/>
      <c r="DCF104" s="130"/>
      <c r="DCG104" s="130"/>
      <c r="DCH104" s="140"/>
      <c r="DCI104" s="140"/>
      <c r="DCJ104" s="140"/>
      <c r="DCK104" s="141"/>
      <c r="DCL104" s="119"/>
      <c r="DCM104" s="128"/>
      <c r="DCN104" s="119"/>
      <c r="DCO104" s="141"/>
      <c r="DCP104" s="141"/>
      <c r="DCQ104" s="132"/>
      <c r="DCR104" s="121"/>
      <c r="DCS104" s="121"/>
      <c r="DCT104" s="121"/>
      <c r="DCU104" s="128"/>
      <c r="DCV104" s="128"/>
      <c r="DCW104" s="128"/>
      <c r="DCX104" s="128"/>
      <c r="DCY104" s="121"/>
      <c r="DCZ104" s="121"/>
      <c r="DDA104" s="121"/>
      <c r="DDB104" s="132"/>
      <c r="DDC104" s="132"/>
      <c r="DDD104" s="129"/>
      <c r="DDE104" s="130"/>
      <c r="DDF104" s="121"/>
      <c r="DDG104" s="121"/>
      <c r="DDH104" s="121"/>
      <c r="DDI104" s="130"/>
      <c r="DDJ104" s="121"/>
      <c r="DDK104" s="130"/>
      <c r="DDL104" s="122"/>
      <c r="DDM104" s="121"/>
      <c r="DDN104" s="121"/>
      <c r="DDO104" s="127"/>
      <c r="DDP104" s="127"/>
      <c r="DDQ104" s="120"/>
      <c r="DDR104" s="130"/>
      <c r="DDS104" s="130"/>
      <c r="DDT104" s="139"/>
      <c r="DDU104" s="130"/>
      <c r="DDV104" s="130"/>
      <c r="DDW104" s="130"/>
      <c r="DDX104" s="130"/>
      <c r="DDY104" s="130"/>
      <c r="DDZ104" s="140"/>
      <c r="DEA104" s="140"/>
      <c r="DEB104" s="140"/>
      <c r="DEC104" s="141"/>
      <c r="DED104" s="119"/>
      <c r="DEE104" s="128"/>
      <c r="DEF104" s="119"/>
      <c r="DEG104" s="141"/>
      <c r="DEH104" s="141"/>
      <c r="DEI104" s="132"/>
      <c r="DEJ104" s="121"/>
      <c r="DEK104" s="121"/>
      <c r="DEL104" s="121"/>
      <c r="DEM104" s="128"/>
      <c r="DEN104" s="128"/>
      <c r="DEO104" s="128"/>
      <c r="DEP104" s="128"/>
      <c r="DEQ104" s="121"/>
      <c r="DER104" s="121"/>
      <c r="DES104" s="121"/>
      <c r="DET104" s="132"/>
      <c r="DEU104" s="132"/>
      <c r="DEV104" s="129"/>
      <c r="DEW104" s="130"/>
      <c r="DEX104" s="121"/>
      <c r="DEY104" s="121"/>
      <c r="DEZ104" s="121"/>
      <c r="DFA104" s="130"/>
      <c r="DFB104" s="121"/>
      <c r="DFC104" s="130"/>
      <c r="DFD104" s="122"/>
      <c r="DFE104" s="121"/>
      <c r="DFF104" s="121"/>
      <c r="DFG104" s="127"/>
      <c r="DFH104" s="127"/>
      <c r="DFI104" s="120"/>
      <c r="DFJ104" s="130"/>
      <c r="DFK104" s="130"/>
      <c r="DFL104" s="139"/>
      <c r="DFM104" s="130"/>
      <c r="DFN104" s="130"/>
      <c r="DFO104" s="130"/>
      <c r="DFP104" s="130"/>
      <c r="DFQ104" s="130"/>
      <c r="DFR104" s="140"/>
      <c r="DFS104" s="140"/>
      <c r="DFT104" s="140"/>
      <c r="DFU104" s="141"/>
      <c r="DFV104" s="119"/>
      <c r="DFW104" s="128"/>
      <c r="DFX104" s="119"/>
      <c r="DFY104" s="141"/>
      <c r="DFZ104" s="141"/>
      <c r="DGA104" s="132"/>
      <c r="DGB104" s="121"/>
      <c r="DGC104" s="121"/>
      <c r="DGD104" s="121"/>
      <c r="DGE104" s="128"/>
      <c r="DGF104" s="128"/>
      <c r="DGG104" s="128"/>
      <c r="DGH104" s="128"/>
      <c r="DGI104" s="121"/>
      <c r="DGJ104" s="121"/>
      <c r="DGK104" s="121"/>
      <c r="DGL104" s="132"/>
      <c r="DGM104" s="132"/>
      <c r="DGN104" s="129"/>
      <c r="DGO104" s="130"/>
      <c r="DGP104" s="121"/>
      <c r="DGQ104" s="121"/>
      <c r="DGR104" s="121"/>
      <c r="DGS104" s="130"/>
      <c r="DGT104" s="121"/>
      <c r="DGU104" s="130"/>
      <c r="DGV104" s="122"/>
      <c r="DGW104" s="121"/>
      <c r="DGX104" s="121"/>
      <c r="DGY104" s="127"/>
      <c r="DGZ104" s="127"/>
      <c r="DHA104" s="120"/>
      <c r="DHB104" s="130"/>
      <c r="DHC104" s="130"/>
      <c r="DHD104" s="139"/>
      <c r="DHE104" s="130"/>
      <c r="DHF104" s="130"/>
      <c r="DHG104" s="130"/>
      <c r="DHH104" s="130"/>
      <c r="DHI104" s="130"/>
      <c r="DHJ104" s="140"/>
      <c r="DHK104" s="140"/>
      <c r="DHL104" s="140"/>
      <c r="DHM104" s="141"/>
      <c r="DHN104" s="119"/>
      <c r="DHO104" s="128"/>
      <c r="DHP104" s="119"/>
      <c r="DHQ104" s="141"/>
      <c r="DHR104" s="141"/>
      <c r="DHS104" s="132"/>
      <c r="DHT104" s="121"/>
      <c r="DHU104" s="121"/>
      <c r="DHV104" s="121"/>
      <c r="DHW104" s="128"/>
      <c r="DHX104" s="128"/>
      <c r="DHY104" s="128"/>
      <c r="DHZ104" s="128"/>
      <c r="DIA104" s="121"/>
      <c r="DIB104" s="121"/>
      <c r="DIC104" s="121"/>
      <c r="DID104" s="132"/>
      <c r="DIE104" s="132"/>
      <c r="DIF104" s="129"/>
      <c r="DIG104" s="130"/>
      <c r="DIH104" s="121"/>
      <c r="DII104" s="121"/>
      <c r="DIJ104" s="121"/>
      <c r="DIK104" s="130"/>
      <c r="DIL104" s="121"/>
      <c r="DIM104" s="130"/>
      <c r="DIN104" s="122"/>
      <c r="DIO104" s="121"/>
      <c r="DIP104" s="121"/>
      <c r="DIQ104" s="127"/>
      <c r="DIR104" s="127"/>
      <c r="DIS104" s="120"/>
      <c r="DIT104" s="130"/>
      <c r="DIU104" s="130"/>
      <c r="DIV104" s="139"/>
      <c r="DIW104" s="130"/>
      <c r="DIX104" s="130"/>
      <c r="DIY104" s="130"/>
      <c r="DIZ104" s="130"/>
      <c r="DJA104" s="130"/>
      <c r="DJB104" s="140"/>
      <c r="DJC104" s="140"/>
      <c r="DJD104" s="140"/>
      <c r="DJE104" s="141"/>
      <c r="DJF104" s="119"/>
      <c r="DJG104" s="128"/>
      <c r="DJH104" s="119"/>
      <c r="DJI104" s="141"/>
      <c r="DJJ104" s="141"/>
      <c r="DJK104" s="132"/>
      <c r="DJL104" s="121"/>
      <c r="DJM104" s="121"/>
      <c r="DJN104" s="121"/>
      <c r="DJO104" s="128"/>
      <c r="DJP104" s="128"/>
      <c r="DJQ104" s="128"/>
      <c r="DJR104" s="128"/>
      <c r="DJS104" s="121"/>
      <c r="DJT104" s="121"/>
      <c r="DJU104" s="121"/>
      <c r="DJV104" s="132"/>
      <c r="DJW104" s="132"/>
      <c r="DJX104" s="129"/>
      <c r="DJY104" s="130"/>
      <c r="DJZ104" s="121"/>
      <c r="DKA104" s="121"/>
      <c r="DKB104" s="121"/>
      <c r="DKC104" s="130"/>
      <c r="DKD104" s="121"/>
      <c r="DKE104" s="130"/>
      <c r="DKF104" s="122"/>
      <c r="DKG104" s="121"/>
      <c r="DKH104" s="121"/>
      <c r="DKI104" s="127"/>
      <c r="DKJ104" s="127"/>
      <c r="DKK104" s="120"/>
      <c r="DKL104" s="130"/>
      <c r="DKM104" s="130"/>
      <c r="DKN104" s="139"/>
      <c r="DKO104" s="130"/>
      <c r="DKP104" s="130"/>
      <c r="DKQ104" s="130"/>
      <c r="DKR104" s="130"/>
      <c r="DKS104" s="130"/>
      <c r="DKT104" s="140"/>
      <c r="DKU104" s="140"/>
      <c r="DKV104" s="140"/>
      <c r="DKW104" s="141"/>
      <c r="DKX104" s="119"/>
      <c r="DKY104" s="128"/>
      <c r="DKZ104" s="119"/>
      <c r="DLA104" s="141"/>
      <c r="DLB104" s="141"/>
      <c r="DLC104" s="132"/>
      <c r="DLD104" s="121"/>
      <c r="DLE104" s="121"/>
      <c r="DLF104" s="121"/>
      <c r="DLG104" s="128"/>
      <c r="DLH104" s="128"/>
      <c r="DLI104" s="128"/>
      <c r="DLJ104" s="128"/>
      <c r="DLK104" s="121"/>
      <c r="DLL104" s="121"/>
      <c r="DLM104" s="121"/>
      <c r="DLN104" s="132"/>
      <c r="DLO104" s="132"/>
      <c r="DLP104" s="129"/>
      <c r="DLQ104" s="130"/>
      <c r="DLR104" s="121"/>
      <c r="DLS104" s="121"/>
      <c r="DLT104" s="121"/>
      <c r="DLU104" s="130"/>
      <c r="DLV104" s="121"/>
      <c r="DLW104" s="130"/>
      <c r="DLX104" s="122"/>
      <c r="DLY104" s="121"/>
      <c r="DLZ104" s="121"/>
      <c r="DMA104" s="127"/>
      <c r="DMB104" s="127"/>
      <c r="DMC104" s="120"/>
      <c r="DMD104" s="130"/>
      <c r="DME104" s="130"/>
      <c r="DMF104" s="139"/>
      <c r="DMG104" s="130"/>
      <c r="DMH104" s="130"/>
      <c r="DMI104" s="130"/>
      <c r="DMJ104" s="130"/>
      <c r="DMK104" s="130"/>
      <c r="DML104" s="140"/>
      <c r="DMM104" s="140"/>
      <c r="DMN104" s="140"/>
      <c r="DMO104" s="141"/>
      <c r="DMP104" s="119"/>
      <c r="DMQ104" s="128"/>
      <c r="DMR104" s="119"/>
      <c r="DMS104" s="141"/>
      <c r="DMT104" s="141"/>
      <c r="DMU104" s="132"/>
      <c r="DMV104" s="121"/>
      <c r="DMW104" s="121"/>
      <c r="DMX104" s="121"/>
      <c r="DMY104" s="128"/>
      <c r="DMZ104" s="128"/>
      <c r="DNA104" s="128"/>
      <c r="DNB104" s="128"/>
      <c r="DNC104" s="121"/>
      <c r="DND104" s="121"/>
      <c r="DNE104" s="121"/>
      <c r="DNF104" s="132"/>
      <c r="DNG104" s="132"/>
      <c r="DNH104" s="129"/>
      <c r="DNI104" s="130"/>
      <c r="DNJ104" s="121"/>
      <c r="DNK104" s="121"/>
      <c r="DNL104" s="121"/>
      <c r="DNM104" s="130"/>
      <c r="DNN104" s="121"/>
      <c r="DNO104" s="130"/>
      <c r="DNP104" s="122"/>
      <c r="DNQ104" s="121"/>
      <c r="DNR104" s="121"/>
      <c r="DNS104" s="127"/>
      <c r="DNT104" s="127"/>
      <c r="DNU104" s="120"/>
      <c r="DNV104" s="130"/>
      <c r="DNW104" s="130"/>
      <c r="DNX104" s="139"/>
      <c r="DNY104" s="130"/>
      <c r="DNZ104" s="130"/>
      <c r="DOA104" s="130"/>
      <c r="DOB104" s="130"/>
      <c r="DOC104" s="130"/>
      <c r="DOD104" s="140"/>
      <c r="DOE104" s="140"/>
      <c r="DOF104" s="140"/>
      <c r="DOG104" s="141"/>
      <c r="DOH104" s="119"/>
      <c r="DOI104" s="128"/>
      <c r="DOJ104" s="119"/>
      <c r="DOK104" s="141"/>
      <c r="DOL104" s="141"/>
      <c r="DOM104" s="132"/>
      <c r="DON104" s="121"/>
      <c r="DOO104" s="121"/>
      <c r="DOP104" s="121"/>
      <c r="DOQ104" s="128"/>
      <c r="DOR104" s="128"/>
      <c r="DOS104" s="128"/>
      <c r="DOT104" s="128"/>
      <c r="DOU104" s="121"/>
      <c r="DOV104" s="121"/>
      <c r="DOW104" s="121"/>
      <c r="DOX104" s="132"/>
      <c r="DOY104" s="132"/>
      <c r="DOZ104" s="129"/>
      <c r="DPA104" s="130"/>
      <c r="DPB104" s="121"/>
      <c r="DPC104" s="121"/>
      <c r="DPD104" s="121"/>
      <c r="DPE104" s="130"/>
      <c r="DPF104" s="121"/>
      <c r="DPG104" s="130"/>
      <c r="DPH104" s="122"/>
      <c r="DPI104" s="121"/>
      <c r="DPJ104" s="121"/>
      <c r="DPK104" s="127"/>
      <c r="DPL104" s="127"/>
      <c r="DPM104" s="120"/>
      <c r="DPN104" s="130"/>
      <c r="DPO104" s="130"/>
      <c r="DPP104" s="139"/>
      <c r="DPQ104" s="130"/>
      <c r="DPR104" s="130"/>
      <c r="DPS104" s="130"/>
      <c r="DPT104" s="130"/>
      <c r="DPU104" s="130"/>
      <c r="DPV104" s="140"/>
      <c r="DPW104" s="140"/>
      <c r="DPX104" s="140"/>
      <c r="DPY104" s="141"/>
      <c r="DPZ104" s="119"/>
      <c r="DQA104" s="128"/>
      <c r="DQB104" s="119"/>
      <c r="DQC104" s="141"/>
      <c r="DQD104" s="141"/>
      <c r="DQE104" s="132"/>
      <c r="DQF104" s="121"/>
      <c r="DQG104" s="121"/>
      <c r="DQH104" s="121"/>
      <c r="DQI104" s="128"/>
      <c r="DQJ104" s="128"/>
      <c r="DQK104" s="128"/>
      <c r="DQL104" s="128"/>
      <c r="DQM104" s="121"/>
      <c r="DQN104" s="121"/>
      <c r="DQO104" s="121"/>
      <c r="DQP104" s="132"/>
      <c r="DQQ104" s="132"/>
      <c r="DQR104" s="129"/>
      <c r="DQS104" s="130"/>
      <c r="DQT104" s="121"/>
      <c r="DQU104" s="121"/>
      <c r="DQV104" s="121"/>
      <c r="DQW104" s="130"/>
      <c r="DQX104" s="121"/>
      <c r="DQY104" s="130"/>
      <c r="DQZ104" s="122"/>
      <c r="DRA104" s="121"/>
      <c r="DRB104" s="121"/>
      <c r="DRC104" s="127"/>
      <c r="DRD104" s="127"/>
      <c r="DRE104" s="120"/>
      <c r="DRF104" s="130"/>
      <c r="DRG104" s="130"/>
      <c r="DRH104" s="139"/>
      <c r="DRI104" s="130"/>
      <c r="DRJ104" s="130"/>
      <c r="DRK104" s="130"/>
      <c r="DRL104" s="130"/>
      <c r="DRM104" s="130"/>
      <c r="DRN104" s="140"/>
      <c r="DRO104" s="140"/>
      <c r="DRP104" s="140"/>
      <c r="DRQ104" s="141"/>
      <c r="DRR104" s="119"/>
      <c r="DRS104" s="128"/>
      <c r="DRT104" s="119"/>
      <c r="DRU104" s="141"/>
      <c r="DRV104" s="141"/>
      <c r="DRW104" s="132"/>
      <c r="DRX104" s="121"/>
      <c r="DRY104" s="121"/>
      <c r="DRZ104" s="121"/>
      <c r="DSA104" s="128"/>
      <c r="DSB104" s="128"/>
      <c r="DSC104" s="128"/>
      <c r="DSD104" s="128"/>
      <c r="DSE104" s="121"/>
      <c r="DSF104" s="121"/>
      <c r="DSG104" s="121"/>
      <c r="DSH104" s="132"/>
      <c r="DSI104" s="132"/>
      <c r="DSJ104" s="129"/>
      <c r="DSK104" s="130"/>
      <c r="DSL104" s="121"/>
      <c r="DSM104" s="121"/>
      <c r="DSN104" s="121"/>
      <c r="DSO104" s="130"/>
      <c r="DSP104" s="121"/>
      <c r="DSQ104" s="130"/>
      <c r="DSR104" s="122"/>
      <c r="DSS104" s="121"/>
      <c r="DST104" s="121"/>
      <c r="DSU104" s="127"/>
      <c r="DSV104" s="127"/>
      <c r="DSW104" s="120"/>
      <c r="DSX104" s="130"/>
      <c r="DSY104" s="130"/>
      <c r="DSZ104" s="139"/>
      <c r="DTA104" s="130"/>
      <c r="DTB104" s="130"/>
      <c r="DTC104" s="130"/>
      <c r="DTD104" s="130"/>
      <c r="DTE104" s="130"/>
      <c r="DTF104" s="140"/>
      <c r="DTG104" s="140"/>
      <c r="DTH104" s="140"/>
      <c r="DTI104" s="141"/>
      <c r="DTJ104" s="119"/>
      <c r="DTK104" s="128"/>
      <c r="DTL104" s="119"/>
      <c r="DTM104" s="141"/>
      <c r="DTN104" s="141"/>
      <c r="DTO104" s="132"/>
      <c r="DTP104" s="121"/>
      <c r="DTQ104" s="121"/>
      <c r="DTR104" s="121"/>
      <c r="DTS104" s="128"/>
      <c r="DTT104" s="128"/>
      <c r="DTU104" s="128"/>
      <c r="DTV104" s="128"/>
      <c r="DTW104" s="121"/>
      <c r="DTX104" s="121"/>
      <c r="DTY104" s="121"/>
      <c r="DTZ104" s="132"/>
      <c r="DUA104" s="132"/>
      <c r="DUB104" s="129"/>
      <c r="DUC104" s="130"/>
      <c r="DUD104" s="121"/>
      <c r="DUE104" s="121"/>
      <c r="DUF104" s="121"/>
      <c r="DUG104" s="130"/>
      <c r="DUH104" s="121"/>
      <c r="DUI104" s="130"/>
      <c r="DUJ104" s="122"/>
      <c r="DUK104" s="121"/>
      <c r="DUL104" s="121"/>
      <c r="DUM104" s="127"/>
      <c r="DUN104" s="127"/>
      <c r="DUO104" s="120"/>
      <c r="DUP104" s="130"/>
      <c r="DUQ104" s="130"/>
      <c r="DUR104" s="139"/>
      <c r="DUS104" s="130"/>
      <c r="DUT104" s="130"/>
      <c r="DUU104" s="130"/>
      <c r="DUV104" s="130"/>
      <c r="DUW104" s="130"/>
      <c r="DUX104" s="140"/>
      <c r="DUY104" s="140"/>
      <c r="DUZ104" s="140"/>
      <c r="DVA104" s="141"/>
      <c r="DVB104" s="119"/>
      <c r="DVC104" s="128"/>
      <c r="DVD104" s="119"/>
      <c r="DVE104" s="141"/>
      <c r="DVF104" s="141"/>
      <c r="DVG104" s="132"/>
      <c r="DVH104" s="121"/>
      <c r="DVI104" s="121"/>
      <c r="DVJ104" s="121"/>
      <c r="DVK104" s="128"/>
      <c r="DVL104" s="128"/>
      <c r="DVM104" s="128"/>
      <c r="DVN104" s="128"/>
      <c r="DVO104" s="121"/>
      <c r="DVP104" s="121"/>
      <c r="DVQ104" s="121"/>
      <c r="DVR104" s="132"/>
      <c r="DVS104" s="132"/>
      <c r="DVT104" s="129"/>
      <c r="DVU104" s="130"/>
      <c r="DVV104" s="121"/>
      <c r="DVW104" s="121"/>
      <c r="DVX104" s="121"/>
      <c r="DVY104" s="130"/>
      <c r="DVZ104" s="121"/>
      <c r="DWA104" s="130"/>
      <c r="DWB104" s="122"/>
      <c r="DWC104" s="121"/>
      <c r="DWD104" s="121"/>
      <c r="DWE104" s="127"/>
      <c r="DWF104" s="127"/>
      <c r="DWG104" s="120"/>
      <c r="DWH104" s="130"/>
      <c r="DWI104" s="130"/>
      <c r="DWJ104" s="139"/>
      <c r="DWK104" s="130"/>
      <c r="DWL104" s="130"/>
      <c r="DWM104" s="130"/>
      <c r="DWN104" s="130"/>
      <c r="DWO104" s="130"/>
      <c r="DWP104" s="140"/>
      <c r="DWQ104" s="140"/>
      <c r="DWR104" s="140"/>
      <c r="DWS104" s="141"/>
      <c r="DWT104" s="119"/>
      <c r="DWU104" s="128"/>
      <c r="DWV104" s="119"/>
      <c r="DWW104" s="141"/>
      <c r="DWX104" s="141"/>
      <c r="DWY104" s="132"/>
      <c r="DWZ104" s="121"/>
      <c r="DXA104" s="121"/>
      <c r="DXB104" s="121"/>
      <c r="DXC104" s="128"/>
      <c r="DXD104" s="128"/>
      <c r="DXE104" s="128"/>
      <c r="DXF104" s="128"/>
      <c r="DXG104" s="121"/>
      <c r="DXH104" s="121"/>
      <c r="DXI104" s="121"/>
      <c r="DXJ104" s="132"/>
      <c r="DXK104" s="132"/>
      <c r="DXL104" s="129"/>
      <c r="DXM104" s="130"/>
      <c r="DXN104" s="121"/>
      <c r="DXO104" s="121"/>
      <c r="DXP104" s="121"/>
      <c r="DXQ104" s="130"/>
      <c r="DXR104" s="121"/>
      <c r="DXS104" s="130"/>
      <c r="DXT104" s="122"/>
      <c r="DXU104" s="121"/>
      <c r="DXV104" s="121"/>
      <c r="DXW104" s="127"/>
      <c r="DXX104" s="127"/>
      <c r="DXY104" s="120"/>
      <c r="DXZ104" s="130"/>
      <c r="DYA104" s="130"/>
      <c r="DYB104" s="139"/>
      <c r="DYC104" s="130"/>
      <c r="DYD104" s="130"/>
      <c r="DYE104" s="130"/>
      <c r="DYF104" s="130"/>
      <c r="DYG104" s="130"/>
      <c r="DYH104" s="140"/>
      <c r="DYI104" s="140"/>
      <c r="DYJ104" s="140"/>
      <c r="DYK104" s="141"/>
      <c r="DYL104" s="119"/>
      <c r="DYM104" s="128"/>
      <c r="DYN104" s="119"/>
      <c r="DYO104" s="141"/>
      <c r="DYP104" s="141"/>
      <c r="DYQ104" s="132"/>
      <c r="DYR104" s="121"/>
      <c r="DYS104" s="121"/>
      <c r="DYT104" s="121"/>
      <c r="DYU104" s="128"/>
      <c r="DYV104" s="128"/>
      <c r="DYW104" s="128"/>
      <c r="DYX104" s="128"/>
      <c r="DYY104" s="121"/>
      <c r="DYZ104" s="121"/>
      <c r="DZA104" s="121"/>
      <c r="DZB104" s="132"/>
      <c r="DZC104" s="132"/>
      <c r="DZD104" s="129"/>
      <c r="DZE104" s="130"/>
      <c r="DZF104" s="121"/>
      <c r="DZG104" s="121"/>
      <c r="DZH104" s="121"/>
      <c r="DZI104" s="130"/>
      <c r="DZJ104" s="121"/>
      <c r="DZK104" s="130"/>
      <c r="DZL104" s="122"/>
      <c r="DZM104" s="121"/>
      <c r="DZN104" s="121"/>
      <c r="DZO104" s="127"/>
      <c r="DZP104" s="127"/>
      <c r="DZQ104" s="120"/>
      <c r="DZR104" s="130"/>
      <c r="DZS104" s="130"/>
      <c r="DZT104" s="139"/>
      <c r="DZU104" s="130"/>
      <c r="DZV104" s="130"/>
      <c r="DZW104" s="130"/>
      <c r="DZX104" s="130"/>
      <c r="DZY104" s="130"/>
      <c r="DZZ104" s="140"/>
      <c r="EAA104" s="140"/>
      <c r="EAB104" s="140"/>
      <c r="EAC104" s="141"/>
      <c r="EAD104" s="119"/>
      <c r="EAE104" s="128"/>
      <c r="EAF104" s="119"/>
      <c r="EAG104" s="141"/>
      <c r="EAH104" s="141"/>
      <c r="EAI104" s="132"/>
      <c r="EAJ104" s="121"/>
      <c r="EAK104" s="121"/>
      <c r="EAL104" s="121"/>
      <c r="EAM104" s="128"/>
      <c r="EAN104" s="128"/>
      <c r="EAO104" s="128"/>
      <c r="EAP104" s="128"/>
      <c r="EAQ104" s="121"/>
      <c r="EAR104" s="121"/>
      <c r="EAS104" s="121"/>
      <c r="EAT104" s="132"/>
      <c r="EAU104" s="132"/>
      <c r="EAV104" s="129"/>
      <c r="EAW104" s="130"/>
      <c r="EAX104" s="121"/>
      <c r="EAY104" s="121"/>
      <c r="EAZ104" s="121"/>
      <c r="EBA104" s="130"/>
      <c r="EBB104" s="121"/>
      <c r="EBC104" s="130"/>
      <c r="EBD104" s="122"/>
      <c r="EBE104" s="121"/>
      <c r="EBF104" s="121"/>
      <c r="EBG104" s="127"/>
      <c r="EBH104" s="127"/>
      <c r="EBI104" s="120"/>
      <c r="EBJ104" s="130"/>
      <c r="EBK104" s="130"/>
      <c r="EBL104" s="139"/>
      <c r="EBM104" s="130"/>
      <c r="EBN104" s="130"/>
      <c r="EBO104" s="130"/>
      <c r="EBP104" s="130"/>
      <c r="EBQ104" s="130"/>
      <c r="EBR104" s="140"/>
      <c r="EBS104" s="140"/>
      <c r="EBT104" s="140"/>
      <c r="EBU104" s="141"/>
      <c r="EBV104" s="119"/>
      <c r="EBW104" s="128"/>
      <c r="EBX104" s="119"/>
      <c r="EBY104" s="141"/>
      <c r="EBZ104" s="141"/>
      <c r="ECA104" s="132"/>
      <c r="ECB104" s="121"/>
      <c r="ECC104" s="121"/>
      <c r="ECD104" s="121"/>
      <c r="ECE104" s="128"/>
      <c r="ECF104" s="128"/>
      <c r="ECG104" s="128"/>
      <c r="ECH104" s="128"/>
      <c r="ECI104" s="121"/>
      <c r="ECJ104" s="121"/>
      <c r="ECK104" s="121"/>
      <c r="ECL104" s="132"/>
      <c r="ECM104" s="132"/>
      <c r="ECN104" s="129"/>
      <c r="ECO104" s="130"/>
      <c r="ECP104" s="121"/>
      <c r="ECQ104" s="121"/>
      <c r="ECR104" s="121"/>
      <c r="ECS104" s="130"/>
      <c r="ECT104" s="121"/>
      <c r="ECU104" s="130"/>
      <c r="ECV104" s="122"/>
      <c r="ECW104" s="121"/>
      <c r="ECX104" s="121"/>
      <c r="ECY104" s="127"/>
      <c r="ECZ104" s="127"/>
      <c r="EDA104" s="120"/>
      <c r="EDB104" s="130"/>
      <c r="EDC104" s="130"/>
      <c r="EDD104" s="139"/>
      <c r="EDE104" s="130"/>
      <c r="EDF104" s="130"/>
      <c r="EDG104" s="130"/>
      <c r="EDH104" s="130"/>
      <c r="EDI104" s="130"/>
      <c r="EDJ104" s="140"/>
      <c r="EDK104" s="140"/>
      <c r="EDL104" s="140"/>
      <c r="EDM104" s="141"/>
      <c r="EDN104" s="119"/>
      <c r="EDO104" s="128"/>
      <c r="EDP104" s="119"/>
      <c r="EDQ104" s="141"/>
      <c r="EDR104" s="141"/>
      <c r="EDS104" s="132"/>
      <c r="EDT104" s="121"/>
      <c r="EDU104" s="121"/>
      <c r="EDV104" s="121"/>
      <c r="EDW104" s="128"/>
      <c r="EDX104" s="128"/>
      <c r="EDY104" s="128"/>
      <c r="EDZ104" s="128"/>
      <c r="EEA104" s="121"/>
      <c r="EEB104" s="121"/>
      <c r="EEC104" s="121"/>
      <c r="EED104" s="132"/>
      <c r="EEE104" s="132"/>
      <c r="EEF104" s="129"/>
      <c r="EEG104" s="130"/>
      <c r="EEH104" s="121"/>
      <c r="EEI104" s="121"/>
      <c r="EEJ104" s="121"/>
      <c r="EEK104" s="130"/>
      <c r="EEL104" s="121"/>
      <c r="EEM104" s="130"/>
      <c r="EEN104" s="122"/>
      <c r="EEO104" s="121"/>
      <c r="EEP104" s="121"/>
      <c r="EEQ104" s="127"/>
      <c r="EER104" s="127"/>
      <c r="EES104" s="120"/>
      <c r="EET104" s="130"/>
      <c r="EEU104" s="130"/>
      <c r="EEV104" s="139"/>
      <c r="EEW104" s="130"/>
      <c r="EEX104" s="130"/>
      <c r="EEY104" s="130"/>
      <c r="EEZ104" s="130"/>
      <c r="EFA104" s="130"/>
      <c r="EFB104" s="140"/>
      <c r="EFC104" s="140"/>
      <c r="EFD104" s="140"/>
      <c r="EFE104" s="141"/>
      <c r="EFF104" s="119"/>
      <c r="EFG104" s="128"/>
      <c r="EFH104" s="119"/>
      <c r="EFI104" s="141"/>
      <c r="EFJ104" s="141"/>
      <c r="EFK104" s="132"/>
      <c r="EFL104" s="121"/>
      <c r="EFM104" s="121"/>
      <c r="EFN104" s="121"/>
      <c r="EFO104" s="128"/>
      <c r="EFP104" s="128"/>
      <c r="EFQ104" s="128"/>
      <c r="EFR104" s="128"/>
      <c r="EFS104" s="121"/>
      <c r="EFT104" s="121"/>
      <c r="EFU104" s="121"/>
      <c r="EFV104" s="132"/>
      <c r="EFW104" s="132"/>
      <c r="EFX104" s="129"/>
      <c r="EFY104" s="130"/>
      <c r="EFZ104" s="121"/>
      <c r="EGA104" s="121"/>
      <c r="EGB104" s="121"/>
      <c r="EGC104" s="130"/>
      <c r="EGD104" s="121"/>
      <c r="EGE104" s="130"/>
      <c r="EGF104" s="122"/>
      <c r="EGG104" s="121"/>
      <c r="EGH104" s="121"/>
      <c r="EGI104" s="127"/>
      <c r="EGJ104" s="127"/>
      <c r="EGK104" s="120"/>
      <c r="EGL104" s="130"/>
      <c r="EGM104" s="130"/>
      <c r="EGN104" s="139"/>
      <c r="EGO104" s="130"/>
      <c r="EGP104" s="130"/>
      <c r="EGQ104" s="130"/>
      <c r="EGR104" s="130"/>
      <c r="EGS104" s="130"/>
      <c r="EGT104" s="140"/>
      <c r="EGU104" s="140"/>
      <c r="EGV104" s="140"/>
      <c r="EGW104" s="141"/>
      <c r="EGX104" s="119"/>
      <c r="EGY104" s="128"/>
      <c r="EGZ104" s="119"/>
      <c r="EHA104" s="141"/>
      <c r="EHB104" s="141"/>
      <c r="EHC104" s="132"/>
      <c r="EHD104" s="121"/>
      <c r="EHE104" s="121"/>
      <c r="EHF104" s="121"/>
      <c r="EHG104" s="128"/>
      <c r="EHH104" s="128"/>
      <c r="EHI104" s="128"/>
      <c r="EHJ104" s="128"/>
      <c r="EHK104" s="121"/>
      <c r="EHL104" s="121"/>
      <c r="EHM104" s="121"/>
      <c r="EHN104" s="132"/>
      <c r="EHO104" s="132"/>
      <c r="EHP104" s="129"/>
      <c r="EHQ104" s="130"/>
      <c r="EHR104" s="121"/>
      <c r="EHS104" s="121"/>
      <c r="EHT104" s="121"/>
      <c r="EHU104" s="130"/>
      <c r="EHV104" s="121"/>
      <c r="EHW104" s="130"/>
      <c r="EHX104" s="122"/>
      <c r="EHY104" s="121"/>
      <c r="EHZ104" s="121"/>
      <c r="EIA104" s="127"/>
      <c r="EIB104" s="127"/>
      <c r="EIC104" s="120"/>
      <c r="EID104" s="130"/>
      <c r="EIE104" s="130"/>
      <c r="EIF104" s="139"/>
      <c r="EIG104" s="130"/>
      <c r="EIH104" s="130"/>
      <c r="EII104" s="130"/>
      <c r="EIJ104" s="130"/>
      <c r="EIK104" s="130"/>
      <c r="EIL104" s="140"/>
      <c r="EIM104" s="140"/>
      <c r="EIN104" s="140"/>
      <c r="EIO104" s="141"/>
      <c r="EIP104" s="119"/>
      <c r="EIQ104" s="128"/>
      <c r="EIR104" s="119"/>
      <c r="EIS104" s="141"/>
      <c r="EIT104" s="141"/>
      <c r="EIU104" s="132"/>
      <c r="EIV104" s="121"/>
      <c r="EIW104" s="121"/>
      <c r="EIX104" s="121"/>
      <c r="EIY104" s="128"/>
      <c r="EIZ104" s="128"/>
      <c r="EJA104" s="128"/>
      <c r="EJB104" s="128"/>
      <c r="EJC104" s="121"/>
      <c r="EJD104" s="121"/>
      <c r="EJE104" s="121"/>
      <c r="EJF104" s="132"/>
      <c r="EJG104" s="132"/>
      <c r="EJH104" s="129"/>
      <c r="EJI104" s="130"/>
      <c r="EJJ104" s="121"/>
      <c r="EJK104" s="121"/>
      <c r="EJL104" s="121"/>
      <c r="EJM104" s="130"/>
      <c r="EJN104" s="121"/>
      <c r="EJO104" s="130"/>
      <c r="EJP104" s="122"/>
      <c r="EJQ104" s="121"/>
      <c r="EJR104" s="121"/>
      <c r="EJS104" s="127"/>
      <c r="EJT104" s="127"/>
      <c r="EJU104" s="120"/>
      <c r="EJV104" s="130"/>
      <c r="EJW104" s="130"/>
      <c r="EJX104" s="139"/>
      <c r="EJY104" s="130"/>
      <c r="EJZ104" s="130"/>
      <c r="EKA104" s="130"/>
      <c r="EKB104" s="130"/>
      <c r="EKC104" s="130"/>
      <c r="EKD104" s="140"/>
      <c r="EKE104" s="140"/>
      <c r="EKF104" s="140"/>
      <c r="EKG104" s="141"/>
      <c r="EKH104" s="119"/>
      <c r="EKI104" s="128"/>
      <c r="EKJ104" s="119"/>
      <c r="EKK104" s="141"/>
      <c r="EKL104" s="141"/>
      <c r="EKM104" s="132"/>
      <c r="EKN104" s="121"/>
      <c r="EKO104" s="121"/>
      <c r="EKP104" s="121"/>
      <c r="EKQ104" s="128"/>
      <c r="EKR104" s="128"/>
      <c r="EKS104" s="128"/>
      <c r="EKT104" s="128"/>
      <c r="EKU104" s="121"/>
      <c r="EKV104" s="121"/>
      <c r="EKW104" s="121"/>
      <c r="EKX104" s="132"/>
      <c r="EKY104" s="132"/>
      <c r="EKZ104" s="129"/>
      <c r="ELA104" s="130"/>
      <c r="ELB104" s="121"/>
      <c r="ELC104" s="121"/>
      <c r="ELD104" s="121"/>
      <c r="ELE104" s="130"/>
      <c r="ELF104" s="121"/>
      <c r="ELG104" s="130"/>
      <c r="ELH104" s="122"/>
      <c r="ELI104" s="121"/>
      <c r="ELJ104" s="121"/>
      <c r="ELK104" s="127"/>
      <c r="ELL104" s="127"/>
      <c r="ELM104" s="120"/>
      <c r="ELN104" s="130"/>
      <c r="ELO104" s="130"/>
      <c r="ELP104" s="139"/>
      <c r="ELQ104" s="130"/>
      <c r="ELR104" s="130"/>
      <c r="ELS104" s="130"/>
      <c r="ELT104" s="130"/>
      <c r="ELU104" s="130"/>
      <c r="ELV104" s="140"/>
      <c r="ELW104" s="140"/>
      <c r="ELX104" s="140"/>
      <c r="ELY104" s="141"/>
      <c r="ELZ104" s="119"/>
      <c r="EMA104" s="128"/>
      <c r="EMB104" s="119"/>
      <c r="EMC104" s="141"/>
      <c r="EMD104" s="141"/>
      <c r="EME104" s="132"/>
      <c r="EMF104" s="121"/>
      <c r="EMG104" s="121"/>
      <c r="EMH104" s="121"/>
      <c r="EMI104" s="128"/>
      <c r="EMJ104" s="128"/>
      <c r="EMK104" s="128"/>
      <c r="EML104" s="128"/>
      <c r="EMM104" s="121"/>
      <c r="EMN104" s="121"/>
      <c r="EMO104" s="121"/>
      <c r="EMP104" s="132"/>
      <c r="EMQ104" s="132"/>
      <c r="EMR104" s="129"/>
      <c r="EMS104" s="130"/>
      <c r="EMT104" s="121"/>
      <c r="EMU104" s="121"/>
      <c r="EMV104" s="121"/>
      <c r="EMW104" s="130"/>
      <c r="EMX104" s="121"/>
      <c r="EMY104" s="130"/>
      <c r="EMZ104" s="122"/>
      <c r="ENA104" s="121"/>
      <c r="ENB104" s="121"/>
      <c r="ENC104" s="127"/>
      <c r="END104" s="127"/>
      <c r="ENE104" s="120"/>
      <c r="ENF104" s="130"/>
      <c r="ENG104" s="130"/>
      <c r="ENH104" s="139"/>
      <c r="ENI104" s="130"/>
      <c r="ENJ104" s="130"/>
      <c r="ENK104" s="130"/>
      <c r="ENL104" s="130"/>
      <c r="ENM104" s="130"/>
      <c r="ENN104" s="140"/>
      <c r="ENO104" s="140"/>
      <c r="ENP104" s="140"/>
      <c r="ENQ104" s="141"/>
      <c r="ENR104" s="119"/>
      <c r="ENS104" s="128"/>
      <c r="ENT104" s="119"/>
      <c r="ENU104" s="141"/>
      <c r="ENV104" s="141"/>
      <c r="ENW104" s="132"/>
      <c r="ENX104" s="121"/>
      <c r="ENY104" s="121"/>
      <c r="ENZ104" s="121"/>
      <c r="EOA104" s="128"/>
      <c r="EOB104" s="128"/>
      <c r="EOC104" s="128"/>
      <c r="EOD104" s="128"/>
      <c r="EOE104" s="121"/>
      <c r="EOF104" s="121"/>
      <c r="EOG104" s="121"/>
      <c r="EOH104" s="132"/>
      <c r="EOI104" s="132"/>
      <c r="EOJ104" s="129"/>
      <c r="EOK104" s="130"/>
      <c r="EOL104" s="121"/>
      <c r="EOM104" s="121"/>
      <c r="EON104" s="121"/>
      <c r="EOO104" s="130"/>
      <c r="EOP104" s="121"/>
      <c r="EOQ104" s="130"/>
      <c r="EOR104" s="122"/>
      <c r="EOS104" s="121"/>
      <c r="EOT104" s="121"/>
      <c r="EOU104" s="127"/>
      <c r="EOV104" s="127"/>
      <c r="EOW104" s="120"/>
      <c r="EOX104" s="130"/>
      <c r="EOY104" s="130"/>
      <c r="EOZ104" s="139"/>
      <c r="EPA104" s="130"/>
      <c r="EPB104" s="130"/>
      <c r="EPC104" s="130"/>
      <c r="EPD104" s="130"/>
      <c r="EPE104" s="130"/>
      <c r="EPF104" s="140"/>
      <c r="EPG104" s="140"/>
      <c r="EPH104" s="140"/>
      <c r="EPI104" s="141"/>
      <c r="EPJ104" s="119"/>
      <c r="EPK104" s="128"/>
      <c r="EPL104" s="119"/>
      <c r="EPM104" s="141"/>
      <c r="EPN104" s="141"/>
      <c r="EPO104" s="132"/>
      <c r="EPP104" s="121"/>
      <c r="EPQ104" s="121"/>
      <c r="EPR104" s="121"/>
      <c r="EPS104" s="128"/>
      <c r="EPT104" s="128"/>
      <c r="EPU104" s="128"/>
      <c r="EPV104" s="128"/>
      <c r="EPW104" s="121"/>
      <c r="EPX104" s="121"/>
      <c r="EPY104" s="121"/>
      <c r="EPZ104" s="132"/>
      <c r="EQA104" s="132"/>
      <c r="EQB104" s="129"/>
      <c r="EQC104" s="130"/>
      <c r="EQD104" s="121"/>
      <c r="EQE104" s="121"/>
      <c r="EQF104" s="121"/>
      <c r="EQG104" s="130"/>
      <c r="EQH104" s="121"/>
      <c r="EQI104" s="130"/>
      <c r="EQJ104" s="122"/>
      <c r="EQK104" s="121"/>
      <c r="EQL104" s="121"/>
      <c r="EQM104" s="127"/>
      <c r="EQN104" s="127"/>
      <c r="EQO104" s="120"/>
      <c r="EQP104" s="130"/>
      <c r="EQQ104" s="130"/>
      <c r="EQR104" s="139"/>
      <c r="EQS104" s="130"/>
      <c r="EQT104" s="130"/>
      <c r="EQU104" s="130"/>
      <c r="EQV104" s="130"/>
      <c r="EQW104" s="130"/>
      <c r="EQX104" s="140"/>
      <c r="EQY104" s="140"/>
      <c r="EQZ104" s="140"/>
      <c r="ERA104" s="141"/>
      <c r="ERB104" s="119"/>
      <c r="ERC104" s="128"/>
      <c r="ERD104" s="119"/>
      <c r="ERE104" s="141"/>
      <c r="ERF104" s="141"/>
      <c r="ERG104" s="132"/>
      <c r="ERH104" s="121"/>
      <c r="ERI104" s="121"/>
      <c r="ERJ104" s="121"/>
      <c r="ERK104" s="128"/>
      <c r="ERL104" s="128"/>
      <c r="ERM104" s="128"/>
      <c r="ERN104" s="128"/>
      <c r="ERO104" s="121"/>
      <c r="ERP104" s="121"/>
      <c r="ERQ104" s="121"/>
      <c r="ERR104" s="132"/>
      <c r="ERS104" s="132"/>
      <c r="ERT104" s="129"/>
      <c r="ERU104" s="130"/>
      <c r="ERV104" s="121"/>
      <c r="ERW104" s="121"/>
      <c r="ERX104" s="121"/>
      <c r="ERY104" s="130"/>
      <c r="ERZ104" s="121"/>
      <c r="ESA104" s="130"/>
      <c r="ESB104" s="122"/>
      <c r="ESC104" s="121"/>
      <c r="ESD104" s="121"/>
      <c r="ESE104" s="127"/>
      <c r="ESF104" s="127"/>
      <c r="ESG104" s="120"/>
      <c r="ESH104" s="130"/>
      <c r="ESI104" s="130"/>
      <c r="ESJ104" s="139"/>
      <c r="ESK104" s="130"/>
      <c r="ESL104" s="130"/>
      <c r="ESM104" s="130"/>
      <c r="ESN104" s="130"/>
      <c r="ESO104" s="130"/>
      <c r="ESP104" s="140"/>
      <c r="ESQ104" s="140"/>
      <c r="ESR104" s="140"/>
      <c r="ESS104" s="141"/>
      <c r="EST104" s="119"/>
      <c r="ESU104" s="128"/>
      <c r="ESV104" s="119"/>
      <c r="ESW104" s="141"/>
      <c r="ESX104" s="141"/>
      <c r="ESY104" s="132"/>
      <c r="ESZ104" s="121"/>
      <c r="ETA104" s="121"/>
      <c r="ETB104" s="121"/>
      <c r="ETC104" s="128"/>
      <c r="ETD104" s="128"/>
      <c r="ETE104" s="128"/>
      <c r="ETF104" s="128"/>
      <c r="ETG104" s="121"/>
      <c r="ETH104" s="121"/>
      <c r="ETI104" s="121"/>
      <c r="ETJ104" s="132"/>
      <c r="ETK104" s="132"/>
      <c r="ETL104" s="129"/>
      <c r="ETM104" s="130"/>
      <c r="ETN104" s="121"/>
      <c r="ETO104" s="121"/>
      <c r="ETP104" s="121"/>
      <c r="ETQ104" s="130"/>
      <c r="ETR104" s="121"/>
      <c r="ETS104" s="130"/>
      <c r="ETT104" s="122"/>
      <c r="ETU104" s="121"/>
      <c r="ETV104" s="121"/>
      <c r="ETW104" s="127"/>
      <c r="ETX104" s="127"/>
      <c r="ETY104" s="120"/>
      <c r="ETZ104" s="130"/>
      <c r="EUA104" s="130"/>
      <c r="EUB104" s="139"/>
      <c r="EUC104" s="130"/>
      <c r="EUD104" s="130"/>
      <c r="EUE104" s="130"/>
      <c r="EUF104" s="130"/>
      <c r="EUG104" s="130"/>
      <c r="EUH104" s="140"/>
      <c r="EUI104" s="140"/>
      <c r="EUJ104" s="140"/>
      <c r="EUK104" s="141"/>
      <c r="EUL104" s="119"/>
      <c r="EUM104" s="128"/>
      <c r="EUN104" s="119"/>
      <c r="EUO104" s="141"/>
      <c r="EUP104" s="141"/>
      <c r="EUQ104" s="132"/>
      <c r="EUR104" s="121"/>
      <c r="EUS104" s="121"/>
      <c r="EUT104" s="121"/>
      <c r="EUU104" s="128"/>
      <c r="EUV104" s="128"/>
      <c r="EUW104" s="128"/>
      <c r="EUX104" s="128"/>
      <c r="EUY104" s="121"/>
      <c r="EUZ104" s="121"/>
      <c r="EVA104" s="121"/>
      <c r="EVB104" s="132"/>
      <c r="EVC104" s="132"/>
      <c r="EVD104" s="129"/>
      <c r="EVE104" s="130"/>
      <c r="EVF104" s="121"/>
      <c r="EVG104" s="121"/>
      <c r="EVH104" s="121"/>
      <c r="EVI104" s="130"/>
      <c r="EVJ104" s="121"/>
      <c r="EVK104" s="130"/>
      <c r="EVL104" s="122"/>
      <c r="EVM104" s="121"/>
      <c r="EVN104" s="121"/>
      <c r="EVO104" s="127"/>
      <c r="EVP104" s="127"/>
      <c r="EVQ104" s="120"/>
      <c r="EVR104" s="130"/>
      <c r="EVS104" s="130"/>
      <c r="EVT104" s="139"/>
      <c r="EVU104" s="130"/>
      <c r="EVV104" s="130"/>
      <c r="EVW104" s="130"/>
      <c r="EVX104" s="130"/>
      <c r="EVY104" s="130"/>
      <c r="EVZ104" s="140"/>
      <c r="EWA104" s="140"/>
      <c r="EWB104" s="140"/>
      <c r="EWC104" s="141"/>
      <c r="EWD104" s="119"/>
      <c r="EWE104" s="128"/>
      <c r="EWF104" s="119"/>
      <c r="EWG104" s="141"/>
      <c r="EWH104" s="141"/>
      <c r="EWI104" s="132"/>
      <c r="EWJ104" s="121"/>
      <c r="EWK104" s="121"/>
      <c r="EWL104" s="121"/>
      <c r="EWM104" s="128"/>
      <c r="EWN104" s="128"/>
      <c r="EWO104" s="128"/>
      <c r="EWP104" s="128"/>
      <c r="EWQ104" s="121"/>
      <c r="EWR104" s="121"/>
      <c r="EWS104" s="121"/>
      <c r="EWT104" s="132"/>
      <c r="EWU104" s="132"/>
      <c r="EWV104" s="129"/>
      <c r="EWW104" s="130"/>
      <c r="EWX104" s="121"/>
      <c r="EWY104" s="121"/>
      <c r="EWZ104" s="121"/>
      <c r="EXA104" s="130"/>
      <c r="EXB104" s="121"/>
      <c r="EXC104" s="130"/>
      <c r="EXD104" s="122"/>
      <c r="EXE104" s="121"/>
      <c r="EXF104" s="121"/>
      <c r="EXG104" s="127"/>
      <c r="EXH104" s="127"/>
      <c r="EXI104" s="120"/>
      <c r="EXJ104" s="130"/>
      <c r="EXK104" s="130"/>
      <c r="EXL104" s="139"/>
      <c r="EXM104" s="130"/>
      <c r="EXN104" s="130"/>
      <c r="EXO104" s="130"/>
      <c r="EXP104" s="130"/>
      <c r="EXQ104" s="130"/>
      <c r="EXR104" s="140"/>
      <c r="EXS104" s="140"/>
      <c r="EXT104" s="140"/>
      <c r="EXU104" s="141"/>
      <c r="EXV104" s="119"/>
      <c r="EXW104" s="128"/>
      <c r="EXX104" s="119"/>
      <c r="EXY104" s="141"/>
      <c r="EXZ104" s="141"/>
      <c r="EYA104" s="132"/>
      <c r="EYB104" s="121"/>
      <c r="EYC104" s="121"/>
      <c r="EYD104" s="121"/>
      <c r="EYE104" s="128"/>
      <c r="EYF104" s="128"/>
      <c r="EYG104" s="128"/>
      <c r="EYH104" s="128"/>
      <c r="EYI104" s="121"/>
      <c r="EYJ104" s="121"/>
      <c r="EYK104" s="121"/>
      <c r="EYL104" s="132"/>
      <c r="EYM104" s="132"/>
      <c r="EYN104" s="129"/>
      <c r="EYO104" s="130"/>
      <c r="EYP104" s="121"/>
      <c r="EYQ104" s="121"/>
      <c r="EYR104" s="121"/>
      <c r="EYS104" s="130"/>
      <c r="EYT104" s="121"/>
      <c r="EYU104" s="130"/>
      <c r="EYV104" s="122"/>
      <c r="EYW104" s="121"/>
      <c r="EYX104" s="121"/>
      <c r="EYY104" s="127"/>
      <c r="EYZ104" s="127"/>
      <c r="EZA104" s="120"/>
      <c r="EZB104" s="130"/>
      <c r="EZC104" s="130"/>
      <c r="EZD104" s="139"/>
      <c r="EZE104" s="130"/>
      <c r="EZF104" s="130"/>
      <c r="EZG104" s="130"/>
      <c r="EZH104" s="130"/>
      <c r="EZI104" s="130"/>
      <c r="EZJ104" s="140"/>
      <c r="EZK104" s="140"/>
      <c r="EZL104" s="140"/>
      <c r="EZM104" s="141"/>
      <c r="EZN104" s="119"/>
      <c r="EZO104" s="128"/>
      <c r="EZP104" s="119"/>
      <c r="EZQ104" s="141"/>
      <c r="EZR104" s="141"/>
      <c r="EZS104" s="132"/>
      <c r="EZT104" s="121"/>
      <c r="EZU104" s="121"/>
      <c r="EZV104" s="121"/>
      <c r="EZW104" s="128"/>
      <c r="EZX104" s="128"/>
      <c r="EZY104" s="128"/>
      <c r="EZZ104" s="128"/>
      <c r="FAA104" s="121"/>
      <c r="FAB104" s="121"/>
      <c r="FAC104" s="121"/>
      <c r="FAD104" s="132"/>
      <c r="FAE104" s="132"/>
      <c r="FAF104" s="129"/>
      <c r="FAG104" s="130"/>
      <c r="FAH104" s="121"/>
      <c r="FAI104" s="121"/>
      <c r="FAJ104" s="121"/>
      <c r="FAK104" s="130"/>
      <c r="FAL104" s="121"/>
      <c r="FAM104" s="130"/>
      <c r="FAN104" s="122"/>
      <c r="FAO104" s="121"/>
      <c r="FAP104" s="121"/>
      <c r="FAQ104" s="127"/>
      <c r="FAR104" s="127"/>
      <c r="FAS104" s="120"/>
      <c r="FAT104" s="130"/>
      <c r="FAU104" s="130"/>
      <c r="FAV104" s="139"/>
      <c r="FAW104" s="130"/>
      <c r="FAX104" s="130"/>
      <c r="FAY104" s="130"/>
      <c r="FAZ104" s="130"/>
      <c r="FBA104" s="130"/>
      <c r="FBB104" s="140"/>
      <c r="FBC104" s="140"/>
      <c r="FBD104" s="140"/>
      <c r="FBE104" s="141"/>
      <c r="FBF104" s="119"/>
      <c r="FBG104" s="128"/>
      <c r="FBH104" s="119"/>
      <c r="FBI104" s="141"/>
      <c r="FBJ104" s="141"/>
      <c r="FBK104" s="132"/>
      <c r="FBL104" s="121"/>
      <c r="FBM104" s="121"/>
      <c r="FBN104" s="121"/>
      <c r="FBO104" s="128"/>
      <c r="FBP104" s="128"/>
      <c r="FBQ104" s="128"/>
      <c r="FBR104" s="128"/>
      <c r="FBS104" s="121"/>
      <c r="FBT104" s="121"/>
      <c r="FBU104" s="121"/>
      <c r="FBV104" s="132"/>
      <c r="FBW104" s="132"/>
      <c r="FBX104" s="129"/>
      <c r="FBY104" s="130"/>
      <c r="FBZ104" s="121"/>
      <c r="FCA104" s="121"/>
      <c r="FCB104" s="121"/>
      <c r="FCC104" s="130"/>
      <c r="FCD104" s="121"/>
      <c r="FCE104" s="130"/>
      <c r="FCF104" s="122"/>
      <c r="FCG104" s="121"/>
      <c r="FCH104" s="121"/>
      <c r="FCI104" s="127"/>
      <c r="FCJ104" s="127"/>
      <c r="FCK104" s="120"/>
      <c r="FCL104" s="130"/>
      <c r="FCM104" s="130"/>
      <c r="FCN104" s="139"/>
      <c r="FCO104" s="130"/>
      <c r="FCP104" s="130"/>
      <c r="FCQ104" s="130"/>
      <c r="FCR104" s="130"/>
      <c r="FCS104" s="130"/>
      <c r="FCT104" s="140"/>
      <c r="FCU104" s="140"/>
      <c r="FCV104" s="140"/>
      <c r="FCW104" s="141"/>
      <c r="FCX104" s="119"/>
      <c r="FCY104" s="128"/>
      <c r="FCZ104" s="119"/>
      <c r="FDA104" s="141"/>
      <c r="FDB104" s="141"/>
      <c r="FDC104" s="132"/>
      <c r="FDD104" s="121"/>
      <c r="FDE104" s="121"/>
      <c r="FDF104" s="121"/>
      <c r="FDG104" s="128"/>
      <c r="FDH104" s="128"/>
      <c r="FDI104" s="128"/>
      <c r="FDJ104" s="128"/>
      <c r="FDK104" s="121"/>
      <c r="FDL104" s="121"/>
      <c r="FDM104" s="121"/>
      <c r="FDN104" s="132"/>
      <c r="FDO104" s="132"/>
      <c r="FDP104" s="129"/>
      <c r="FDQ104" s="130"/>
      <c r="FDR104" s="121"/>
      <c r="FDS104" s="121"/>
      <c r="FDT104" s="121"/>
      <c r="FDU104" s="130"/>
      <c r="FDV104" s="121"/>
      <c r="FDW104" s="130"/>
      <c r="FDX104" s="122"/>
      <c r="FDY104" s="121"/>
      <c r="FDZ104" s="121"/>
      <c r="FEA104" s="127"/>
      <c r="FEB104" s="127"/>
      <c r="FEC104" s="120"/>
      <c r="FED104" s="130"/>
      <c r="FEE104" s="130"/>
      <c r="FEF104" s="139"/>
      <c r="FEG104" s="130"/>
      <c r="FEH104" s="130"/>
      <c r="FEI104" s="130"/>
      <c r="FEJ104" s="130"/>
      <c r="FEK104" s="130"/>
      <c r="FEL104" s="140"/>
      <c r="FEM104" s="140"/>
      <c r="FEN104" s="140"/>
      <c r="FEO104" s="141"/>
      <c r="FEP104" s="119"/>
      <c r="FEQ104" s="128"/>
      <c r="FER104" s="119"/>
      <c r="FES104" s="141"/>
      <c r="FET104" s="141"/>
      <c r="FEU104" s="132"/>
      <c r="FEV104" s="121"/>
      <c r="FEW104" s="121"/>
      <c r="FEX104" s="121"/>
      <c r="FEY104" s="128"/>
      <c r="FEZ104" s="128"/>
      <c r="FFA104" s="128"/>
      <c r="FFB104" s="128"/>
      <c r="FFC104" s="121"/>
      <c r="FFD104" s="121"/>
      <c r="FFE104" s="121"/>
      <c r="FFF104" s="132"/>
      <c r="FFG104" s="132"/>
      <c r="FFH104" s="129"/>
      <c r="FFI104" s="130"/>
      <c r="FFJ104" s="121"/>
      <c r="FFK104" s="121"/>
      <c r="FFL104" s="121"/>
      <c r="FFM104" s="130"/>
      <c r="FFN104" s="121"/>
      <c r="FFO104" s="130"/>
      <c r="FFP104" s="122"/>
      <c r="FFQ104" s="121"/>
      <c r="FFR104" s="121"/>
      <c r="FFS104" s="127"/>
      <c r="FFT104" s="127"/>
      <c r="FFU104" s="120"/>
      <c r="FFV104" s="130"/>
      <c r="FFW104" s="130"/>
      <c r="FFX104" s="139"/>
      <c r="FFY104" s="130"/>
      <c r="FFZ104" s="130"/>
      <c r="FGA104" s="130"/>
      <c r="FGB104" s="130"/>
      <c r="FGC104" s="130"/>
      <c r="FGD104" s="140"/>
      <c r="FGE104" s="140"/>
      <c r="FGF104" s="140"/>
      <c r="FGG104" s="141"/>
      <c r="FGH104" s="119"/>
      <c r="FGI104" s="128"/>
      <c r="FGJ104" s="119"/>
      <c r="FGK104" s="141"/>
      <c r="FGL104" s="141"/>
      <c r="FGM104" s="132"/>
      <c r="FGN104" s="121"/>
      <c r="FGO104" s="121"/>
      <c r="FGP104" s="121"/>
      <c r="FGQ104" s="128"/>
      <c r="FGR104" s="128"/>
      <c r="FGS104" s="128"/>
      <c r="FGT104" s="128"/>
      <c r="FGU104" s="121"/>
      <c r="FGV104" s="121"/>
      <c r="FGW104" s="121"/>
      <c r="FGX104" s="132"/>
      <c r="FGY104" s="132"/>
      <c r="FGZ104" s="129"/>
      <c r="FHA104" s="130"/>
      <c r="FHB104" s="121"/>
      <c r="FHC104" s="121"/>
      <c r="FHD104" s="121"/>
      <c r="FHE104" s="130"/>
      <c r="FHF104" s="121"/>
      <c r="FHG104" s="130"/>
      <c r="FHH104" s="122"/>
      <c r="FHI104" s="121"/>
      <c r="FHJ104" s="121"/>
      <c r="FHK104" s="127"/>
      <c r="FHL104" s="127"/>
      <c r="FHM104" s="120"/>
      <c r="FHN104" s="130"/>
      <c r="FHO104" s="130"/>
      <c r="FHP104" s="139"/>
      <c r="FHQ104" s="130"/>
      <c r="FHR104" s="130"/>
      <c r="FHS104" s="130"/>
      <c r="FHT104" s="130"/>
      <c r="FHU104" s="130"/>
      <c r="FHV104" s="140"/>
      <c r="FHW104" s="140"/>
      <c r="FHX104" s="140"/>
      <c r="FHY104" s="141"/>
      <c r="FHZ104" s="119"/>
      <c r="FIA104" s="128"/>
      <c r="FIB104" s="119"/>
      <c r="FIC104" s="141"/>
      <c r="FID104" s="141"/>
      <c r="FIE104" s="132"/>
      <c r="FIF104" s="121"/>
      <c r="FIG104" s="121"/>
      <c r="FIH104" s="121"/>
      <c r="FII104" s="128"/>
      <c r="FIJ104" s="128"/>
      <c r="FIK104" s="128"/>
      <c r="FIL104" s="128"/>
      <c r="FIM104" s="121"/>
      <c r="FIN104" s="121"/>
      <c r="FIO104" s="121"/>
      <c r="FIP104" s="132"/>
      <c r="FIQ104" s="132"/>
      <c r="FIR104" s="129"/>
      <c r="FIS104" s="130"/>
      <c r="FIT104" s="121"/>
      <c r="FIU104" s="121"/>
      <c r="FIV104" s="121"/>
      <c r="FIW104" s="130"/>
      <c r="FIX104" s="121"/>
      <c r="FIY104" s="130"/>
      <c r="FIZ104" s="122"/>
      <c r="FJA104" s="121"/>
      <c r="FJB104" s="121"/>
      <c r="FJC104" s="127"/>
      <c r="FJD104" s="127"/>
      <c r="FJE104" s="120"/>
      <c r="FJF104" s="130"/>
      <c r="FJG104" s="130"/>
      <c r="FJH104" s="139"/>
      <c r="FJI104" s="130"/>
      <c r="FJJ104" s="130"/>
      <c r="FJK104" s="130"/>
      <c r="FJL104" s="130"/>
      <c r="FJM104" s="130"/>
      <c r="FJN104" s="140"/>
      <c r="FJO104" s="140"/>
      <c r="FJP104" s="140"/>
      <c r="FJQ104" s="141"/>
      <c r="FJR104" s="119"/>
      <c r="FJS104" s="128"/>
      <c r="FJT104" s="119"/>
      <c r="FJU104" s="141"/>
      <c r="FJV104" s="141"/>
      <c r="FJW104" s="132"/>
      <c r="FJX104" s="121"/>
      <c r="FJY104" s="121"/>
      <c r="FJZ104" s="121"/>
      <c r="FKA104" s="128"/>
      <c r="FKB104" s="128"/>
      <c r="FKC104" s="128"/>
      <c r="FKD104" s="128"/>
      <c r="FKE104" s="121"/>
      <c r="FKF104" s="121"/>
      <c r="FKG104" s="121"/>
      <c r="FKH104" s="132"/>
      <c r="FKI104" s="132"/>
      <c r="FKJ104" s="129"/>
      <c r="FKK104" s="130"/>
      <c r="FKL104" s="121"/>
      <c r="FKM104" s="121"/>
      <c r="FKN104" s="121"/>
      <c r="FKO104" s="130"/>
      <c r="FKP104" s="121"/>
      <c r="FKQ104" s="130"/>
      <c r="FKR104" s="122"/>
      <c r="FKS104" s="121"/>
      <c r="FKT104" s="121"/>
      <c r="FKU104" s="127"/>
      <c r="FKV104" s="127"/>
      <c r="FKW104" s="120"/>
      <c r="FKX104" s="130"/>
      <c r="FKY104" s="130"/>
      <c r="FKZ104" s="139"/>
      <c r="FLA104" s="130"/>
      <c r="FLB104" s="130"/>
      <c r="FLC104" s="130"/>
      <c r="FLD104" s="130"/>
      <c r="FLE104" s="130"/>
      <c r="FLF104" s="140"/>
      <c r="FLG104" s="140"/>
      <c r="FLH104" s="140"/>
      <c r="FLI104" s="141"/>
      <c r="FLJ104" s="119"/>
      <c r="FLK104" s="128"/>
      <c r="FLL104" s="119"/>
      <c r="FLM104" s="141"/>
      <c r="FLN104" s="141"/>
      <c r="FLO104" s="132"/>
      <c r="FLP104" s="121"/>
      <c r="FLQ104" s="121"/>
      <c r="FLR104" s="121"/>
      <c r="FLS104" s="128"/>
      <c r="FLT104" s="128"/>
      <c r="FLU104" s="128"/>
      <c r="FLV104" s="128"/>
      <c r="FLW104" s="121"/>
      <c r="FLX104" s="121"/>
      <c r="FLY104" s="121"/>
      <c r="FLZ104" s="132"/>
      <c r="FMA104" s="132"/>
      <c r="FMB104" s="129"/>
      <c r="FMC104" s="130"/>
      <c r="FMD104" s="121"/>
      <c r="FME104" s="121"/>
      <c r="FMF104" s="121"/>
      <c r="FMG104" s="130"/>
      <c r="FMH104" s="121"/>
      <c r="FMI104" s="130"/>
      <c r="FMJ104" s="122"/>
      <c r="FMK104" s="121"/>
      <c r="FML104" s="121"/>
      <c r="FMM104" s="127"/>
      <c r="FMN104" s="127"/>
      <c r="FMO104" s="120"/>
      <c r="FMP104" s="130"/>
      <c r="FMQ104" s="130"/>
      <c r="FMR104" s="139"/>
      <c r="FMS104" s="130"/>
      <c r="FMT104" s="130"/>
      <c r="FMU104" s="130"/>
      <c r="FMV104" s="130"/>
      <c r="FMW104" s="130"/>
      <c r="FMX104" s="140"/>
      <c r="FMY104" s="140"/>
      <c r="FMZ104" s="140"/>
      <c r="FNA104" s="141"/>
      <c r="FNB104" s="119"/>
      <c r="FNC104" s="128"/>
      <c r="FND104" s="119"/>
      <c r="FNE104" s="141"/>
      <c r="FNF104" s="141"/>
      <c r="FNG104" s="132"/>
      <c r="FNH104" s="121"/>
      <c r="FNI104" s="121"/>
      <c r="FNJ104" s="121"/>
      <c r="FNK104" s="128"/>
      <c r="FNL104" s="128"/>
      <c r="FNM104" s="128"/>
      <c r="FNN104" s="128"/>
      <c r="FNO104" s="121"/>
      <c r="FNP104" s="121"/>
      <c r="FNQ104" s="121"/>
      <c r="FNR104" s="132"/>
      <c r="FNS104" s="132"/>
      <c r="FNT104" s="129"/>
      <c r="FNU104" s="130"/>
      <c r="FNV104" s="121"/>
      <c r="FNW104" s="121"/>
      <c r="FNX104" s="121"/>
      <c r="FNY104" s="130"/>
      <c r="FNZ104" s="121"/>
      <c r="FOA104" s="130"/>
      <c r="FOB104" s="122"/>
      <c r="FOC104" s="121"/>
      <c r="FOD104" s="121"/>
      <c r="FOE104" s="127"/>
      <c r="FOF104" s="127"/>
      <c r="FOG104" s="120"/>
      <c r="FOH104" s="130"/>
      <c r="FOI104" s="130"/>
      <c r="FOJ104" s="139"/>
      <c r="FOK104" s="130"/>
      <c r="FOL104" s="130"/>
      <c r="FOM104" s="130"/>
      <c r="FON104" s="130"/>
      <c r="FOO104" s="130"/>
      <c r="FOP104" s="140"/>
      <c r="FOQ104" s="140"/>
      <c r="FOR104" s="140"/>
      <c r="FOS104" s="141"/>
      <c r="FOT104" s="119"/>
      <c r="FOU104" s="128"/>
      <c r="FOV104" s="119"/>
      <c r="FOW104" s="141"/>
      <c r="FOX104" s="141"/>
      <c r="FOY104" s="132"/>
      <c r="FOZ104" s="121"/>
      <c r="FPA104" s="121"/>
      <c r="FPB104" s="121"/>
      <c r="FPC104" s="128"/>
      <c r="FPD104" s="128"/>
      <c r="FPE104" s="128"/>
      <c r="FPF104" s="128"/>
      <c r="FPG104" s="121"/>
      <c r="FPH104" s="121"/>
      <c r="FPI104" s="121"/>
      <c r="FPJ104" s="132"/>
      <c r="FPK104" s="132"/>
      <c r="FPL104" s="129"/>
      <c r="FPM104" s="130"/>
      <c r="FPN104" s="121"/>
      <c r="FPO104" s="121"/>
      <c r="FPP104" s="121"/>
      <c r="FPQ104" s="130"/>
      <c r="FPR104" s="121"/>
      <c r="FPS104" s="130"/>
      <c r="FPT104" s="122"/>
      <c r="FPU104" s="121"/>
      <c r="FPV104" s="121"/>
      <c r="FPW104" s="127"/>
      <c r="FPX104" s="127"/>
      <c r="FPY104" s="120"/>
      <c r="FPZ104" s="130"/>
      <c r="FQA104" s="130"/>
      <c r="FQB104" s="139"/>
      <c r="FQC104" s="130"/>
      <c r="FQD104" s="130"/>
      <c r="FQE104" s="130"/>
      <c r="FQF104" s="130"/>
      <c r="FQG104" s="130"/>
      <c r="FQH104" s="140"/>
      <c r="FQI104" s="140"/>
      <c r="FQJ104" s="140"/>
      <c r="FQK104" s="141"/>
      <c r="FQL104" s="119"/>
      <c r="FQM104" s="128"/>
      <c r="FQN104" s="119"/>
      <c r="FQO104" s="141"/>
      <c r="FQP104" s="141"/>
      <c r="FQQ104" s="132"/>
      <c r="FQR104" s="121"/>
      <c r="FQS104" s="121"/>
      <c r="FQT104" s="121"/>
      <c r="FQU104" s="128"/>
      <c r="FQV104" s="128"/>
      <c r="FQW104" s="128"/>
      <c r="FQX104" s="128"/>
      <c r="FQY104" s="121"/>
      <c r="FQZ104" s="121"/>
      <c r="FRA104" s="121"/>
      <c r="FRB104" s="132"/>
      <c r="FRC104" s="132"/>
      <c r="FRD104" s="129"/>
      <c r="FRE104" s="130"/>
      <c r="FRF104" s="121"/>
      <c r="FRG104" s="121"/>
      <c r="FRH104" s="121"/>
      <c r="FRI104" s="130"/>
      <c r="FRJ104" s="121"/>
      <c r="FRK104" s="130"/>
      <c r="FRL104" s="122"/>
      <c r="FRM104" s="121"/>
      <c r="FRN104" s="121"/>
      <c r="FRO104" s="127"/>
      <c r="FRP104" s="127"/>
      <c r="FRQ104" s="120"/>
      <c r="FRR104" s="130"/>
      <c r="FRS104" s="130"/>
      <c r="FRT104" s="139"/>
      <c r="FRU104" s="130"/>
      <c r="FRV104" s="130"/>
      <c r="FRW104" s="130"/>
      <c r="FRX104" s="130"/>
      <c r="FRY104" s="130"/>
      <c r="FRZ104" s="140"/>
      <c r="FSA104" s="140"/>
      <c r="FSB104" s="140"/>
      <c r="FSC104" s="141"/>
      <c r="FSD104" s="119"/>
      <c r="FSE104" s="128"/>
      <c r="FSF104" s="119"/>
      <c r="FSG104" s="141"/>
      <c r="FSH104" s="141"/>
      <c r="FSI104" s="132"/>
      <c r="FSJ104" s="121"/>
      <c r="FSK104" s="121"/>
      <c r="FSL104" s="121"/>
      <c r="FSM104" s="128"/>
      <c r="FSN104" s="128"/>
      <c r="FSO104" s="128"/>
      <c r="FSP104" s="128"/>
      <c r="FSQ104" s="121"/>
      <c r="FSR104" s="121"/>
      <c r="FSS104" s="121"/>
      <c r="FST104" s="132"/>
      <c r="FSU104" s="132"/>
      <c r="FSV104" s="129"/>
      <c r="FSW104" s="130"/>
      <c r="FSX104" s="121"/>
      <c r="FSY104" s="121"/>
      <c r="FSZ104" s="121"/>
      <c r="FTA104" s="130"/>
      <c r="FTB104" s="121"/>
      <c r="FTC104" s="130"/>
      <c r="FTD104" s="122"/>
      <c r="FTE104" s="121"/>
      <c r="FTF104" s="121"/>
      <c r="FTG104" s="127"/>
      <c r="FTH104" s="127"/>
      <c r="FTI104" s="120"/>
      <c r="FTJ104" s="130"/>
      <c r="FTK104" s="130"/>
      <c r="FTL104" s="139"/>
      <c r="FTM104" s="130"/>
      <c r="FTN104" s="130"/>
      <c r="FTO104" s="130"/>
      <c r="FTP104" s="130"/>
      <c r="FTQ104" s="130"/>
      <c r="FTR104" s="140"/>
      <c r="FTS104" s="140"/>
      <c r="FTT104" s="140"/>
      <c r="FTU104" s="141"/>
      <c r="FTV104" s="119"/>
      <c r="FTW104" s="128"/>
      <c r="FTX104" s="119"/>
      <c r="FTY104" s="141"/>
      <c r="FTZ104" s="141"/>
      <c r="FUA104" s="132"/>
      <c r="FUB104" s="121"/>
      <c r="FUC104" s="121"/>
      <c r="FUD104" s="121"/>
      <c r="FUE104" s="128"/>
      <c r="FUF104" s="128"/>
      <c r="FUG104" s="128"/>
      <c r="FUH104" s="128"/>
      <c r="FUI104" s="121"/>
      <c r="FUJ104" s="121"/>
      <c r="FUK104" s="121"/>
      <c r="FUL104" s="132"/>
      <c r="FUM104" s="132"/>
      <c r="FUN104" s="129"/>
      <c r="FUO104" s="130"/>
      <c r="FUP104" s="121"/>
      <c r="FUQ104" s="121"/>
      <c r="FUR104" s="121"/>
      <c r="FUS104" s="130"/>
      <c r="FUT104" s="121"/>
      <c r="FUU104" s="130"/>
      <c r="FUV104" s="122"/>
      <c r="FUW104" s="121"/>
      <c r="FUX104" s="121"/>
      <c r="FUY104" s="127"/>
      <c r="FUZ104" s="127"/>
      <c r="FVA104" s="120"/>
      <c r="FVB104" s="130"/>
      <c r="FVC104" s="130"/>
      <c r="FVD104" s="139"/>
      <c r="FVE104" s="130"/>
      <c r="FVF104" s="130"/>
      <c r="FVG104" s="130"/>
      <c r="FVH104" s="130"/>
      <c r="FVI104" s="130"/>
      <c r="FVJ104" s="140"/>
      <c r="FVK104" s="140"/>
      <c r="FVL104" s="140"/>
      <c r="FVM104" s="141"/>
      <c r="FVN104" s="119"/>
      <c r="FVO104" s="128"/>
      <c r="FVP104" s="119"/>
      <c r="FVQ104" s="141"/>
      <c r="FVR104" s="141"/>
      <c r="FVS104" s="132"/>
      <c r="FVT104" s="121"/>
      <c r="FVU104" s="121"/>
      <c r="FVV104" s="121"/>
      <c r="FVW104" s="128"/>
      <c r="FVX104" s="128"/>
      <c r="FVY104" s="128"/>
      <c r="FVZ104" s="128"/>
      <c r="FWA104" s="121"/>
      <c r="FWB104" s="121"/>
      <c r="FWC104" s="121"/>
      <c r="FWD104" s="132"/>
      <c r="FWE104" s="132"/>
      <c r="FWF104" s="129"/>
      <c r="FWG104" s="130"/>
      <c r="FWH104" s="121"/>
      <c r="FWI104" s="121"/>
      <c r="FWJ104" s="121"/>
      <c r="FWK104" s="130"/>
      <c r="FWL104" s="121"/>
      <c r="FWM104" s="130"/>
      <c r="FWN104" s="122"/>
      <c r="FWO104" s="121"/>
      <c r="FWP104" s="121"/>
      <c r="FWQ104" s="127"/>
      <c r="FWR104" s="127"/>
      <c r="FWS104" s="120"/>
      <c r="FWT104" s="130"/>
      <c r="FWU104" s="130"/>
      <c r="FWV104" s="139"/>
      <c r="FWW104" s="130"/>
      <c r="FWX104" s="130"/>
      <c r="FWY104" s="130"/>
      <c r="FWZ104" s="130"/>
      <c r="FXA104" s="130"/>
      <c r="FXB104" s="140"/>
      <c r="FXC104" s="140"/>
      <c r="FXD104" s="140"/>
      <c r="FXE104" s="141"/>
      <c r="FXF104" s="119"/>
      <c r="FXG104" s="128"/>
      <c r="FXH104" s="119"/>
      <c r="FXI104" s="141"/>
      <c r="FXJ104" s="141"/>
      <c r="FXK104" s="132"/>
      <c r="FXL104" s="121"/>
      <c r="FXM104" s="121"/>
      <c r="FXN104" s="121"/>
      <c r="FXO104" s="128"/>
      <c r="FXP104" s="128"/>
      <c r="FXQ104" s="128"/>
      <c r="FXR104" s="128"/>
      <c r="FXS104" s="121"/>
      <c r="FXT104" s="121"/>
      <c r="FXU104" s="121"/>
      <c r="FXV104" s="132"/>
      <c r="FXW104" s="132"/>
      <c r="FXX104" s="129"/>
      <c r="FXY104" s="130"/>
      <c r="FXZ104" s="121"/>
      <c r="FYA104" s="121"/>
      <c r="FYB104" s="121"/>
      <c r="FYC104" s="130"/>
      <c r="FYD104" s="121"/>
      <c r="FYE104" s="130"/>
      <c r="FYF104" s="122"/>
      <c r="FYG104" s="121"/>
      <c r="FYH104" s="121"/>
      <c r="FYI104" s="127"/>
      <c r="FYJ104" s="127"/>
      <c r="FYK104" s="120"/>
      <c r="FYL104" s="130"/>
      <c r="FYM104" s="130"/>
      <c r="FYN104" s="139"/>
      <c r="FYO104" s="130"/>
      <c r="FYP104" s="130"/>
      <c r="FYQ104" s="130"/>
      <c r="FYR104" s="130"/>
      <c r="FYS104" s="130"/>
      <c r="FYT104" s="140"/>
      <c r="FYU104" s="140"/>
      <c r="FYV104" s="140"/>
      <c r="FYW104" s="141"/>
      <c r="FYX104" s="119"/>
      <c r="FYY104" s="128"/>
      <c r="FYZ104" s="119"/>
      <c r="FZA104" s="141"/>
      <c r="FZB104" s="141"/>
      <c r="FZC104" s="132"/>
      <c r="FZD104" s="121"/>
      <c r="FZE104" s="121"/>
      <c r="FZF104" s="121"/>
      <c r="FZG104" s="128"/>
      <c r="FZH104" s="128"/>
      <c r="FZI104" s="128"/>
      <c r="FZJ104" s="128"/>
      <c r="FZK104" s="121"/>
      <c r="FZL104" s="121"/>
      <c r="FZM104" s="121"/>
      <c r="FZN104" s="132"/>
      <c r="FZO104" s="132"/>
      <c r="FZP104" s="129"/>
      <c r="FZQ104" s="130"/>
      <c r="FZR104" s="121"/>
      <c r="FZS104" s="121"/>
      <c r="FZT104" s="121"/>
      <c r="FZU104" s="130"/>
      <c r="FZV104" s="121"/>
      <c r="FZW104" s="130"/>
      <c r="FZX104" s="122"/>
      <c r="FZY104" s="121"/>
      <c r="FZZ104" s="121"/>
      <c r="GAA104" s="127"/>
      <c r="GAB104" s="127"/>
      <c r="GAC104" s="120"/>
      <c r="GAD104" s="130"/>
      <c r="GAE104" s="130"/>
      <c r="GAF104" s="139"/>
      <c r="GAG104" s="130"/>
      <c r="GAH104" s="130"/>
      <c r="GAI104" s="130"/>
      <c r="GAJ104" s="130"/>
      <c r="GAK104" s="130"/>
      <c r="GAL104" s="140"/>
      <c r="GAM104" s="140"/>
      <c r="GAN104" s="140"/>
      <c r="GAO104" s="141"/>
      <c r="GAP104" s="119"/>
      <c r="GAQ104" s="128"/>
      <c r="GAR104" s="119"/>
      <c r="GAS104" s="141"/>
      <c r="GAT104" s="141"/>
      <c r="GAU104" s="132"/>
      <c r="GAV104" s="121"/>
      <c r="GAW104" s="121"/>
      <c r="GAX104" s="121"/>
      <c r="GAY104" s="128"/>
      <c r="GAZ104" s="128"/>
      <c r="GBA104" s="128"/>
      <c r="GBB104" s="128"/>
      <c r="GBC104" s="121"/>
      <c r="GBD104" s="121"/>
      <c r="GBE104" s="121"/>
      <c r="GBF104" s="132"/>
      <c r="GBG104" s="132"/>
      <c r="GBH104" s="129"/>
      <c r="GBI104" s="130"/>
      <c r="GBJ104" s="121"/>
      <c r="GBK104" s="121"/>
      <c r="GBL104" s="121"/>
      <c r="GBM104" s="130"/>
      <c r="GBN104" s="121"/>
      <c r="GBO104" s="130"/>
      <c r="GBP104" s="122"/>
      <c r="GBQ104" s="121"/>
      <c r="GBR104" s="121"/>
      <c r="GBS104" s="127"/>
      <c r="GBT104" s="127"/>
      <c r="GBU104" s="120"/>
      <c r="GBV104" s="130"/>
      <c r="GBW104" s="130"/>
      <c r="GBX104" s="139"/>
      <c r="GBY104" s="130"/>
      <c r="GBZ104" s="130"/>
      <c r="GCA104" s="130"/>
      <c r="GCB104" s="130"/>
      <c r="GCC104" s="130"/>
      <c r="GCD104" s="140"/>
      <c r="GCE104" s="140"/>
      <c r="GCF104" s="140"/>
      <c r="GCG104" s="141"/>
      <c r="GCH104" s="119"/>
      <c r="GCI104" s="128"/>
      <c r="GCJ104" s="119"/>
      <c r="GCK104" s="141"/>
      <c r="GCL104" s="141"/>
      <c r="GCM104" s="132"/>
      <c r="GCN104" s="121"/>
      <c r="GCO104" s="121"/>
      <c r="GCP104" s="121"/>
      <c r="GCQ104" s="128"/>
      <c r="GCR104" s="128"/>
      <c r="GCS104" s="128"/>
      <c r="GCT104" s="128"/>
      <c r="GCU104" s="121"/>
      <c r="GCV104" s="121"/>
      <c r="GCW104" s="121"/>
      <c r="GCX104" s="132"/>
      <c r="GCY104" s="132"/>
      <c r="GCZ104" s="129"/>
      <c r="GDA104" s="130"/>
      <c r="GDB104" s="121"/>
      <c r="GDC104" s="121"/>
      <c r="GDD104" s="121"/>
      <c r="GDE104" s="130"/>
      <c r="GDF104" s="121"/>
      <c r="GDG104" s="130"/>
      <c r="GDH104" s="122"/>
      <c r="GDI104" s="121"/>
      <c r="GDJ104" s="121"/>
      <c r="GDK104" s="127"/>
      <c r="GDL104" s="127"/>
      <c r="GDM104" s="120"/>
      <c r="GDN104" s="130"/>
      <c r="GDO104" s="130"/>
      <c r="GDP104" s="139"/>
      <c r="GDQ104" s="130"/>
      <c r="GDR104" s="130"/>
      <c r="GDS104" s="130"/>
      <c r="GDT104" s="130"/>
      <c r="GDU104" s="130"/>
      <c r="GDV104" s="140"/>
      <c r="GDW104" s="140"/>
      <c r="GDX104" s="140"/>
      <c r="GDY104" s="141"/>
      <c r="GDZ104" s="119"/>
      <c r="GEA104" s="128"/>
      <c r="GEB104" s="119"/>
      <c r="GEC104" s="141"/>
      <c r="GED104" s="141"/>
      <c r="GEE104" s="132"/>
      <c r="GEF104" s="121"/>
      <c r="GEG104" s="121"/>
      <c r="GEH104" s="121"/>
      <c r="GEI104" s="128"/>
      <c r="GEJ104" s="128"/>
      <c r="GEK104" s="128"/>
      <c r="GEL104" s="128"/>
      <c r="GEM104" s="121"/>
      <c r="GEN104" s="121"/>
      <c r="GEO104" s="121"/>
      <c r="GEP104" s="132"/>
      <c r="GEQ104" s="132"/>
      <c r="GER104" s="129"/>
      <c r="GES104" s="130"/>
      <c r="GET104" s="121"/>
      <c r="GEU104" s="121"/>
      <c r="GEV104" s="121"/>
      <c r="GEW104" s="130"/>
      <c r="GEX104" s="121"/>
      <c r="GEY104" s="130"/>
      <c r="GEZ104" s="122"/>
      <c r="GFA104" s="121"/>
      <c r="GFB104" s="121"/>
      <c r="GFC104" s="127"/>
      <c r="GFD104" s="127"/>
      <c r="GFE104" s="120"/>
      <c r="GFF104" s="130"/>
      <c r="GFG104" s="130"/>
      <c r="GFH104" s="139"/>
      <c r="GFI104" s="130"/>
      <c r="GFJ104" s="130"/>
      <c r="GFK104" s="130"/>
      <c r="GFL104" s="130"/>
      <c r="GFM104" s="130"/>
      <c r="GFN104" s="140"/>
      <c r="GFO104" s="140"/>
      <c r="GFP104" s="140"/>
      <c r="GFQ104" s="141"/>
      <c r="GFR104" s="119"/>
      <c r="GFS104" s="128"/>
      <c r="GFT104" s="119"/>
      <c r="GFU104" s="141"/>
      <c r="GFV104" s="141"/>
      <c r="GFW104" s="132"/>
      <c r="GFX104" s="121"/>
      <c r="GFY104" s="121"/>
      <c r="GFZ104" s="121"/>
      <c r="GGA104" s="128"/>
      <c r="GGB104" s="128"/>
      <c r="GGC104" s="128"/>
      <c r="GGD104" s="128"/>
      <c r="GGE104" s="121"/>
      <c r="GGF104" s="121"/>
      <c r="GGG104" s="121"/>
      <c r="GGH104" s="132"/>
      <c r="GGI104" s="132"/>
      <c r="GGJ104" s="129"/>
      <c r="GGK104" s="130"/>
      <c r="GGL104" s="121"/>
      <c r="GGM104" s="121"/>
      <c r="GGN104" s="121"/>
      <c r="GGO104" s="130"/>
      <c r="GGP104" s="121"/>
      <c r="GGQ104" s="130"/>
      <c r="GGR104" s="122"/>
      <c r="GGS104" s="121"/>
      <c r="GGT104" s="121"/>
      <c r="GGU104" s="127"/>
      <c r="GGV104" s="127"/>
      <c r="GGW104" s="120"/>
      <c r="GGX104" s="130"/>
      <c r="GGY104" s="130"/>
      <c r="GGZ104" s="139"/>
      <c r="GHA104" s="130"/>
      <c r="GHB104" s="130"/>
      <c r="GHC104" s="130"/>
      <c r="GHD104" s="130"/>
      <c r="GHE104" s="130"/>
      <c r="GHF104" s="140"/>
      <c r="GHG104" s="140"/>
      <c r="GHH104" s="140"/>
      <c r="GHI104" s="141"/>
      <c r="GHJ104" s="119"/>
      <c r="GHK104" s="128"/>
      <c r="GHL104" s="119"/>
      <c r="GHM104" s="141"/>
      <c r="GHN104" s="141"/>
      <c r="GHO104" s="132"/>
      <c r="GHP104" s="121"/>
      <c r="GHQ104" s="121"/>
      <c r="GHR104" s="121"/>
      <c r="GHS104" s="128"/>
      <c r="GHT104" s="128"/>
      <c r="GHU104" s="128"/>
      <c r="GHV104" s="128"/>
      <c r="GHW104" s="121"/>
      <c r="GHX104" s="121"/>
      <c r="GHY104" s="121"/>
      <c r="GHZ104" s="132"/>
      <c r="GIA104" s="132"/>
      <c r="GIB104" s="129"/>
      <c r="GIC104" s="130"/>
      <c r="GID104" s="121"/>
      <c r="GIE104" s="121"/>
      <c r="GIF104" s="121"/>
      <c r="GIG104" s="130"/>
      <c r="GIH104" s="121"/>
      <c r="GII104" s="130"/>
      <c r="GIJ104" s="122"/>
      <c r="GIK104" s="121"/>
      <c r="GIL104" s="121"/>
      <c r="GIM104" s="127"/>
      <c r="GIN104" s="127"/>
      <c r="GIO104" s="120"/>
      <c r="GIP104" s="130"/>
      <c r="GIQ104" s="130"/>
      <c r="GIR104" s="139"/>
      <c r="GIS104" s="130"/>
      <c r="GIT104" s="130"/>
      <c r="GIU104" s="130"/>
      <c r="GIV104" s="130"/>
      <c r="GIW104" s="130"/>
      <c r="GIX104" s="140"/>
      <c r="GIY104" s="140"/>
      <c r="GIZ104" s="140"/>
      <c r="GJA104" s="141"/>
      <c r="GJB104" s="119"/>
      <c r="GJC104" s="128"/>
      <c r="GJD104" s="119"/>
      <c r="GJE104" s="141"/>
      <c r="GJF104" s="141"/>
      <c r="GJG104" s="132"/>
      <c r="GJH104" s="121"/>
      <c r="GJI104" s="121"/>
      <c r="GJJ104" s="121"/>
      <c r="GJK104" s="128"/>
      <c r="GJL104" s="128"/>
      <c r="GJM104" s="128"/>
      <c r="GJN104" s="128"/>
      <c r="GJO104" s="121"/>
      <c r="GJP104" s="121"/>
      <c r="GJQ104" s="121"/>
      <c r="GJR104" s="132"/>
      <c r="GJS104" s="132"/>
      <c r="GJT104" s="129"/>
      <c r="GJU104" s="130"/>
      <c r="GJV104" s="121"/>
      <c r="GJW104" s="121"/>
      <c r="GJX104" s="121"/>
      <c r="GJY104" s="130"/>
      <c r="GJZ104" s="121"/>
      <c r="GKA104" s="130"/>
      <c r="GKB104" s="122"/>
      <c r="GKC104" s="121"/>
      <c r="GKD104" s="121"/>
      <c r="GKE104" s="127"/>
      <c r="GKF104" s="127"/>
      <c r="GKG104" s="120"/>
      <c r="GKH104" s="130"/>
      <c r="GKI104" s="130"/>
      <c r="GKJ104" s="139"/>
      <c r="GKK104" s="130"/>
      <c r="GKL104" s="130"/>
      <c r="GKM104" s="130"/>
      <c r="GKN104" s="130"/>
      <c r="GKO104" s="130"/>
      <c r="GKP104" s="140"/>
      <c r="GKQ104" s="140"/>
      <c r="GKR104" s="140"/>
      <c r="GKS104" s="141"/>
      <c r="GKT104" s="119"/>
      <c r="GKU104" s="128"/>
      <c r="GKV104" s="119"/>
      <c r="GKW104" s="141"/>
      <c r="GKX104" s="141"/>
      <c r="GKY104" s="132"/>
      <c r="GKZ104" s="121"/>
      <c r="GLA104" s="121"/>
      <c r="GLB104" s="121"/>
      <c r="GLC104" s="128"/>
      <c r="GLD104" s="128"/>
      <c r="GLE104" s="128"/>
      <c r="GLF104" s="128"/>
      <c r="GLG104" s="121"/>
      <c r="GLH104" s="121"/>
      <c r="GLI104" s="121"/>
      <c r="GLJ104" s="132"/>
      <c r="GLK104" s="132"/>
      <c r="GLL104" s="129"/>
      <c r="GLM104" s="130"/>
      <c r="GLN104" s="121"/>
      <c r="GLO104" s="121"/>
      <c r="GLP104" s="121"/>
      <c r="GLQ104" s="130"/>
      <c r="GLR104" s="121"/>
      <c r="GLS104" s="130"/>
      <c r="GLT104" s="122"/>
      <c r="GLU104" s="121"/>
      <c r="GLV104" s="121"/>
      <c r="GLW104" s="127"/>
      <c r="GLX104" s="127"/>
      <c r="GLY104" s="120"/>
      <c r="GLZ104" s="130"/>
      <c r="GMA104" s="130"/>
      <c r="GMB104" s="139"/>
      <c r="GMC104" s="130"/>
      <c r="GMD104" s="130"/>
      <c r="GME104" s="130"/>
      <c r="GMF104" s="130"/>
      <c r="GMG104" s="130"/>
      <c r="GMH104" s="140"/>
      <c r="GMI104" s="140"/>
      <c r="GMJ104" s="140"/>
      <c r="GMK104" s="141"/>
      <c r="GML104" s="119"/>
      <c r="GMM104" s="128"/>
      <c r="GMN104" s="119"/>
      <c r="GMO104" s="141"/>
      <c r="GMP104" s="141"/>
      <c r="GMQ104" s="132"/>
      <c r="GMR104" s="121"/>
      <c r="GMS104" s="121"/>
      <c r="GMT104" s="121"/>
      <c r="GMU104" s="128"/>
      <c r="GMV104" s="128"/>
      <c r="GMW104" s="128"/>
      <c r="GMX104" s="128"/>
      <c r="GMY104" s="121"/>
      <c r="GMZ104" s="121"/>
      <c r="GNA104" s="121"/>
      <c r="GNB104" s="132"/>
      <c r="GNC104" s="132"/>
      <c r="GND104" s="129"/>
      <c r="GNE104" s="130"/>
      <c r="GNF104" s="121"/>
      <c r="GNG104" s="121"/>
      <c r="GNH104" s="121"/>
      <c r="GNI104" s="130"/>
      <c r="GNJ104" s="121"/>
      <c r="GNK104" s="130"/>
      <c r="GNL104" s="122"/>
      <c r="GNM104" s="121"/>
      <c r="GNN104" s="121"/>
      <c r="GNO104" s="127"/>
      <c r="GNP104" s="127"/>
      <c r="GNQ104" s="120"/>
      <c r="GNR104" s="130"/>
      <c r="GNS104" s="130"/>
      <c r="GNT104" s="139"/>
      <c r="GNU104" s="130"/>
      <c r="GNV104" s="130"/>
      <c r="GNW104" s="130"/>
      <c r="GNX104" s="130"/>
      <c r="GNY104" s="130"/>
      <c r="GNZ104" s="140"/>
      <c r="GOA104" s="140"/>
      <c r="GOB104" s="140"/>
      <c r="GOC104" s="141"/>
      <c r="GOD104" s="119"/>
      <c r="GOE104" s="128"/>
      <c r="GOF104" s="119"/>
      <c r="GOG104" s="141"/>
      <c r="GOH104" s="141"/>
      <c r="GOI104" s="132"/>
      <c r="GOJ104" s="121"/>
      <c r="GOK104" s="121"/>
      <c r="GOL104" s="121"/>
      <c r="GOM104" s="128"/>
      <c r="GON104" s="128"/>
      <c r="GOO104" s="128"/>
      <c r="GOP104" s="128"/>
      <c r="GOQ104" s="121"/>
      <c r="GOR104" s="121"/>
      <c r="GOS104" s="121"/>
      <c r="GOT104" s="132"/>
      <c r="GOU104" s="132"/>
      <c r="GOV104" s="129"/>
      <c r="GOW104" s="130"/>
      <c r="GOX104" s="121"/>
      <c r="GOY104" s="121"/>
      <c r="GOZ104" s="121"/>
      <c r="GPA104" s="130"/>
      <c r="GPB104" s="121"/>
      <c r="GPC104" s="130"/>
      <c r="GPD104" s="122"/>
      <c r="GPE104" s="121"/>
      <c r="GPF104" s="121"/>
      <c r="GPG104" s="127"/>
      <c r="GPH104" s="127"/>
      <c r="GPI104" s="120"/>
      <c r="GPJ104" s="130"/>
      <c r="GPK104" s="130"/>
      <c r="GPL104" s="139"/>
      <c r="GPM104" s="130"/>
      <c r="GPN104" s="130"/>
      <c r="GPO104" s="130"/>
      <c r="GPP104" s="130"/>
      <c r="GPQ104" s="130"/>
      <c r="GPR104" s="140"/>
      <c r="GPS104" s="140"/>
      <c r="GPT104" s="140"/>
      <c r="GPU104" s="141"/>
      <c r="GPV104" s="119"/>
      <c r="GPW104" s="128"/>
      <c r="GPX104" s="119"/>
      <c r="GPY104" s="141"/>
      <c r="GPZ104" s="141"/>
      <c r="GQA104" s="132"/>
      <c r="GQB104" s="121"/>
      <c r="GQC104" s="121"/>
      <c r="GQD104" s="121"/>
      <c r="GQE104" s="128"/>
      <c r="GQF104" s="128"/>
      <c r="GQG104" s="128"/>
      <c r="GQH104" s="128"/>
      <c r="GQI104" s="121"/>
      <c r="GQJ104" s="121"/>
      <c r="GQK104" s="121"/>
      <c r="GQL104" s="132"/>
      <c r="GQM104" s="132"/>
      <c r="GQN104" s="129"/>
      <c r="GQO104" s="130"/>
      <c r="GQP104" s="121"/>
      <c r="GQQ104" s="121"/>
      <c r="GQR104" s="121"/>
      <c r="GQS104" s="130"/>
      <c r="GQT104" s="121"/>
      <c r="GQU104" s="130"/>
      <c r="GQV104" s="122"/>
      <c r="GQW104" s="121"/>
      <c r="GQX104" s="121"/>
      <c r="GQY104" s="127"/>
      <c r="GQZ104" s="127"/>
      <c r="GRA104" s="120"/>
      <c r="GRB104" s="130"/>
      <c r="GRC104" s="130"/>
      <c r="GRD104" s="139"/>
      <c r="GRE104" s="130"/>
      <c r="GRF104" s="130"/>
      <c r="GRG104" s="130"/>
      <c r="GRH104" s="130"/>
      <c r="GRI104" s="130"/>
      <c r="GRJ104" s="140"/>
      <c r="GRK104" s="140"/>
      <c r="GRL104" s="140"/>
      <c r="GRM104" s="141"/>
      <c r="GRN104" s="119"/>
      <c r="GRO104" s="128"/>
      <c r="GRP104" s="119"/>
      <c r="GRQ104" s="141"/>
      <c r="GRR104" s="141"/>
      <c r="GRS104" s="132"/>
      <c r="GRT104" s="121"/>
      <c r="GRU104" s="121"/>
      <c r="GRV104" s="121"/>
      <c r="GRW104" s="128"/>
      <c r="GRX104" s="128"/>
      <c r="GRY104" s="128"/>
      <c r="GRZ104" s="128"/>
      <c r="GSA104" s="121"/>
      <c r="GSB104" s="121"/>
      <c r="GSC104" s="121"/>
      <c r="GSD104" s="132"/>
      <c r="GSE104" s="132"/>
      <c r="GSF104" s="129"/>
      <c r="GSG104" s="130"/>
      <c r="GSH104" s="121"/>
      <c r="GSI104" s="121"/>
      <c r="GSJ104" s="121"/>
      <c r="GSK104" s="130"/>
      <c r="GSL104" s="121"/>
      <c r="GSM104" s="130"/>
      <c r="GSN104" s="122"/>
      <c r="GSO104" s="121"/>
      <c r="GSP104" s="121"/>
      <c r="GSQ104" s="127"/>
      <c r="GSR104" s="127"/>
      <c r="GSS104" s="120"/>
      <c r="GST104" s="130"/>
      <c r="GSU104" s="130"/>
      <c r="GSV104" s="139"/>
      <c r="GSW104" s="130"/>
      <c r="GSX104" s="130"/>
      <c r="GSY104" s="130"/>
      <c r="GSZ104" s="130"/>
      <c r="GTA104" s="130"/>
      <c r="GTB104" s="140"/>
      <c r="GTC104" s="140"/>
      <c r="GTD104" s="140"/>
      <c r="GTE104" s="141"/>
      <c r="GTF104" s="119"/>
      <c r="GTG104" s="128"/>
      <c r="GTH104" s="119"/>
      <c r="GTI104" s="141"/>
      <c r="GTJ104" s="141"/>
      <c r="GTK104" s="132"/>
      <c r="GTL104" s="121"/>
      <c r="GTM104" s="121"/>
      <c r="GTN104" s="121"/>
      <c r="GTO104" s="128"/>
      <c r="GTP104" s="128"/>
      <c r="GTQ104" s="128"/>
      <c r="GTR104" s="128"/>
      <c r="GTS104" s="121"/>
      <c r="GTT104" s="121"/>
      <c r="GTU104" s="121"/>
      <c r="GTV104" s="132"/>
      <c r="GTW104" s="132"/>
      <c r="GTX104" s="129"/>
      <c r="GTY104" s="130"/>
      <c r="GTZ104" s="121"/>
      <c r="GUA104" s="121"/>
      <c r="GUB104" s="121"/>
      <c r="GUC104" s="130"/>
      <c r="GUD104" s="121"/>
      <c r="GUE104" s="130"/>
      <c r="GUF104" s="122"/>
      <c r="GUG104" s="121"/>
      <c r="GUH104" s="121"/>
      <c r="GUI104" s="127"/>
      <c r="GUJ104" s="127"/>
      <c r="GUK104" s="120"/>
      <c r="GUL104" s="130"/>
      <c r="GUM104" s="130"/>
      <c r="GUN104" s="139"/>
      <c r="GUO104" s="130"/>
      <c r="GUP104" s="130"/>
      <c r="GUQ104" s="130"/>
      <c r="GUR104" s="130"/>
      <c r="GUS104" s="130"/>
      <c r="GUT104" s="140"/>
      <c r="GUU104" s="140"/>
      <c r="GUV104" s="140"/>
      <c r="GUW104" s="141"/>
      <c r="GUX104" s="119"/>
      <c r="GUY104" s="128"/>
      <c r="GUZ104" s="119"/>
      <c r="GVA104" s="141"/>
      <c r="GVB104" s="141"/>
      <c r="GVC104" s="132"/>
      <c r="GVD104" s="121"/>
      <c r="GVE104" s="121"/>
      <c r="GVF104" s="121"/>
      <c r="GVG104" s="128"/>
      <c r="GVH104" s="128"/>
      <c r="GVI104" s="128"/>
      <c r="GVJ104" s="128"/>
      <c r="GVK104" s="121"/>
      <c r="GVL104" s="121"/>
      <c r="GVM104" s="121"/>
      <c r="GVN104" s="132"/>
      <c r="GVO104" s="132"/>
      <c r="GVP104" s="129"/>
      <c r="GVQ104" s="130"/>
      <c r="GVR104" s="121"/>
      <c r="GVS104" s="121"/>
      <c r="GVT104" s="121"/>
      <c r="GVU104" s="130"/>
      <c r="GVV104" s="121"/>
      <c r="GVW104" s="130"/>
      <c r="GVX104" s="122"/>
      <c r="GVY104" s="121"/>
      <c r="GVZ104" s="121"/>
      <c r="GWA104" s="127"/>
      <c r="GWB104" s="127"/>
      <c r="GWC104" s="120"/>
      <c r="GWD104" s="130"/>
      <c r="GWE104" s="130"/>
      <c r="GWF104" s="139"/>
      <c r="GWG104" s="130"/>
      <c r="GWH104" s="130"/>
      <c r="GWI104" s="130"/>
      <c r="GWJ104" s="130"/>
      <c r="GWK104" s="130"/>
      <c r="GWL104" s="140"/>
      <c r="GWM104" s="140"/>
      <c r="GWN104" s="140"/>
      <c r="GWO104" s="141"/>
      <c r="GWP104" s="119"/>
      <c r="GWQ104" s="128"/>
      <c r="GWR104" s="119"/>
      <c r="GWS104" s="141"/>
      <c r="GWT104" s="141"/>
      <c r="GWU104" s="132"/>
      <c r="GWV104" s="121"/>
      <c r="GWW104" s="121"/>
      <c r="GWX104" s="121"/>
      <c r="GWY104" s="128"/>
      <c r="GWZ104" s="128"/>
      <c r="GXA104" s="128"/>
      <c r="GXB104" s="128"/>
      <c r="GXC104" s="121"/>
      <c r="GXD104" s="121"/>
      <c r="GXE104" s="121"/>
      <c r="GXF104" s="132"/>
      <c r="GXG104" s="132"/>
      <c r="GXH104" s="129"/>
      <c r="GXI104" s="130"/>
      <c r="GXJ104" s="121"/>
      <c r="GXK104" s="121"/>
      <c r="GXL104" s="121"/>
      <c r="GXM104" s="130"/>
      <c r="GXN104" s="121"/>
      <c r="GXO104" s="130"/>
      <c r="GXP104" s="122"/>
      <c r="GXQ104" s="121"/>
      <c r="GXR104" s="121"/>
      <c r="GXS104" s="127"/>
      <c r="GXT104" s="127"/>
      <c r="GXU104" s="120"/>
      <c r="GXV104" s="130"/>
      <c r="GXW104" s="130"/>
      <c r="GXX104" s="139"/>
      <c r="GXY104" s="130"/>
      <c r="GXZ104" s="130"/>
      <c r="GYA104" s="130"/>
      <c r="GYB104" s="130"/>
      <c r="GYC104" s="130"/>
      <c r="GYD104" s="140"/>
      <c r="GYE104" s="140"/>
      <c r="GYF104" s="140"/>
      <c r="GYG104" s="141"/>
      <c r="GYH104" s="119"/>
      <c r="GYI104" s="128"/>
      <c r="GYJ104" s="119"/>
      <c r="GYK104" s="141"/>
      <c r="GYL104" s="141"/>
      <c r="GYM104" s="132"/>
      <c r="GYN104" s="121"/>
      <c r="GYO104" s="121"/>
      <c r="GYP104" s="121"/>
      <c r="GYQ104" s="128"/>
      <c r="GYR104" s="128"/>
      <c r="GYS104" s="128"/>
      <c r="GYT104" s="128"/>
      <c r="GYU104" s="121"/>
      <c r="GYV104" s="121"/>
      <c r="GYW104" s="121"/>
      <c r="GYX104" s="132"/>
      <c r="GYY104" s="132"/>
      <c r="GYZ104" s="129"/>
      <c r="GZA104" s="130"/>
      <c r="GZB104" s="121"/>
      <c r="GZC104" s="121"/>
      <c r="GZD104" s="121"/>
      <c r="GZE104" s="130"/>
      <c r="GZF104" s="121"/>
      <c r="GZG104" s="130"/>
      <c r="GZH104" s="122"/>
      <c r="GZI104" s="121"/>
      <c r="GZJ104" s="121"/>
      <c r="GZK104" s="127"/>
      <c r="GZL104" s="127"/>
      <c r="GZM104" s="120"/>
      <c r="GZN104" s="130"/>
      <c r="GZO104" s="130"/>
      <c r="GZP104" s="139"/>
      <c r="GZQ104" s="130"/>
      <c r="GZR104" s="130"/>
      <c r="GZS104" s="130"/>
      <c r="GZT104" s="130"/>
      <c r="GZU104" s="130"/>
      <c r="GZV104" s="140"/>
      <c r="GZW104" s="140"/>
      <c r="GZX104" s="140"/>
      <c r="GZY104" s="141"/>
      <c r="GZZ104" s="119"/>
      <c r="HAA104" s="128"/>
      <c r="HAB104" s="119"/>
      <c r="HAC104" s="141"/>
      <c r="HAD104" s="141"/>
      <c r="HAE104" s="132"/>
      <c r="HAF104" s="121"/>
      <c r="HAG104" s="121"/>
      <c r="HAH104" s="121"/>
      <c r="HAI104" s="128"/>
      <c r="HAJ104" s="128"/>
      <c r="HAK104" s="128"/>
      <c r="HAL104" s="128"/>
      <c r="HAM104" s="121"/>
      <c r="HAN104" s="121"/>
      <c r="HAO104" s="121"/>
      <c r="HAP104" s="132"/>
      <c r="HAQ104" s="132"/>
      <c r="HAR104" s="129"/>
      <c r="HAS104" s="130"/>
      <c r="HAT104" s="121"/>
      <c r="HAU104" s="121"/>
      <c r="HAV104" s="121"/>
      <c r="HAW104" s="130"/>
      <c r="HAX104" s="121"/>
      <c r="HAY104" s="130"/>
      <c r="HAZ104" s="122"/>
      <c r="HBA104" s="121"/>
      <c r="HBB104" s="121"/>
      <c r="HBC104" s="127"/>
      <c r="HBD104" s="127"/>
      <c r="HBE104" s="120"/>
      <c r="HBF104" s="130"/>
      <c r="HBG104" s="130"/>
      <c r="HBH104" s="139"/>
      <c r="HBI104" s="130"/>
      <c r="HBJ104" s="130"/>
      <c r="HBK104" s="130"/>
      <c r="HBL104" s="130"/>
      <c r="HBM104" s="130"/>
      <c r="HBN104" s="140"/>
      <c r="HBO104" s="140"/>
      <c r="HBP104" s="140"/>
      <c r="HBQ104" s="141"/>
      <c r="HBR104" s="119"/>
      <c r="HBS104" s="128"/>
      <c r="HBT104" s="119"/>
      <c r="HBU104" s="141"/>
      <c r="HBV104" s="141"/>
      <c r="HBW104" s="132"/>
      <c r="HBX104" s="121"/>
      <c r="HBY104" s="121"/>
      <c r="HBZ104" s="121"/>
      <c r="HCA104" s="128"/>
      <c r="HCB104" s="128"/>
      <c r="HCC104" s="128"/>
      <c r="HCD104" s="128"/>
      <c r="HCE104" s="121"/>
      <c r="HCF104" s="121"/>
      <c r="HCG104" s="121"/>
      <c r="HCH104" s="132"/>
      <c r="HCI104" s="132"/>
      <c r="HCJ104" s="129"/>
      <c r="HCK104" s="130"/>
      <c r="HCL104" s="121"/>
      <c r="HCM104" s="121"/>
      <c r="HCN104" s="121"/>
      <c r="HCO104" s="130"/>
      <c r="HCP104" s="121"/>
      <c r="HCQ104" s="130"/>
      <c r="HCR104" s="122"/>
      <c r="HCS104" s="121"/>
      <c r="HCT104" s="121"/>
      <c r="HCU104" s="127"/>
      <c r="HCV104" s="127"/>
      <c r="HCW104" s="120"/>
      <c r="HCX104" s="130"/>
      <c r="HCY104" s="130"/>
      <c r="HCZ104" s="139"/>
      <c r="HDA104" s="130"/>
      <c r="HDB104" s="130"/>
      <c r="HDC104" s="130"/>
      <c r="HDD104" s="130"/>
      <c r="HDE104" s="130"/>
      <c r="HDF104" s="140"/>
      <c r="HDG104" s="140"/>
      <c r="HDH104" s="140"/>
      <c r="HDI104" s="141"/>
      <c r="HDJ104" s="119"/>
      <c r="HDK104" s="128"/>
      <c r="HDL104" s="119"/>
      <c r="HDM104" s="141"/>
      <c r="HDN104" s="141"/>
      <c r="HDO104" s="132"/>
      <c r="HDP104" s="121"/>
      <c r="HDQ104" s="121"/>
      <c r="HDR104" s="121"/>
      <c r="HDS104" s="128"/>
      <c r="HDT104" s="128"/>
      <c r="HDU104" s="128"/>
      <c r="HDV104" s="128"/>
      <c r="HDW104" s="121"/>
      <c r="HDX104" s="121"/>
      <c r="HDY104" s="121"/>
      <c r="HDZ104" s="132"/>
      <c r="HEA104" s="132"/>
      <c r="HEB104" s="129"/>
      <c r="HEC104" s="130"/>
      <c r="HED104" s="121"/>
      <c r="HEE104" s="121"/>
      <c r="HEF104" s="121"/>
      <c r="HEG104" s="130"/>
      <c r="HEH104" s="121"/>
      <c r="HEI104" s="130"/>
      <c r="HEJ104" s="122"/>
      <c r="HEK104" s="121"/>
      <c r="HEL104" s="121"/>
      <c r="HEM104" s="127"/>
      <c r="HEN104" s="127"/>
      <c r="HEO104" s="120"/>
      <c r="HEP104" s="130"/>
      <c r="HEQ104" s="130"/>
      <c r="HER104" s="139"/>
      <c r="HES104" s="130"/>
      <c r="HET104" s="130"/>
      <c r="HEU104" s="130"/>
      <c r="HEV104" s="130"/>
      <c r="HEW104" s="130"/>
      <c r="HEX104" s="140"/>
      <c r="HEY104" s="140"/>
      <c r="HEZ104" s="140"/>
      <c r="HFA104" s="141"/>
      <c r="HFB104" s="119"/>
      <c r="HFC104" s="128"/>
      <c r="HFD104" s="119"/>
      <c r="HFE104" s="141"/>
      <c r="HFF104" s="141"/>
      <c r="HFG104" s="132"/>
      <c r="HFH104" s="121"/>
      <c r="HFI104" s="121"/>
      <c r="HFJ104" s="121"/>
      <c r="HFK104" s="128"/>
      <c r="HFL104" s="128"/>
      <c r="HFM104" s="128"/>
      <c r="HFN104" s="128"/>
      <c r="HFO104" s="121"/>
      <c r="HFP104" s="121"/>
      <c r="HFQ104" s="121"/>
      <c r="HFR104" s="132"/>
      <c r="HFS104" s="132"/>
      <c r="HFT104" s="129"/>
      <c r="HFU104" s="130"/>
      <c r="HFV104" s="121"/>
      <c r="HFW104" s="121"/>
      <c r="HFX104" s="121"/>
      <c r="HFY104" s="130"/>
      <c r="HFZ104" s="121"/>
      <c r="HGA104" s="130"/>
      <c r="HGB104" s="122"/>
      <c r="HGC104" s="121"/>
      <c r="HGD104" s="121"/>
      <c r="HGE104" s="127"/>
      <c r="HGF104" s="127"/>
      <c r="HGG104" s="120"/>
      <c r="HGH104" s="130"/>
      <c r="HGI104" s="130"/>
      <c r="HGJ104" s="139"/>
      <c r="HGK104" s="130"/>
      <c r="HGL104" s="130"/>
      <c r="HGM104" s="130"/>
      <c r="HGN104" s="130"/>
      <c r="HGO104" s="130"/>
      <c r="HGP104" s="140"/>
      <c r="HGQ104" s="140"/>
      <c r="HGR104" s="140"/>
      <c r="HGS104" s="141"/>
      <c r="HGT104" s="119"/>
      <c r="HGU104" s="128"/>
      <c r="HGV104" s="119"/>
      <c r="HGW104" s="141"/>
      <c r="HGX104" s="141"/>
      <c r="HGY104" s="132"/>
      <c r="HGZ104" s="121"/>
      <c r="HHA104" s="121"/>
      <c r="HHB104" s="121"/>
      <c r="HHC104" s="128"/>
      <c r="HHD104" s="128"/>
      <c r="HHE104" s="128"/>
      <c r="HHF104" s="128"/>
      <c r="HHG104" s="121"/>
      <c r="HHH104" s="121"/>
      <c r="HHI104" s="121"/>
      <c r="HHJ104" s="132"/>
      <c r="HHK104" s="132"/>
      <c r="HHL104" s="129"/>
      <c r="HHM104" s="130"/>
      <c r="HHN104" s="121"/>
      <c r="HHO104" s="121"/>
      <c r="HHP104" s="121"/>
      <c r="HHQ104" s="130"/>
      <c r="HHR104" s="121"/>
      <c r="HHS104" s="130"/>
      <c r="HHT104" s="122"/>
      <c r="HHU104" s="121"/>
      <c r="HHV104" s="121"/>
      <c r="HHW104" s="127"/>
      <c r="HHX104" s="127"/>
      <c r="HHY104" s="120"/>
      <c r="HHZ104" s="130"/>
      <c r="HIA104" s="130"/>
      <c r="HIB104" s="139"/>
      <c r="HIC104" s="130"/>
      <c r="HID104" s="130"/>
      <c r="HIE104" s="130"/>
      <c r="HIF104" s="130"/>
      <c r="HIG104" s="130"/>
      <c r="HIH104" s="140"/>
      <c r="HII104" s="140"/>
      <c r="HIJ104" s="140"/>
      <c r="HIK104" s="141"/>
      <c r="HIL104" s="119"/>
      <c r="HIM104" s="128"/>
      <c r="HIN104" s="119"/>
      <c r="HIO104" s="141"/>
      <c r="HIP104" s="141"/>
      <c r="HIQ104" s="132"/>
      <c r="HIR104" s="121"/>
      <c r="HIS104" s="121"/>
      <c r="HIT104" s="121"/>
      <c r="HIU104" s="128"/>
      <c r="HIV104" s="128"/>
      <c r="HIW104" s="128"/>
      <c r="HIX104" s="128"/>
      <c r="HIY104" s="121"/>
      <c r="HIZ104" s="121"/>
      <c r="HJA104" s="121"/>
      <c r="HJB104" s="132"/>
      <c r="HJC104" s="132"/>
      <c r="HJD104" s="129"/>
      <c r="HJE104" s="130"/>
      <c r="HJF104" s="121"/>
      <c r="HJG104" s="121"/>
      <c r="HJH104" s="121"/>
      <c r="HJI104" s="130"/>
      <c r="HJJ104" s="121"/>
      <c r="HJK104" s="130"/>
      <c r="HJL104" s="122"/>
      <c r="HJM104" s="121"/>
      <c r="HJN104" s="121"/>
      <c r="HJO104" s="127"/>
      <c r="HJP104" s="127"/>
      <c r="HJQ104" s="120"/>
      <c r="HJR104" s="130"/>
      <c r="HJS104" s="130"/>
      <c r="HJT104" s="139"/>
      <c r="HJU104" s="130"/>
      <c r="HJV104" s="130"/>
      <c r="HJW104" s="130"/>
      <c r="HJX104" s="130"/>
      <c r="HJY104" s="130"/>
      <c r="HJZ104" s="140"/>
      <c r="HKA104" s="140"/>
      <c r="HKB104" s="140"/>
      <c r="HKC104" s="141"/>
      <c r="HKD104" s="119"/>
      <c r="HKE104" s="128"/>
      <c r="HKF104" s="119"/>
      <c r="HKG104" s="141"/>
      <c r="HKH104" s="141"/>
      <c r="HKI104" s="132"/>
      <c r="HKJ104" s="121"/>
      <c r="HKK104" s="121"/>
      <c r="HKL104" s="121"/>
      <c r="HKM104" s="128"/>
      <c r="HKN104" s="128"/>
      <c r="HKO104" s="128"/>
      <c r="HKP104" s="128"/>
      <c r="HKQ104" s="121"/>
      <c r="HKR104" s="121"/>
      <c r="HKS104" s="121"/>
      <c r="HKT104" s="132"/>
      <c r="HKU104" s="132"/>
      <c r="HKV104" s="129"/>
      <c r="HKW104" s="130"/>
      <c r="HKX104" s="121"/>
      <c r="HKY104" s="121"/>
      <c r="HKZ104" s="121"/>
      <c r="HLA104" s="130"/>
      <c r="HLB104" s="121"/>
      <c r="HLC104" s="130"/>
      <c r="HLD104" s="122"/>
      <c r="HLE104" s="121"/>
      <c r="HLF104" s="121"/>
      <c r="HLG104" s="127"/>
      <c r="HLH104" s="127"/>
      <c r="HLI104" s="120"/>
      <c r="HLJ104" s="130"/>
      <c r="HLK104" s="130"/>
      <c r="HLL104" s="139"/>
      <c r="HLM104" s="130"/>
      <c r="HLN104" s="130"/>
      <c r="HLO104" s="130"/>
      <c r="HLP104" s="130"/>
      <c r="HLQ104" s="130"/>
      <c r="HLR104" s="140"/>
      <c r="HLS104" s="140"/>
      <c r="HLT104" s="140"/>
      <c r="HLU104" s="141"/>
      <c r="HLV104" s="119"/>
      <c r="HLW104" s="128"/>
      <c r="HLX104" s="119"/>
      <c r="HLY104" s="141"/>
      <c r="HLZ104" s="141"/>
      <c r="HMA104" s="132"/>
      <c r="HMB104" s="121"/>
      <c r="HMC104" s="121"/>
      <c r="HMD104" s="121"/>
      <c r="HME104" s="128"/>
      <c r="HMF104" s="128"/>
      <c r="HMG104" s="128"/>
      <c r="HMH104" s="128"/>
      <c r="HMI104" s="121"/>
      <c r="HMJ104" s="121"/>
      <c r="HMK104" s="121"/>
      <c r="HML104" s="132"/>
      <c r="HMM104" s="132"/>
      <c r="HMN104" s="129"/>
      <c r="HMO104" s="130"/>
      <c r="HMP104" s="121"/>
      <c r="HMQ104" s="121"/>
      <c r="HMR104" s="121"/>
      <c r="HMS104" s="130"/>
      <c r="HMT104" s="121"/>
      <c r="HMU104" s="130"/>
      <c r="HMV104" s="122"/>
      <c r="HMW104" s="121"/>
      <c r="HMX104" s="121"/>
      <c r="HMY104" s="127"/>
      <c r="HMZ104" s="127"/>
      <c r="HNA104" s="120"/>
      <c r="HNB104" s="130"/>
      <c r="HNC104" s="130"/>
      <c r="HND104" s="139"/>
      <c r="HNE104" s="130"/>
      <c r="HNF104" s="130"/>
      <c r="HNG104" s="130"/>
      <c r="HNH104" s="130"/>
      <c r="HNI104" s="130"/>
      <c r="HNJ104" s="140"/>
      <c r="HNK104" s="140"/>
      <c r="HNL104" s="140"/>
      <c r="HNM104" s="141"/>
      <c r="HNN104" s="119"/>
      <c r="HNO104" s="128"/>
      <c r="HNP104" s="119"/>
      <c r="HNQ104" s="141"/>
      <c r="HNR104" s="141"/>
      <c r="HNS104" s="132"/>
      <c r="HNT104" s="121"/>
      <c r="HNU104" s="121"/>
      <c r="HNV104" s="121"/>
      <c r="HNW104" s="128"/>
      <c r="HNX104" s="128"/>
      <c r="HNY104" s="128"/>
      <c r="HNZ104" s="128"/>
      <c r="HOA104" s="121"/>
      <c r="HOB104" s="121"/>
      <c r="HOC104" s="121"/>
      <c r="HOD104" s="132"/>
      <c r="HOE104" s="132"/>
      <c r="HOF104" s="129"/>
      <c r="HOG104" s="130"/>
      <c r="HOH104" s="121"/>
      <c r="HOI104" s="121"/>
      <c r="HOJ104" s="121"/>
      <c r="HOK104" s="130"/>
      <c r="HOL104" s="121"/>
      <c r="HOM104" s="130"/>
      <c r="HON104" s="122"/>
      <c r="HOO104" s="121"/>
      <c r="HOP104" s="121"/>
      <c r="HOQ104" s="127"/>
      <c r="HOR104" s="127"/>
      <c r="HOS104" s="120"/>
      <c r="HOT104" s="130"/>
      <c r="HOU104" s="130"/>
      <c r="HOV104" s="139"/>
      <c r="HOW104" s="130"/>
      <c r="HOX104" s="130"/>
      <c r="HOY104" s="130"/>
      <c r="HOZ104" s="130"/>
      <c r="HPA104" s="130"/>
      <c r="HPB104" s="140"/>
      <c r="HPC104" s="140"/>
      <c r="HPD104" s="140"/>
      <c r="HPE104" s="141"/>
      <c r="HPF104" s="119"/>
      <c r="HPG104" s="128"/>
      <c r="HPH104" s="119"/>
      <c r="HPI104" s="141"/>
      <c r="HPJ104" s="141"/>
      <c r="HPK104" s="132"/>
      <c r="HPL104" s="121"/>
      <c r="HPM104" s="121"/>
      <c r="HPN104" s="121"/>
      <c r="HPO104" s="128"/>
      <c r="HPP104" s="128"/>
      <c r="HPQ104" s="128"/>
      <c r="HPR104" s="128"/>
      <c r="HPS104" s="121"/>
      <c r="HPT104" s="121"/>
      <c r="HPU104" s="121"/>
      <c r="HPV104" s="132"/>
      <c r="HPW104" s="132"/>
      <c r="HPX104" s="129"/>
      <c r="HPY104" s="130"/>
      <c r="HPZ104" s="121"/>
      <c r="HQA104" s="121"/>
      <c r="HQB104" s="121"/>
      <c r="HQC104" s="130"/>
      <c r="HQD104" s="121"/>
      <c r="HQE104" s="130"/>
      <c r="HQF104" s="122"/>
      <c r="HQG104" s="121"/>
      <c r="HQH104" s="121"/>
      <c r="HQI104" s="127"/>
      <c r="HQJ104" s="127"/>
      <c r="HQK104" s="120"/>
      <c r="HQL104" s="130"/>
      <c r="HQM104" s="130"/>
      <c r="HQN104" s="139"/>
      <c r="HQO104" s="130"/>
      <c r="HQP104" s="130"/>
      <c r="HQQ104" s="130"/>
      <c r="HQR104" s="130"/>
      <c r="HQS104" s="130"/>
      <c r="HQT104" s="140"/>
      <c r="HQU104" s="140"/>
      <c r="HQV104" s="140"/>
      <c r="HQW104" s="141"/>
      <c r="HQX104" s="119"/>
      <c r="HQY104" s="128"/>
      <c r="HQZ104" s="119"/>
      <c r="HRA104" s="141"/>
      <c r="HRB104" s="141"/>
      <c r="HRC104" s="132"/>
      <c r="HRD104" s="121"/>
      <c r="HRE104" s="121"/>
      <c r="HRF104" s="121"/>
      <c r="HRG104" s="128"/>
      <c r="HRH104" s="128"/>
      <c r="HRI104" s="128"/>
      <c r="HRJ104" s="128"/>
      <c r="HRK104" s="121"/>
      <c r="HRL104" s="121"/>
      <c r="HRM104" s="121"/>
      <c r="HRN104" s="132"/>
      <c r="HRO104" s="132"/>
      <c r="HRP104" s="129"/>
      <c r="HRQ104" s="130"/>
      <c r="HRR104" s="121"/>
      <c r="HRS104" s="121"/>
      <c r="HRT104" s="121"/>
      <c r="HRU104" s="130"/>
      <c r="HRV104" s="121"/>
      <c r="HRW104" s="130"/>
      <c r="HRX104" s="122"/>
      <c r="HRY104" s="121"/>
      <c r="HRZ104" s="121"/>
      <c r="HSA104" s="127"/>
      <c r="HSB104" s="127"/>
      <c r="HSC104" s="120"/>
      <c r="HSD104" s="130"/>
      <c r="HSE104" s="130"/>
      <c r="HSF104" s="139"/>
      <c r="HSG104" s="130"/>
      <c r="HSH104" s="130"/>
      <c r="HSI104" s="130"/>
      <c r="HSJ104" s="130"/>
      <c r="HSK104" s="130"/>
      <c r="HSL104" s="140"/>
      <c r="HSM104" s="140"/>
      <c r="HSN104" s="140"/>
      <c r="HSO104" s="141"/>
      <c r="HSP104" s="119"/>
      <c r="HSQ104" s="128"/>
      <c r="HSR104" s="119"/>
      <c r="HSS104" s="141"/>
      <c r="HST104" s="141"/>
      <c r="HSU104" s="132"/>
      <c r="HSV104" s="121"/>
      <c r="HSW104" s="121"/>
      <c r="HSX104" s="121"/>
      <c r="HSY104" s="128"/>
      <c r="HSZ104" s="128"/>
      <c r="HTA104" s="128"/>
      <c r="HTB104" s="128"/>
      <c r="HTC104" s="121"/>
      <c r="HTD104" s="121"/>
      <c r="HTE104" s="121"/>
      <c r="HTF104" s="132"/>
      <c r="HTG104" s="132"/>
      <c r="HTH104" s="129"/>
      <c r="HTI104" s="130"/>
      <c r="HTJ104" s="121"/>
      <c r="HTK104" s="121"/>
      <c r="HTL104" s="121"/>
      <c r="HTM104" s="130"/>
      <c r="HTN104" s="121"/>
      <c r="HTO104" s="130"/>
      <c r="HTP104" s="122"/>
      <c r="HTQ104" s="121"/>
      <c r="HTR104" s="121"/>
      <c r="HTS104" s="127"/>
      <c r="HTT104" s="127"/>
      <c r="HTU104" s="120"/>
      <c r="HTV104" s="130"/>
      <c r="HTW104" s="130"/>
      <c r="HTX104" s="139"/>
      <c r="HTY104" s="130"/>
      <c r="HTZ104" s="130"/>
      <c r="HUA104" s="130"/>
      <c r="HUB104" s="130"/>
      <c r="HUC104" s="130"/>
      <c r="HUD104" s="140"/>
      <c r="HUE104" s="140"/>
      <c r="HUF104" s="140"/>
      <c r="HUG104" s="141"/>
      <c r="HUH104" s="119"/>
      <c r="HUI104" s="128"/>
      <c r="HUJ104" s="119"/>
      <c r="HUK104" s="141"/>
      <c r="HUL104" s="141"/>
      <c r="HUM104" s="132"/>
      <c r="HUN104" s="121"/>
      <c r="HUO104" s="121"/>
      <c r="HUP104" s="121"/>
      <c r="HUQ104" s="128"/>
      <c r="HUR104" s="128"/>
      <c r="HUS104" s="128"/>
      <c r="HUT104" s="128"/>
      <c r="HUU104" s="121"/>
      <c r="HUV104" s="121"/>
      <c r="HUW104" s="121"/>
      <c r="HUX104" s="132"/>
      <c r="HUY104" s="132"/>
      <c r="HUZ104" s="129"/>
      <c r="HVA104" s="130"/>
      <c r="HVB104" s="121"/>
      <c r="HVC104" s="121"/>
      <c r="HVD104" s="121"/>
      <c r="HVE104" s="130"/>
      <c r="HVF104" s="121"/>
      <c r="HVG104" s="130"/>
      <c r="HVH104" s="122"/>
      <c r="HVI104" s="121"/>
      <c r="HVJ104" s="121"/>
      <c r="HVK104" s="127"/>
      <c r="HVL104" s="127"/>
      <c r="HVM104" s="120"/>
      <c r="HVN104" s="130"/>
      <c r="HVO104" s="130"/>
      <c r="HVP104" s="139"/>
      <c r="HVQ104" s="130"/>
      <c r="HVR104" s="130"/>
      <c r="HVS104" s="130"/>
      <c r="HVT104" s="130"/>
      <c r="HVU104" s="130"/>
      <c r="HVV104" s="140"/>
      <c r="HVW104" s="140"/>
      <c r="HVX104" s="140"/>
      <c r="HVY104" s="141"/>
      <c r="HVZ104" s="119"/>
      <c r="HWA104" s="128"/>
      <c r="HWB104" s="119"/>
      <c r="HWC104" s="141"/>
      <c r="HWD104" s="141"/>
      <c r="HWE104" s="132"/>
      <c r="HWF104" s="121"/>
      <c r="HWG104" s="121"/>
      <c r="HWH104" s="121"/>
      <c r="HWI104" s="128"/>
      <c r="HWJ104" s="128"/>
      <c r="HWK104" s="128"/>
      <c r="HWL104" s="128"/>
      <c r="HWM104" s="121"/>
      <c r="HWN104" s="121"/>
      <c r="HWO104" s="121"/>
      <c r="HWP104" s="132"/>
      <c r="HWQ104" s="132"/>
      <c r="HWR104" s="129"/>
      <c r="HWS104" s="130"/>
      <c r="HWT104" s="121"/>
      <c r="HWU104" s="121"/>
      <c r="HWV104" s="121"/>
      <c r="HWW104" s="130"/>
      <c r="HWX104" s="121"/>
      <c r="HWY104" s="130"/>
      <c r="HWZ104" s="122"/>
      <c r="HXA104" s="121"/>
      <c r="HXB104" s="121"/>
      <c r="HXC104" s="127"/>
      <c r="HXD104" s="127"/>
      <c r="HXE104" s="120"/>
      <c r="HXF104" s="130"/>
      <c r="HXG104" s="130"/>
      <c r="HXH104" s="139"/>
      <c r="HXI104" s="130"/>
      <c r="HXJ104" s="130"/>
      <c r="HXK104" s="130"/>
      <c r="HXL104" s="130"/>
      <c r="HXM104" s="130"/>
      <c r="HXN104" s="140"/>
      <c r="HXO104" s="140"/>
      <c r="HXP104" s="140"/>
      <c r="HXQ104" s="141"/>
      <c r="HXR104" s="119"/>
      <c r="HXS104" s="128"/>
      <c r="HXT104" s="119"/>
      <c r="HXU104" s="141"/>
      <c r="HXV104" s="141"/>
      <c r="HXW104" s="132"/>
      <c r="HXX104" s="121"/>
      <c r="HXY104" s="121"/>
      <c r="HXZ104" s="121"/>
      <c r="HYA104" s="128"/>
      <c r="HYB104" s="128"/>
      <c r="HYC104" s="128"/>
      <c r="HYD104" s="128"/>
      <c r="HYE104" s="121"/>
      <c r="HYF104" s="121"/>
      <c r="HYG104" s="121"/>
      <c r="HYH104" s="132"/>
      <c r="HYI104" s="132"/>
      <c r="HYJ104" s="129"/>
      <c r="HYK104" s="130"/>
      <c r="HYL104" s="121"/>
      <c r="HYM104" s="121"/>
      <c r="HYN104" s="121"/>
      <c r="HYO104" s="130"/>
      <c r="HYP104" s="121"/>
      <c r="HYQ104" s="130"/>
      <c r="HYR104" s="122"/>
      <c r="HYS104" s="121"/>
      <c r="HYT104" s="121"/>
      <c r="HYU104" s="127"/>
      <c r="HYV104" s="127"/>
      <c r="HYW104" s="120"/>
      <c r="HYX104" s="130"/>
      <c r="HYY104" s="130"/>
      <c r="HYZ104" s="139"/>
      <c r="HZA104" s="130"/>
      <c r="HZB104" s="130"/>
      <c r="HZC104" s="130"/>
      <c r="HZD104" s="130"/>
      <c r="HZE104" s="130"/>
      <c r="HZF104" s="140"/>
      <c r="HZG104" s="140"/>
      <c r="HZH104" s="140"/>
      <c r="HZI104" s="141"/>
      <c r="HZJ104" s="119"/>
      <c r="HZK104" s="128"/>
      <c r="HZL104" s="119"/>
      <c r="HZM104" s="141"/>
      <c r="HZN104" s="141"/>
      <c r="HZO104" s="132"/>
      <c r="HZP104" s="121"/>
      <c r="HZQ104" s="121"/>
      <c r="HZR104" s="121"/>
      <c r="HZS104" s="128"/>
      <c r="HZT104" s="128"/>
      <c r="HZU104" s="128"/>
      <c r="HZV104" s="128"/>
      <c r="HZW104" s="121"/>
      <c r="HZX104" s="121"/>
      <c r="HZY104" s="121"/>
      <c r="HZZ104" s="132"/>
      <c r="IAA104" s="132"/>
      <c r="IAB104" s="129"/>
      <c r="IAC104" s="130"/>
      <c r="IAD104" s="121"/>
      <c r="IAE104" s="121"/>
      <c r="IAF104" s="121"/>
      <c r="IAG104" s="130"/>
      <c r="IAH104" s="121"/>
      <c r="IAI104" s="130"/>
      <c r="IAJ104" s="122"/>
      <c r="IAK104" s="121"/>
      <c r="IAL104" s="121"/>
      <c r="IAM104" s="127"/>
      <c r="IAN104" s="127"/>
      <c r="IAO104" s="120"/>
      <c r="IAP104" s="130"/>
      <c r="IAQ104" s="130"/>
      <c r="IAR104" s="139"/>
      <c r="IAS104" s="130"/>
      <c r="IAT104" s="130"/>
      <c r="IAU104" s="130"/>
      <c r="IAV104" s="130"/>
      <c r="IAW104" s="130"/>
      <c r="IAX104" s="140"/>
      <c r="IAY104" s="140"/>
      <c r="IAZ104" s="140"/>
      <c r="IBA104" s="141"/>
      <c r="IBB104" s="119"/>
      <c r="IBC104" s="128"/>
      <c r="IBD104" s="119"/>
      <c r="IBE104" s="141"/>
      <c r="IBF104" s="141"/>
      <c r="IBG104" s="132"/>
      <c r="IBH104" s="121"/>
      <c r="IBI104" s="121"/>
      <c r="IBJ104" s="121"/>
      <c r="IBK104" s="128"/>
      <c r="IBL104" s="128"/>
      <c r="IBM104" s="128"/>
      <c r="IBN104" s="128"/>
      <c r="IBO104" s="121"/>
      <c r="IBP104" s="121"/>
      <c r="IBQ104" s="121"/>
      <c r="IBR104" s="132"/>
      <c r="IBS104" s="132"/>
      <c r="IBT104" s="129"/>
      <c r="IBU104" s="130"/>
      <c r="IBV104" s="121"/>
      <c r="IBW104" s="121"/>
      <c r="IBX104" s="121"/>
      <c r="IBY104" s="130"/>
      <c r="IBZ104" s="121"/>
      <c r="ICA104" s="130"/>
      <c r="ICB104" s="122"/>
      <c r="ICC104" s="121"/>
      <c r="ICD104" s="121"/>
      <c r="ICE104" s="127"/>
      <c r="ICF104" s="127"/>
      <c r="ICG104" s="120"/>
      <c r="ICH104" s="130"/>
      <c r="ICI104" s="130"/>
      <c r="ICJ104" s="139"/>
      <c r="ICK104" s="130"/>
      <c r="ICL104" s="130"/>
      <c r="ICM104" s="130"/>
      <c r="ICN104" s="130"/>
      <c r="ICO104" s="130"/>
      <c r="ICP104" s="140"/>
      <c r="ICQ104" s="140"/>
      <c r="ICR104" s="140"/>
      <c r="ICS104" s="141"/>
      <c r="ICT104" s="119"/>
      <c r="ICU104" s="128"/>
      <c r="ICV104" s="119"/>
      <c r="ICW104" s="141"/>
      <c r="ICX104" s="141"/>
      <c r="ICY104" s="132"/>
      <c r="ICZ104" s="121"/>
      <c r="IDA104" s="121"/>
      <c r="IDB104" s="121"/>
      <c r="IDC104" s="128"/>
      <c r="IDD104" s="128"/>
      <c r="IDE104" s="128"/>
      <c r="IDF104" s="128"/>
      <c r="IDG104" s="121"/>
      <c r="IDH104" s="121"/>
      <c r="IDI104" s="121"/>
      <c r="IDJ104" s="132"/>
      <c r="IDK104" s="132"/>
      <c r="IDL104" s="129"/>
      <c r="IDM104" s="130"/>
      <c r="IDN104" s="121"/>
      <c r="IDO104" s="121"/>
      <c r="IDP104" s="121"/>
      <c r="IDQ104" s="130"/>
      <c r="IDR104" s="121"/>
      <c r="IDS104" s="130"/>
      <c r="IDT104" s="122"/>
      <c r="IDU104" s="121"/>
      <c r="IDV104" s="121"/>
      <c r="IDW104" s="127"/>
      <c r="IDX104" s="127"/>
      <c r="IDY104" s="120"/>
      <c r="IDZ104" s="130"/>
      <c r="IEA104" s="130"/>
      <c r="IEB104" s="139"/>
      <c r="IEC104" s="130"/>
      <c r="IED104" s="130"/>
      <c r="IEE104" s="130"/>
      <c r="IEF104" s="130"/>
      <c r="IEG104" s="130"/>
      <c r="IEH104" s="140"/>
      <c r="IEI104" s="140"/>
      <c r="IEJ104" s="140"/>
      <c r="IEK104" s="141"/>
      <c r="IEL104" s="119"/>
      <c r="IEM104" s="128"/>
      <c r="IEN104" s="119"/>
      <c r="IEO104" s="141"/>
      <c r="IEP104" s="141"/>
      <c r="IEQ104" s="132"/>
      <c r="IER104" s="121"/>
      <c r="IES104" s="121"/>
      <c r="IET104" s="121"/>
      <c r="IEU104" s="128"/>
      <c r="IEV104" s="128"/>
      <c r="IEW104" s="128"/>
      <c r="IEX104" s="128"/>
      <c r="IEY104" s="121"/>
      <c r="IEZ104" s="121"/>
      <c r="IFA104" s="121"/>
      <c r="IFB104" s="132"/>
      <c r="IFC104" s="132"/>
      <c r="IFD104" s="129"/>
      <c r="IFE104" s="130"/>
      <c r="IFF104" s="121"/>
      <c r="IFG104" s="121"/>
      <c r="IFH104" s="121"/>
      <c r="IFI104" s="130"/>
      <c r="IFJ104" s="121"/>
      <c r="IFK104" s="130"/>
      <c r="IFL104" s="122"/>
      <c r="IFM104" s="121"/>
      <c r="IFN104" s="121"/>
      <c r="IFO104" s="127"/>
      <c r="IFP104" s="127"/>
      <c r="IFQ104" s="120"/>
      <c r="IFR104" s="130"/>
      <c r="IFS104" s="130"/>
      <c r="IFT104" s="139"/>
      <c r="IFU104" s="130"/>
      <c r="IFV104" s="130"/>
      <c r="IFW104" s="130"/>
      <c r="IFX104" s="130"/>
      <c r="IFY104" s="130"/>
      <c r="IFZ104" s="140"/>
      <c r="IGA104" s="140"/>
      <c r="IGB104" s="140"/>
      <c r="IGC104" s="141"/>
      <c r="IGD104" s="119"/>
      <c r="IGE104" s="128"/>
      <c r="IGF104" s="119"/>
      <c r="IGG104" s="141"/>
      <c r="IGH104" s="141"/>
      <c r="IGI104" s="132"/>
      <c r="IGJ104" s="121"/>
      <c r="IGK104" s="121"/>
      <c r="IGL104" s="121"/>
      <c r="IGM104" s="128"/>
      <c r="IGN104" s="128"/>
      <c r="IGO104" s="128"/>
      <c r="IGP104" s="128"/>
      <c r="IGQ104" s="121"/>
      <c r="IGR104" s="121"/>
      <c r="IGS104" s="121"/>
      <c r="IGT104" s="132"/>
      <c r="IGU104" s="132"/>
      <c r="IGV104" s="129"/>
      <c r="IGW104" s="130"/>
      <c r="IGX104" s="121"/>
      <c r="IGY104" s="121"/>
      <c r="IGZ104" s="121"/>
      <c r="IHA104" s="130"/>
      <c r="IHB104" s="121"/>
      <c r="IHC104" s="130"/>
      <c r="IHD104" s="122"/>
      <c r="IHE104" s="121"/>
      <c r="IHF104" s="121"/>
      <c r="IHG104" s="127"/>
      <c r="IHH104" s="127"/>
      <c r="IHI104" s="120"/>
      <c r="IHJ104" s="130"/>
      <c r="IHK104" s="130"/>
      <c r="IHL104" s="139"/>
      <c r="IHM104" s="130"/>
      <c r="IHN104" s="130"/>
      <c r="IHO104" s="130"/>
      <c r="IHP104" s="130"/>
      <c r="IHQ104" s="130"/>
      <c r="IHR104" s="140"/>
      <c r="IHS104" s="140"/>
      <c r="IHT104" s="140"/>
      <c r="IHU104" s="141"/>
      <c r="IHV104" s="119"/>
      <c r="IHW104" s="128"/>
      <c r="IHX104" s="119"/>
      <c r="IHY104" s="141"/>
      <c r="IHZ104" s="141"/>
      <c r="IIA104" s="132"/>
      <c r="IIB104" s="121"/>
      <c r="IIC104" s="121"/>
      <c r="IID104" s="121"/>
      <c r="IIE104" s="128"/>
      <c r="IIF104" s="128"/>
      <c r="IIG104" s="128"/>
      <c r="IIH104" s="128"/>
      <c r="III104" s="121"/>
      <c r="IIJ104" s="121"/>
      <c r="IIK104" s="121"/>
      <c r="IIL104" s="132"/>
      <c r="IIM104" s="132"/>
      <c r="IIN104" s="129"/>
      <c r="IIO104" s="130"/>
      <c r="IIP104" s="121"/>
      <c r="IIQ104" s="121"/>
      <c r="IIR104" s="121"/>
      <c r="IIS104" s="130"/>
      <c r="IIT104" s="121"/>
      <c r="IIU104" s="130"/>
      <c r="IIV104" s="122"/>
      <c r="IIW104" s="121"/>
      <c r="IIX104" s="121"/>
      <c r="IIY104" s="127"/>
      <c r="IIZ104" s="127"/>
      <c r="IJA104" s="120"/>
      <c r="IJB104" s="130"/>
      <c r="IJC104" s="130"/>
      <c r="IJD104" s="139"/>
      <c r="IJE104" s="130"/>
      <c r="IJF104" s="130"/>
      <c r="IJG104" s="130"/>
      <c r="IJH104" s="130"/>
      <c r="IJI104" s="130"/>
      <c r="IJJ104" s="140"/>
      <c r="IJK104" s="140"/>
      <c r="IJL104" s="140"/>
      <c r="IJM104" s="141"/>
      <c r="IJN104" s="119"/>
      <c r="IJO104" s="128"/>
      <c r="IJP104" s="119"/>
      <c r="IJQ104" s="141"/>
      <c r="IJR104" s="141"/>
      <c r="IJS104" s="132"/>
      <c r="IJT104" s="121"/>
      <c r="IJU104" s="121"/>
      <c r="IJV104" s="121"/>
      <c r="IJW104" s="128"/>
      <c r="IJX104" s="128"/>
      <c r="IJY104" s="128"/>
      <c r="IJZ104" s="128"/>
      <c r="IKA104" s="121"/>
      <c r="IKB104" s="121"/>
      <c r="IKC104" s="121"/>
      <c r="IKD104" s="132"/>
      <c r="IKE104" s="132"/>
      <c r="IKF104" s="129"/>
      <c r="IKG104" s="130"/>
      <c r="IKH104" s="121"/>
      <c r="IKI104" s="121"/>
      <c r="IKJ104" s="121"/>
      <c r="IKK104" s="130"/>
      <c r="IKL104" s="121"/>
      <c r="IKM104" s="130"/>
      <c r="IKN104" s="122"/>
      <c r="IKO104" s="121"/>
      <c r="IKP104" s="121"/>
      <c r="IKQ104" s="127"/>
      <c r="IKR104" s="127"/>
      <c r="IKS104" s="120"/>
      <c r="IKT104" s="130"/>
      <c r="IKU104" s="130"/>
      <c r="IKV104" s="139"/>
      <c r="IKW104" s="130"/>
      <c r="IKX104" s="130"/>
      <c r="IKY104" s="130"/>
      <c r="IKZ104" s="130"/>
      <c r="ILA104" s="130"/>
      <c r="ILB104" s="140"/>
      <c r="ILC104" s="140"/>
      <c r="ILD104" s="140"/>
      <c r="ILE104" s="141"/>
      <c r="ILF104" s="119"/>
      <c r="ILG104" s="128"/>
      <c r="ILH104" s="119"/>
      <c r="ILI104" s="141"/>
      <c r="ILJ104" s="141"/>
      <c r="ILK104" s="132"/>
      <c r="ILL104" s="121"/>
      <c r="ILM104" s="121"/>
      <c r="ILN104" s="121"/>
      <c r="ILO104" s="128"/>
      <c r="ILP104" s="128"/>
      <c r="ILQ104" s="128"/>
      <c r="ILR104" s="128"/>
      <c r="ILS104" s="121"/>
      <c r="ILT104" s="121"/>
      <c r="ILU104" s="121"/>
      <c r="ILV104" s="132"/>
      <c r="ILW104" s="132"/>
      <c r="ILX104" s="129"/>
      <c r="ILY104" s="130"/>
      <c r="ILZ104" s="121"/>
      <c r="IMA104" s="121"/>
      <c r="IMB104" s="121"/>
      <c r="IMC104" s="130"/>
      <c r="IMD104" s="121"/>
      <c r="IME104" s="130"/>
      <c r="IMF104" s="122"/>
      <c r="IMG104" s="121"/>
      <c r="IMH104" s="121"/>
      <c r="IMI104" s="127"/>
      <c r="IMJ104" s="127"/>
      <c r="IMK104" s="120"/>
      <c r="IML104" s="130"/>
      <c r="IMM104" s="130"/>
      <c r="IMN104" s="139"/>
      <c r="IMO104" s="130"/>
      <c r="IMP104" s="130"/>
      <c r="IMQ104" s="130"/>
      <c r="IMR104" s="130"/>
      <c r="IMS104" s="130"/>
      <c r="IMT104" s="140"/>
      <c r="IMU104" s="140"/>
      <c r="IMV104" s="140"/>
      <c r="IMW104" s="141"/>
      <c r="IMX104" s="119"/>
      <c r="IMY104" s="128"/>
      <c r="IMZ104" s="119"/>
      <c r="INA104" s="141"/>
      <c r="INB104" s="141"/>
      <c r="INC104" s="132"/>
      <c r="IND104" s="121"/>
      <c r="INE104" s="121"/>
      <c r="INF104" s="121"/>
      <c r="ING104" s="128"/>
      <c r="INH104" s="128"/>
      <c r="INI104" s="128"/>
      <c r="INJ104" s="128"/>
      <c r="INK104" s="121"/>
      <c r="INL104" s="121"/>
      <c r="INM104" s="121"/>
      <c r="INN104" s="132"/>
      <c r="INO104" s="132"/>
      <c r="INP104" s="129"/>
      <c r="INQ104" s="130"/>
      <c r="INR104" s="121"/>
      <c r="INS104" s="121"/>
      <c r="INT104" s="121"/>
      <c r="INU104" s="130"/>
      <c r="INV104" s="121"/>
      <c r="INW104" s="130"/>
      <c r="INX104" s="122"/>
      <c r="INY104" s="121"/>
      <c r="INZ104" s="121"/>
      <c r="IOA104" s="127"/>
      <c r="IOB104" s="127"/>
      <c r="IOC104" s="120"/>
      <c r="IOD104" s="130"/>
      <c r="IOE104" s="130"/>
      <c r="IOF104" s="139"/>
      <c r="IOG104" s="130"/>
      <c r="IOH104" s="130"/>
      <c r="IOI104" s="130"/>
      <c r="IOJ104" s="130"/>
      <c r="IOK104" s="130"/>
      <c r="IOL104" s="140"/>
      <c r="IOM104" s="140"/>
      <c r="ION104" s="140"/>
      <c r="IOO104" s="141"/>
      <c r="IOP104" s="119"/>
      <c r="IOQ104" s="128"/>
      <c r="IOR104" s="119"/>
      <c r="IOS104" s="141"/>
      <c r="IOT104" s="141"/>
      <c r="IOU104" s="132"/>
      <c r="IOV104" s="121"/>
      <c r="IOW104" s="121"/>
      <c r="IOX104" s="121"/>
      <c r="IOY104" s="128"/>
      <c r="IOZ104" s="128"/>
      <c r="IPA104" s="128"/>
      <c r="IPB104" s="128"/>
      <c r="IPC104" s="121"/>
      <c r="IPD104" s="121"/>
      <c r="IPE104" s="121"/>
      <c r="IPF104" s="132"/>
      <c r="IPG104" s="132"/>
      <c r="IPH104" s="129"/>
      <c r="IPI104" s="130"/>
      <c r="IPJ104" s="121"/>
      <c r="IPK104" s="121"/>
      <c r="IPL104" s="121"/>
      <c r="IPM104" s="130"/>
      <c r="IPN104" s="121"/>
      <c r="IPO104" s="130"/>
      <c r="IPP104" s="122"/>
      <c r="IPQ104" s="121"/>
      <c r="IPR104" s="121"/>
      <c r="IPS104" s="127"/>
      <c r="IPT104" s="127"/>
      <c r="IPU104" s="120"/>
      <c r="IPV104" s="130"/>
      <c r="IPW104" s="130"/>
      <c r="IPX104" s="139"/>
      <c r="IPY104" s="130"/>
      <c r="IPZ104" s="130"/>
      <c r="IQA104" s="130"/>
      <c r="IQB104" s="130"/>
      <c r="IQC104" s="130"/>
      <c r="IQD104" s="140"/>
      <c r="IQE104" s="140"/>
      <c r="IQF104" s="140"/>
      <c r="IQG104" s="141"/>
      <c r="IQH104" s="119"/>
      <c r="IQI104" s="128"/>
      <c r="IQJ104" s="119"/>
      <c r="IQK104" s="141"/>
      <c r="IQL104" s="141"/>
      <c r="IQM104" s="132"/>
      <c r="IQN104" s="121"/>
      <c r="IQO104" s="121"/>
      <c r="IQP104" s="121"/>
      <c r="IQQ104" s="128"/>
      <c r="IQR104" s="128"/>
      <c r="IQS104" s="128"/>
      <c r="IQT104" s="128"/>
      <c r="IQU104" s="121"/>
      <c r="IQV104" s="121"/>
      <c r="IQW104" s="121"/>
      <c r="IQX104" s="132"/>
      <c r="IQY104" s="132"/>
      <c r="IQZ104" s="129"/>
      <c r="IRA104" s="130"/>
      <c r="IRB104" s="121"/>
      <c r="IRC104" s="121"/>
      <c r="IRD104" s="121"/>
      <c r="IRE104" s="130"/>
      <c r="IRF104" s="121"/>
      <c r="IRG104" s="130"/>
      <c r="IRH104" s="122"/>
      <c r="IRI104" s="121"/>
      <c r="IRJ104" s="121"/>
      <c r="IRK104" s="127"/>
      <c r="IRL104" s="127"/>
      <c r="IRM104" s="120"/>
      <c r="IRN104" s="130"/>
      <c r="IRO104" s="130"/>
      <c r="IRP104" s="139"/>
      <c r="IRQ104" s="130"/>
      <c r="IRR104" s="130"/>
      <c r="IRS104" s="130"/>
      <c r="IRT104" s="130"/>
      <c r="IRU104" s="130"/>
      <c r="IRV104" s="140"/>
      <c r="IRW104" s="140"/>
      <c r="IRX104" s="140"/>
      <c r="IRY104" s="141"/>
      <c r="IRZ104" s="119"/>
      <c r="ISA104" s="128"/>
      <c r="ISB104" s="119"/>
      <c r="ISC104" s="141"/>
      <c r="ISD104" s="141"/>
      <c r="ISE104" s="132"/>
      <c r="ISF104" s="121"/>
      <c r="ISG104" s="121"/>
      <c r="ISH104" s="121"/>
      <c r="ISI104" s="128"/>
      <c r="ISJ104" s="128"/>
      <c r="ISK104" s="128"/>
      <c r="ISL104" s="128"/>
      <c r="ISM104" s="121"/>
      <c r="ISN104" s="121"/>
      <c r="ISO104" s="121"/>
      <c r="ISP104" s="132"/>
      <c r="ISQ104" s="132"/>
      <c r="ISR104" s="129"/>
      <c r="ISS104" s="130"/>
      <c r="IST104" s="121"/>
      <c r="ISU104" s="121"/>
      <c r="ISV104" s="121"/>
      <c r="ISW104" s="130"/>
      <c r="ISX104" s="121"/>
      <c r="ISY104" s="130"/>
      <c r="ISZ104" s="122"/>
      <c r="ITA104" s="121"/>
      <c r="ITB104" s="121"/>
      <c r="ITC104" s="127"/>
      <c r="ITD104" s="127"/>
      <c r="ITE104" s="120"/>
      <c r="ITF104" s="130"/>
      <c r="ITG104" s="130"/>
      <c r="ITH104" s="139"/>
      <c r="ITI104" s="130"/>
      <c r="ITJ104" s="130"/>
      <c r="ITK104" s="130"/>
      <c r="ITL104" s="130"/>
      <c r="ITM104" s="130"/>
      <c r="ITN104" s="140"/>
      <c r="ITO104" s="140"/>
      <c r="ITP104" s="140"/>
      <c r="ITQ104" s="141"/>
      <c r="ITR104" s="119"/>
      <c r="ITS104" s="128"/>
      <c r="ITT104" s="119"/>
      <c r="ITU104" s="141"/>
      <c r="ITV104" s="141"/>
      <c r="ITW104" s="132"/>
      <c r="ITX104" s="121"/>
      <c r="ITY104" s="121"/>
      <c r="ITZ104" s="121"/>
      <c r="IUA104" s="128"/>
      <c r="IUB104" s="128"/>
      <c r="IUC104" s="128"/>
      <c r="IUD104" s="128"/>
      <c r="IUE104" s="121"/>
      <c r="IUF104" s="121"/>
      <c r="IUG104" s="121"/>
      <c r="IUH104" s="132"/>
      <c r="IUI104" s="132"/>
      <c r="IUJ104" s="129"/>
      <c r="IUK104" s="130"/>
      <c r="IUL104" s="121"/>
      <c r="IUM104" s="121"/>
      <c r="IUN104" s="121"/>
      <c r="IUO104" s="130"/>
      <c r="IUP104" s="121"/>
      <c r="IUQ104" s="130"/>
      <c r="IUR104" s="122"/>
      <c r="IUS104" s="121"/>
      <c r="IUT104" s="121"/>
      <c r="IUU104" s="127"/>
      <c r="IUV104" s="127"/>
      <c r="IUW104" s="120"/>
      <c r="IUX104" s="130"/>
      <c r="IUY104" s="130"/>
      <c r="IUZ104" s="139"/>
      <c r="IVA104" s="130"/>
      <c r="IVB104" s="130"/>
      <c r="IVC104" s="130"/>
      <c r="IVD104" s="130"/>
      <c r="IVE104" s="130"/>
      <c r="IVF104" s="140"/>
      <c r="IVG104" s="140"/>
      <c r="IVH104" s="140"/>
      <c r="IVI104" s="141"/>
      <c r="IVJ104" s="119"/>
      <c r="IVK104" s="128"/>
      <c r="IVL104" s="119"/>
      <c r="IVM104" s="141"/>
      <c r="IVN104" s="141"/>
      <c r="IVO104" s="132"/>
      <c r="IVP104" s="121"/>
      <c r="IVQ104" s="121"/>
      <c r="IVR104" s="121"/>
      <c r="IVS104" s="128"/>
      <c r="IVT104" s="128"/>
      <c r="IVU104" s="128"/>
      <c r="IVV104" s="128"/>
      <c r="IVW104" s="121"/>
      <c r="IVX104" s="121"/>
      <c r="IVY104" s="121"/>
      <c r="IVZ104" s="132"/>
      <c r="IWA104" s="132"/>
      <c r="IWB104" s="129"/>
      <c r="IWC104" s="130"/>
      <c r="IWD104" s="121"/>
      <c r="IWE104" s="121"/>
      <c r="IWF104" s="121"/>
      <c r="IWG104" s="130"/>
      <c r="IWH104" s="121"/>
      <c r="IWI104" s="130"/>
      <c r="IWJ104" s="122"/>
      <c r="IWK104" s="121"/>
      <c r="IWL104" s="121"/>
      <c r="IWM104" s="127"/>
      <c r="IWN104" s="127"/>
      <c r="IWO104" s="120"/>
      <c r="IWP104" s="130"/>
      <c r="IWQ104" s="130"/>
      <c r="IWR104" s="139"/>
      <c r="IWS104" s="130"/>
      <c r="IWT104" s="130"/>
      <c r="IWU104" s="130"/>
      <c r="IWV104" s="130"/>
      <c r="IWW104" s="130"/>
      <c r="IWX104" s="140"/>
      <c r="IWY104" s="140"/>
      <c r="IWZ104" s="140"/>
      <c r="IXA104" s="141"/>
      <c r="IXB104" s="119"/>
      <c r="IXC104" s="128"/>
      <c r="IXD104" s="119"/>
      <c r="IXE104" s="141"/>
      <c r="IXF104" s="141"/>
      <c r="IXG104" s="132"/>
      <c r="IXH104" s="121"/>
      <c r="IXI104" s="121"/>
      <c r="IXJ104" s="121"/>
      <c r="IXK104" s="128"/>
      <c r="IXL104" s="128"/>
      <c r="IXM104" s="128"/>
      <c r="IXN104" s="128"/>
      <c r="IXO104" s="121"/>
      <c r="IXP104" s="121"/>
      <c r="IXQ104" s="121"/>
      <c r="IXR104" s="132"/>
      <c r="IXS104" s="132"/>
      <c r="IXT104" s="129"/>
      <c r="IXU104" s="130"/>
      <c r="IXV104" s="121"/>
      <c r="IXW104" s="121"/>
      <c r="IXX104" s="121"/>
      <c r="IXY104" s="130"/>
      <c r="IXZ104" s="121"/>
      <c r="IYA104" s="130"/>
      <c r="IYB104" s="122"/>
      <c r="IYC104" s="121"/>
      <c r="IYD104" s="121"/>
      <c r="IYE104" s="127"/>
      <c r="IYF104" s="127"/>
      <c r="IYG104" s="120"/>
      <c r="IYH104" s="130"/>
      <c r="IYI104" s="130"/>
      <c r="IYJ104" s="139"/>
      <c r="IYK104" s="130"/>
      <c r="IYL104" s="130"/>
      <c r="IYM104" s="130"/>
      <c r="IYN104" s="130"/>
      <c r="IYO104" s="130"/>
      <c r="IYP104" s="140"/>
      <c r="IYQ104" s="140"/>
      <c r="IYR104" s="140"/>
      <c r="IYS104" s="141"/>
      <c r="IYT104" s="119"/>
      <c r="IYU104" s="128"/>
      <c r="IYV104" s="119"/>
      <c r="IYW104" s="141"/>
      <c r="IYX104" s="141"/>
      <c r="IYY104" s="132"/>
      <c r="IYZ104" s="121"/>
      <c r="IZA104" s="121"/>
      <c r="IZB104" s="121"/>
      <c r="IZC104" s="128"/>
      <c r="IZD104" s="128"/>
      <c r="IZE104" s="128"/>
      <c r="IZF104" s="128"/>
      <c r="IZG104" s="121"/>
      <c r="IZH104" s="121"/>
      <c r="IZI104" s="121"/>
      <c r="IZJ104" s="132"/>
      <c r="IZK104" s="132"/>
      <c r="IZL104" s="129"/>
      <c r="IZM104" s="130"/>
      <c r="IZN104" s="121"/>
      <c r="IZO104" s="121"/>
      <c r="IZP104" s="121"/>
      <c r="IZQ104" s="130"/>
      <c r="IZR104" s="121"/>
      <c r="IZS104" s="130"/>
      <c r="IZT104" s="122"/>
      <c r="IZU104" s="121"/>
      <c r="IZV104" s="121"/>
      <c r="IZW104" s="127"/>
      <c r="IZX104" s="127"/>
      <c r="IZY104" s="120"/>
      <c r="IZZ104" s="130"/>
      <c r="JAA104" s="130"/>
      <c r="JAB104" s="139"/>
      <c r="JAC104" s="130"/>
      <c r="JAD104" s="130"/>
      <c r="JAE104" s="130"/>
      <c r="JAF104" s="130"/>
      <c r="JAG104" s="130"/>
      <c r="JAH104" s="140"/>
      <c r="JAI104" s="140"/>
      <c r="JAJ104" s="140"/>
      <c r="JAK104" s="141"/>
      <c r="JAL104" s="119"/>
      <c r="JAM104" s="128"/>
      <c r="JAN104" s="119"/>
      <c r="JAO104" s="141"/>
      <c r="JAP104" s="141"/>
      <c r="JAQ104" s="132"/>
      <c r="JAR104" s="121"/>
      <c r="JAS104" s="121"/>
      <c r="JAT104" s="121"/>
      <c r="JAU104" s="128"/>
      <c r="JAV104" s="128"/>
      <c r="JAW104" s="128"/>
      <c r="JAX104" s="128"/>
      <c r="JAY104" s="121"/>
      <c r="JAZ104" s="121"/>
      <c r="JBA104" s="121"/>
      <c r="JBB104" s="132"/>
      <c r="JBC104" s="132"/>
      <c r="JBD104" s="129"/>
      <c r="JBE104" s="130"/>
      <c r="JBF104" s="121"/>
      <c r="JBG104" s="121"/>
      <c r="JBH104" s="121"/>
      <c r="JBI104" s="130"/>
      <c r="JBJ104" s="121"/>
      <c r="JBK104" s="130"/>
      <c r="JBL104" s="122"/>
      <c r="JBM104" s="121"/>
      <c r="JBN104" s="121"/>
      <c r="JBO104" s="127"/>
      <c r="JBP104" s="127"/>
      <c r="JBQ104" s="120"/>
      <c r="JBR104" s="130"/>
      <c r="JBS104" s="130"/>
      <c r="JBT104" s="139"/>
      <c r="JBU104" s="130"/>
      <c r="JBV104" s="130"/>
      <c r="JBW104" s="130"/>
      <c r="JBX104" s="130"/>
      <c r="JBY104" s="130"/>
      <c r="JBZ104" s="140"/>
      <c r="JCA104" s="140"/>
      <c r="JCB104" s="140"/>
      <c r="JCC104" s="141"/>
      <c r="JCD104" s="119"/>
      <c r="JCE104" s="128"/>
      <c r="JCF104" s="119"/>
      <c r="JCG104" s="141"/>
      <c r="JCH104" s="141"/>
      <c r="JCI104" s="132"/>
      <c r="JCJ104" s="121"/>
      <c r="JCK104" s="121"/>
      <c r="JCL104" s="121"/>
      <c r="JCM104" s="128"/>
      <c r="JCN104" s="128"/>
      <c r="JCO104" s="128"/>
      <c r="JCP104" s="128"/>
      <c r="JCQ104" s="121"/>
      <c r="JCR104" s="121"/>
      <c r="JCS104" s="121"/>
      <c r="JCT104" s="132"/>
      <c r="JCU104" s="132"/>
      <c r="JCV104" s="129"/>
      <c r="JCW104" s="130"/>
      <c r="JCX104" s="121"/>
      <c r="JCY104" s="121"/>
      <c r="JCZ104" s="121"/>
      <c r="JDA104" s="130"/>
      <c r="JDB104" s="121"/>
      <c r="JDC104" s="130"/>
      <c r="JDD104" s="122"/>
      <c r="JDE104" s="121"/>
      <c r="JDF104" s="121"/>
      <c r="JDG104" s="127"/>
      <c r="JDH104" s="127"/>
      <c r="JDI104" s="120"/>
      <c r="JDJ104" s="130"/>
      <c r="JDK104" s="130"/>
      <c r="JDL104" s="139"/>
      <c r="JDM104" s="130"/>
      <c r="JDN104" s="130"/>
      <c r="JDO104" s="130"/>
      <c r="JDP104" s="130"/>
      <c r="JDQ104" s="130"/>
      <c r="JDR104" s="140"/>
      <c r="JDS104" s="140"/>
      <c r="JDT104" s="140"/>
      <c r="JDU104" s="141"/>
      <c r="JDV104" s="119"/>
      <c r="JDW104" s="128"/>
      <c r="JDX104" s="119"/>
      <c r="JDY104" s="141"/>
      <c r="JDZ104" s="141"/>
      <c r="JEA104" s="132"/>
      <c r="JEB104" s="121"/>
      <c r="JEC104" s="121"/>
      <c r="JED104" s="121"/>
      <c r="JEE104" s="128"/>
      <c r="JEF104" s="128"/>
      <c r="JEG104" s="128"/>
      <c r="JEH104" s="128"/>
      <c r="JEI104" s="121"/>
      <c r="JEJ104" s="121"/>
      <c r="JEK104" s="121"/>
      <c r="JEL104" s="132"/>
      <c r="JEM104" s="132"/>
      <c r="JEN104" s="129"/>
      <c r="JEO104" s="130"/>
      <c r="JEP104" s="121"/>
      <c r="JEQ104" s="121"/>
      <c r="JER104" s="121"/>
      <c r="JES104" s="130"/>
      <c r="JET104" s="121"/>
      <c r="JEU104" s="130"/>
      <c r="JEV104" s="122"/>
      <c r="JEW104" s="121"/>
      <c r="JEX104" s="121"/>
      <c r="JEY104" s="127"/>
      <c r="JEZ104" s="127"/>
      <c r="JFA104" s="120"/>
      <c r="JFB104" s="130"/>
      <c r="JFC104" s="130"/>
      <c r="JFD104" s="139"/>
      <c r="JFE104" s="130"/>
      <c r="JFF104" s="130"/>
      <c r="JFG104" s="130"/>
      <c r="JFH104" s="130"/>
      <c r="JFI104" s="130"/>
      <c r="JFJ104" s="140"/>
      <c r="JFK104" s="140"/>
      <c r="JFL104" s="140"/>
      <c r="JFM104" s="141"/>
      <c r="JFN104" s="119"/>
      <c r="JFO104" s="128"/>
      <c r="JFP104" s="119"/>
      <c r="JFQ104" s="141"/>
      <c r="JFR104" s="141"/>
      <c r="JFS104" s="132"/>
      <c r="JFT104" s="121"/>
      <c r="JFU104" s="121"/>
      <c r="JFV104" s="121"/>
      <c r="JFW104" s="128"/>
      <c r="JFX104" s="128"/>
      <c r="JFY104" s="128"/>
      <c r="JFZ104" s="128"/>
      <c r="JGA104" s="121"/>
      <c r="JGB104" s="121"/>
      <c r="JGC104" s="121"/>
      <c r="JGD104" s="132"/>
      <c r="JGE104" s="132"/>
      <c r="JGF104" s="129"/>
      <c r="JGG104" s="130"/>
      <c r="JGH104" s="121"/>
      <c r="JGI104" s="121"/>
      <c r="JGJ104" s="121"/>
      <c r="JGK104" s="130"/>
      <c r="JGL104" s="121"/>
      <c r="JGM104" s="130"/>
      <c r="JGN104" s="122"/>
      <c r="JGO104" s="121"/>
      <c r="JGP104" s="121"/>
      <c r="JGQ104" s="127"/>
      <c r="JGR104" s="127"/>
      <c r="JGS104" s="120"/>
      <c r="JGT104" s="130"/>
      <c r="JGU104" s="130"/>
      <c r="JGV104" s="139"/>
      <c r="JGW104" s="130"/>
      <c r="JGX104" s="130"/>
      <c r="JGY104" s="130"/>
      <c r="JGZ104" s="130"/>
      <c r="JHA104" s="130"/>
      <c r="JHB104" s="140"/>
      <c r="JHC104" s="140"/>
      <c r="JHD104" s="140"/>
      <c r="JHE104" s="141"/>
      <c r="JHF104" s="119"/>
      <c r="JHG104" s="128"/>
      <c r="JHH104" s="119"/>
      <c r="JHI104" s="141"/>
      <c r="JHJ104" s="141"/>
      <c r="JHK104" s="132"/>
      <c r="JHL104" s="121"/>
      <c r="JHM104" s="121"/>
      <c r="JHN104" s="121"/>
      <c r="JHO104" s="128"/>
      <c r="JHP104" s="128"/>
      <c r="JHQ104" s="128"/>
      <c r="JHR104" s="128"/>
      <c r="JHS104" s="121"/>
      <c r="JHT104" s="121"/>
      <c r="JHU104" s="121"/>
      <c r="JHV104" s="132"/>
      <c r="JHW104" s="132"/>
      <c r="JHX104" s="129"/>
      <c r="JHY104" s="130"/>
      <c r="JHZ104" s="121"/>
      <c r="JIA104" s="121"/>
      <c r="JIB104" s="121"/>
      <c r="JIC104" s="130"/>
      <c r="JID104" s="121"/>
      <c r="JIE104" s="130"/>
      <c r="JIF104" s="122"/>
      <c r="JIG104" s="121"/>
      <c r="JIH104" s="121"/>
      <c r="JII104" s="127"/>
      <c r="JIJ104" s="127"/>
      <c r="JIK104" s="120"/>
      <c r="JIL104" s="130"/>
      <c r="JIM104" s="130"/>
      <c r="JIN104" s="139"/>
      <c r="JIO104" s="130"/>
      <c r="JIP104" s="130"/>
      <c r="JIQ104" s="130"/>
      <c r="JIR104" s="130"/>
      <c r="JIS104" s="130"/>
      <c r="JIT104" s="140"/>
      <c r="JIU104" s="140"/>
      <c r="JIV104" s="140"/>
      <c r="JIW104" s="141"/>
      <c r="JIX104" s="119"/>
      <c r="JIY104" s="128"/>
      <c r="JIZ104" s="119"/>
      <c r="JJA104" s="141"/>
      <c r="JJB104" s="141"/>
      <c r="JJC104" s="132"/>
      <c r="JJD104" s="121"/>
      <c r="JJE104" s="121"/>
      <c r="JJF104" s="121"/>
      <c r="JJG104" s="128"/>
      <c r="JJH104" s="128"/>
      <c r="JJI104" s="128"/>
      <c r="JJJ104" s="128"/>
      <c r="JJK104" s="121"/>
      <c r="JJL104" s="121"/>
      <c r="JJM104" s="121"/>
      <c r="JJN104" s="132"/>
      <c r="JJO104" s="132"/>
      <c r="JJP104" s="129"/>
      <c r="JJQ104" s="130"/>
      <c r="JJR104" s="121"/>
      <c r="JJS104" s="121"/>
      <c r="JJT104" s="121"/>
      <c r="JJU104" s="130"/>
      <c r="JJV104" s="121"/>
      <c r="JJW104" s="130"/>
      <c r="JJX104" s="122"/>
      <c r="JJY104" s="121"/>
      <c r="JJZ104" s="121"/>
      <c r="JKA104" s="127"/>
      <c r="JKB104" s="127"/>
      <c r="JKC104" s="120"/>
      <c r="JKD104" s="130"/>
      <c r="JKE104" s="130"/>
      <c r="JKF104" s="139"/>
      <c r="JKG104" s="130"/>
      <c r="JKH104" s="130"/>
      <c r="JKI104" s="130"/>
      <c r="JKJ104" s="130"/>
      <c r="JKK104" s="130"/>
      <c r="JKL104" s="140"/>
      <c r="JKM104" s="140"/>
      <c r="JKN104" s="140"/>
      <c r="JKO104" s="141"/>
      <c r="JKP104" s="119"/>
      <c r="JKQ104" s="128"/>
      <c r="JKR104" s="119"/>
      <c r="JKS104" s="141"/>
      <c r="JKT104" s="141"/>
      <c r="JKU104" s="132"/>
      <c r="JKV104" s="121"/>
      <c r="JKW104" s="121"/>
      <c r="JKX104" s="121"/>
      <c r="JKY104" s="128"/>
      <c r="JKZ104" s="128"/>
      <c r="JLA104" s="128"/>
      <c r="JLB104" s="128"/>
      <c r="JLC104" s="121"/>
      <c r="JLD104" s="121"/>
      <c r="JLE104" s="121"/>
      <c r="JLF104" s="132"/>
      <c r="JLG104" s="132"/>
      <c r="JLH104" s="129"/>
      <c r="JLI104" s="130"/>
      <c r="JLJ104" s="121"/>
      <c r="JLK104" s="121"/>
      <c r="JLL104" s="121"/>
      <c r="JLM104" s="130"/>
      <c r="JLN104" s="121"/>
      <c r="JLO104" s="130"/>
      <c r="JLP104" s="122"/>
      <c r="JLQ104" s="121"/>
      <c r="JLR104" s="121"/>
      <c r="JLS104" s="127"/>
      <c r="JLT104" s="127"/>
      <c r="JLU104" s="120"/>
      <c r="JLV104" s="130"/>
      <c r="JLW104" s="130"/>
      <c r="JLX104" s="139"/>
      <c r="JLY104" s="130"/>
      <c r="JLZ104" s="130"/>
      <c r="JMA104" s="130"/>
      <c r="JMB104" s="130"/>
      <c r="JMC104" s="130"/>
      <c r="JMD104" s="140"/>
      <c r="JME104" s="140"/>
      <c r="JMF104" s="140"/>
      <c r="JMG104" s="141"/>
      <c r="JMH104" s="119"/>
      <c r="JMI104" s="128"/>
      <c r="JMJ104" s="119"/>
      <c r="JMK104" s="141"/>
      <c r="JML104" s="141"/>
      <c r="JMM104" s="132"/>
      <c r="JMN104" s="121"/>
      <c r="JMO104" s="121"/>
      <c r="JMP104" s="121"/>
      <c r="JMQ104" s="128"/>
      <c r="JMR104" s="128"/>
      <c r="JMS104" s="128"/>
      <c r="JMT104" s="128"/>
      <c r="JMU104" s="121"/>
      <c r="JMV104" s="121"/>
      <c r="JMW104" s="121"/>
      <c r="JMX104" s="132"/>
      <c r="JMY104" s="132"/>
      <c r="JMZ104" s="129"/>
      <c r="JNA104" s="130"/>
      <c r="JNB104" s="121"/>
      <c r="JNC104" s="121"/>
      <c r="JND104" s="121"/>
      <c r="JNE104" s="130"/>
      <c r="JNF104" s="121"/>
      <c r="JNG104" s="130"/>
      <c r="JNH104" s="122"/>
      <c r="JNI104" s="121"/>
      <c r="JNJ104" s="121"/>
      <c r="JNK104" s="127"/>
      <c r="JNL104" s="127"/>
      <c r="JNM104" s="120"/>
      <c r="JNN104" s="130"/>
      <c r="JNO104" s="130"/>
      <c r="JNP104" s="139"/>
      <c r="JNQ104" s="130"/>
      <c r="JNR104" s="130"/>
      <c r="JNS104" s="130"/>
      <c r="JNT104" s="130"/>
      <c r="JNU104" s="130"/>
      <c r="JNV104" s="140"/>
      <c r="JNW104" s="140"/>
      <c r="JNX104" s="140"/>
      <c r="JNY104" s="141"/>
      <c r="JNZ104" s="119"/>
      <c r="JOA104" s="128"/>
      <c r="JOB104" s="119"/>
      <c r="JOC104" s="141"/>
      <c r="JOD104" s="141"/>
      <c r="JOE104" s="132"/>
      <c r="JOF104" s="121"/>
      <c r="JOG104" s="121"/>
      <c r="JOH104" s="121"/>
      <c r="JOI104" s="128"/>
      <c r="JOJ104" s="128"/>
      <c r="JOK104" s="128"/>
      <c r="JOL104" s="128"/>
      <c r="JOM104" s="121"/>
      <c r="JON104" s="121"/>
      <c r="JOO104" s="121"/>
      <c r="JOP104" s="132"/>
      <c r="JOQ104" s="132"/>
      <c r="JOR104" s="129"/>
      <c r="JOS104" s="130"/>
      <c r="JOT104" s="121"/>
      <c r="JOU104" s="121"/>
      <c r="JOV104" s="121"/>
      <c r="JOW104" s="130"/>
      <c r="JOX104" s="121"/>
      <c r="JOY104" s="130"/>
      <c r="JOZ104" s="122"/>
      <c r="JPA104" s="121"/>
      <c r="JPB104" s="121"/>
      <c r="JPC104" s="127"/>
      <c r="JPD104" s="127"/>
      <c r="JPE104" s="120"/>
      <c r="JPF104" s="130"/>
      <c r="JPG104" s="130"/>
      <c r="JPH104" s="139"/>
      <c r="JPI104" s="130"/>
      <c r="JPJ104" s="130"/>
      <c r="JPK104" s="130"/>
      <c r="JPL104" s="130"/>
      <c r="JPM104" s="130"/>
      <c r="JPN104" s="140"/>
      <c r="JPO104" s="140"/>
      <c r="JPP104" s="140"/>
      <c r="JPQ104" s="141"/>
      <c r="JPR104" s="119"/>
      <c r="JPS104" s="128"/>
      <c r="JPT104" s="119"/>
      <c r="JPU104" s="141"/>
      <c r="JPV104" s="141"/>
      <c r="JPW104" s="132"/>
      <c r="JPX104" s="121"/>
      <c r="JPY104" s="121"/>
      <c r="JPZ104" s="121"/>
      <c r="JQA104" s="128"/>
      <c r="JQB104" s="128"/>
      <c r="JQC104" s="128"/>
      <c r="JQD104" s="128"/>
      <c r="JQE104" s="121"/>
      <c r="JQF104" s="121"/>
      <c r="JQG104" s="121"/>
      <c r="JQH104" s="132"/>
      <c r="JQI104" s="132"/>
      <c r="JQJ104" s="129"/>
      <c r="JQK104" s="130"/>
      <c r="JQL104" s="121"/>
      <c r="JQM104" s="121"/>
      <c r="JQN104" s="121"/>
      <c r="JQO104" s="130"/>
      <c r="JQP104" s="121"/>
      <c r="JQQ104" s="130"/>
      <c r="JQR104" s="122"/>
      <c r="JQS104" s="121"/>
      <c r="JQT104" s="121"/>
      <c r="JQU104" s="127"/>
      <c r="JQV104" s="127"/>
      <c r="JQW104" s="120"/>
      <c r="JQX104" s="130"/>
      <c r="JQY104" s="130"/>
      <c r="JQZ104" s="139"/>
      <c r="JRA104" s="130"/>
      <c r="JRB104" s="130"/>
      <c r="JRC104" s="130"/>
      <c r="JRD104" s="130"/>
      <c r="JRE104" s="130"/>
      <c r="JRF104" s="140"/>
      <c r="JRG104" s="140"/>
      <c r="JRH104" s="140"/>
      <c r="JRI104" s="141"/>
      <c r="JRJ104" s="119"/>
      <c r="JRK104" s="128"/>
      <c r="JRL104" s="119"/>
      <c r="JRM104" s="141"/>
      <c r="JRN104" s="141"/>
      <c r="JRO104" s="132"/>
      <c r="JRP104" s="121"/>
      <c r="JRQ104" s="121"/>
      <c r="JRR104" s="121"/>
      <c r="JRS104" s="128"/>
      <c r="JRT104" s="128"/>
      <c r="JRU104" s="128"/>
      <c r="JRV104" s="128"/>
      <c r="JRW104" s="121"/>
      <c r="JRX104" s="121"/>
      <c r="JRY104" s="121"/>
      <c r="JRZ104" s="132"/>
      <c r="JSA104" s="132"/>
      <c r="JSB104" s="129"/>
      <c r="JSC104" s="130"/>
      <c r="JSD104" s="121"/>
      <c r="JSE104" s="121"/>
      <c r="JSF104" s="121"/>
      <c r="JSG104" s="130"/>
      <c r="JSH104" s="121"/>
      <c r="JSI104" s="130"/>
      <c r="JSJ104" s="122"/>
      <c r="JSK104" s="121"/>
      <c r="JSL104" s="121"/>
      <c r="JSM104" s="127"/>
      <c r="JSN104" s="127"/>
      <c r="JSO104" s="120"/>
      <c r="JSP104" s="130"/>
      <c r="JSQ104" s="130"/>
      <c r="JSR104" s="139"/>
      <c r="JSS104" s="130"/>
      <c r="JST104" s="130"/>
      <c r="JSU104" s="130"/>
      <c r="JSV104" s="130"/>
      <c r="JSW104" s="130"/>
      <c r="JSX104" s="140"/>
      <c r="JSY104" s="140"/>
      <c r="JSZ104" s="140"/>
      <c r="JTA104" s="141"/>
      <c r="JTB104" s="119"/>
      <c r="JTC104" s="128"/>
      <c r="JTD104" s="119"/>
      <c r="JTE104" s="141"/>
      <c r="JTF104" s="141"/>
      <c r="JTG104" s="132"/>
      <c r="JTH104" s="121"/>
      <c r="JTI104" s="121"/>
      <c r="JTJ104" s="121"/>
      <c r="JTK104" s="128"/>
      <c r="JTL104" s="128"/>
      <c r="JTM104" s="128"/>
      <c r="JTN104" s="128"/>
      <c r="JTO104" s="121"/>
      <c r="JTP104" s="121"/>
      <c r="JTQ104" s="121"/>
      <c r="JTR104" s="132"/>
      <c r="JTS104" s="132"/>
      <c r="JTT104" s="129"/>
      <c r="JTU104" s="130"/>
      <c r="JTV104" s="121"/>
      <c r="JTW104" s="121"/>
      <c r="JTX104" s="121"/>
      <c r="JTY104" s="130"/>
      <c r="JTZ104" s="121"/>
      <c r="JUA104" s="130"/>
      <c r="JUB104" s="122"/>
      <c r="JUC104" s="121"/>
      <c r="JUD104" s="121"/>
      <c r="JUE104" s="127"/>
      <c r="JUF104" s="127"/>
      <c r="JUG104" s="120"/>
      <c r="JUH104" s="130"/>
      <c r="JUI104" s="130"/>
      <c r="JUJ104" s="139"/>
      <c r="JUK104" s="130"/>
      <c r="JUL104" s="130"/>
      <c r="JUM104" s="130"/>
      <c r="JUN104" s="130"/>
      <c r="JUO104" s="130"/>
      <c r="JUP104" s="140"/>
      <c r="JUQ104" s="140"/>
      <c r="JUR104" s="140"/>
      <c r="JUS104" s="141"/>
      <c r="JUT104" s="119"/>
      <c r="JUU104" s="128"/>
      <c r="JUV104" s="119"/>
      <c r="JUW104" s="141"/>
      <c r="JUX104" s="141"/>
      <c r="JUY104" s="132"/>
      <c r="JUZ104" s="121"/>
      <c r="JVA104" s="121"/>
      <c r="JVB104" s="121"/>
      <c r="JVC104" s="128"/>
      <c r="JVD104" s="128"/>
      <c r="JVE104" s="128"/>
      <c r="JVF104" s="128"/>
      <c r="JVG104" s="121"/>
      <c r="JVH104" s="121"/>
      <c r="JVI104" s="121"/>
      <c r="JVJ104" s="132"/>
      <c r="JVK104" s="132"/>
      <c r="JVL104" s="129"/>
      <c r="JVM104" s="130"/>
      <c r="JVN104" s="121"/>
      <c r="JVO104" s="121"/>
      <c r="JVP104" s="121"/>
      <c r="JVQ104" s="130"/>
      <c r="JVR104" s="121"/>
      <c r="JVS104" s="130"/>
      <c r="JVT104" s="122"/>
      <c r="JVU104" s="121"/>
      <c r="JVV104" s="121"/>
      <c r="JVW104" s="127"/>
      <c r="JVX104" s="127"/>
      <c r="JVY104" s="120"/>
      <c r="JVZ104" s="130"/>
      <c r="JWA104" s="130"/>
      <c r="JWB104" s="139"/>
      <c r="JWC104" s="130"/>
      <c r="JWD104" s="130"/>
      <c r="JWE104" s="130"/>
      <c r="JWF104" s="130"/>
      <c r="JWG104" s="130"/>
      <c r="JWH104" s="140"/>
      <c r="JWI104" s="140"/>
      <c r="JWJ104" s="140"/>
      <c r="JWK104" s="141"/>
      <c r="JWL104" s="119"/>
      <c r="JWM104" s="128"/>
      <c r="JWN104" s="119"/>
      <c r="JWO104" s="141"/>
      <c r="JWP104" s="141"/>
      <c r="JWQ104" s="132"/>
      <c r="JWR104" s="121"/>
      <c r="JWS104" s="121"/>
      <c r="JWT104" s="121"/>
      <c r="JWU104" s="128"/>
      <c r="JWV104" s="128"/>
      <c r="JWW104" s="128"/>
      <c r="JWX104" s="128"/>
      <c r="JWY104" s="121"/>
      <c r="JWZ104" s="121"/>
      <c r="JXA104" s="121"/>
      <c r="JXB104" s="132"/>
      <c r="JXC104" s="132"/>
      <c r="JXD104" s="129"/>
      <c r="JXE104" s="130"/>
      <c r="JXF104" s="121"/>
      <c r="JXG104" s="121"/>
      <c r="JXH104" s="121"/>
      <c r="JXI104" s="130"/>
      <c r="JXJ104" s="121"/>
      <c r="JXK104" s="130"/>
      <c r="JXL104" s="122"/>
      <c r="JXM104" s="121"/>
      <c r="JXN104" s="121"/>
      <c r="JXO104" s="127"/>
      <c r="JXP104" s="127"/>
      <c r="JXQ104" s="120"/>
      <c r="JXR104" s="130"/>
      <c r="JXS104" s="130"/>
      <c r="JXT104" s="139"/>
      <c r="JXU104" s="130"/>
      <c r="JXV104" s="130"/>
      <c r="JXW104" s="130"/>
      <c r="JXX104" s="130"/>
      <c r="JXY104" s="130"/>
      <c r="JXZ104" s="140"/>
      <c r="JYA104" s="140"/>
      <c r="JYB104" s="140"/>
      <c r="JYC104" s="141"/>
      <c r="JYD104" s="119"/>
      <c r="JYE104" s="128"/>
      <c r="JYF104" s="119"/>
      <c r="JYG104" s="141"/>
      <c r="JYH104" s="141"/>
      <c r="JYI104" s="132"/>
      <c r="JYJ104" s="121"/>
      <c r="JYK104" s="121"/>
      <c r="JYL104" s="121"/>
      <c r="JYM104" s="128"/>
      <c r="JYN104" s="128"/>
      <c r="JYO104" s="128"/>
      <c r="JYP104" s="128"/>
      <c r="JYQ104" s="121"/>
      <c r="JYR104" s="121"/>
      <c r="JYS104" s="121"/>
      <c r="JYT104" s="132"/>
      <c r="JYU104" s="132"/>
      <c r="JYV104" s="129"/>
      <c r="JYW104" s="130"/>
      <c r="JYX104" s="121"/>
      <c r="JYY104" s="121"/>
      <c r="JYZ104" s="121"/>
      <c r="JZA104" s="130"/>
      <c r="JZB104" s="121"/>
      <c r="JZC104" s="130"/>
      <c r="JZD104" s="122"/>
      <c r="JZE104" s="121"/>
      <c r="JZF104" s="121"/>
      <c r="JZG104" s="127"/>
      <c r="JZH104" s="127"/>
      <c r="JZI104" s="120"/>
      <c r="JZJ104" s="130"/>
      <c r="JZK104" s="130"/>
      <c r="JZL104" s="139"/>
      <c r="JZM104" s="130"/>
      <c r="JZN104" s="130"/>
      <c r="JZO104" s="130"/>
      <c r="JZP104" s="130"/>
      <c r="JZQ104" s="130"/>
      <c r="JZR104" s="140"/>
      <c r="JZS104" s="140"/>
      <c r="JZT104" s="140"/>
      <c r="JZU104" s="141"/>
      <c r="JZV104" s="119"/>
      <c r="JZW104" s="128"/>
      <c r="JZX104" s="119"/>
      <c r="JZY104" s="141"/>
      <c r="JZZ104" s="141"/>
      <c r="KAA104" s="132"/>
      <c r="KAB104" s="121"/>
      <c r="KAC104" s="121"/>
      <c r="KAD104" s="121"/>
      <c r="KAE104" s="128"/>
      <c r="KAF104" s="128"/>
      <c r="KAG104" s="128"/>
      <c r="KAH104" s="128"/>
      <c r="KAI104" s="121"/>
      <c r="KAJ104" s="121"/>
      <c r="KAK104" s="121"/>
      <c r="KAL104" s="132"/>
      <c r="KAM104" s="132"/>
      <c r="KAN104" s="129"/>
      <c r="KAO104" s="130"/>
      <c r="KAP104" s="121"/>
      <c r="KAQ104" s="121"/>
      <c r="KAR104" s="121"/>
      <c r="KAS104" s="130"/>
      <c r="KAT104" s="121"/>
      <c r="KAU104" s="130"/>
      <c r="KAV104" s="122"/>
      <c r="KAW104" s="121"/>
      <c r="KAX104" s="121"/>
      <c r="KAY104" s="127"/>
      <c r="KAZ104" s="127"/>
      <c r="KBA104" s="120"/>
      <c r="KBB104" s="130"/>
      <c r="KBC104" s="130"/>
      <c r="KBD104" s="139"/>
      <c r="KBE104" s="130"/>
      <c r="KBF104" s="130"/>
      <c r="KBG104" s="130"/>
      <c r="KBH104" s="130"/>
      <c r="KBI104" s="130"/>
      <c r="KBJ104" s="140"/>
      <c r="KBK104" s="140"/>
      <c r="KBL104" s="140"/>
      <c r="KBM104" s="141"/>
      <c r="KBN104" s="119"/>
      <c r="KBO104" s="128"/>
      <c r="KBP104" s="119"/>
      <c r="KBQ104" s="141"/>
      <c r="KBR104" s="141"/>
      <c r="KBS104" s="132"/>
      <c r="KBT104" s="121"/>
      <c r="KBU104" s="121"/>
      <c r="KBV104" s="121"/>
      <c r="KBW104" s="128"/>
      <c r="KBX104" s="128"/>
      <c r="KBY104" s="128"/>
      <c r="KBZ104" s="128"/>
      <c r="KCA104" s="121"/>
      <c r="KCB104" s="121"/>
      <c r="KCC104" s="121"/>
      <c r="KCD104" s="132"/>
      <c r="KCE104" s="132"/>
      <c r="KCF104" s="129"/>
      <c r="KCG104" s="130"/>
      <c r="KCH104" s="121"/>
      <c r="KCI104" s="121"/>
      <c r="KCJ104" s="121"/>
      <c r="KCK104" s="130"/>
      <c r="KCL104" s="121"/>
      <c r="KCM104" s="130"/>
      <c r="KCN104" s="122"/>
      <c r="KCO104" s="121"/>
      <c r="KCP104" s="121"/>
      <c r="KCQ104" s="127"/>
      <c r="KCR104" s="127"/>
      <c r="KCS104" s="120"/>
      <c r="KCT104" s="130"/>
      <c r="KCU104" s="130"/>
      <c r="KCV104" s="139"/>
      <c r="KCW104" s="130"/>
      <c r="KCX104" s="130"/>
      <c r="KCY104" s="130"/>
      <c r="KCZ104" s="130"/>
      <c r="KDA104" s="130"/>
      <c r="KDB104" s="140"/>
      <c r="KDC104" s="140"/>
      <c r="KDD104" s="140"/>
      <c r="KDE104" s="141"/>
      <c r="KDF104" s="119"/>
      <c r="KDG104" s="128"/>
      <c r="KDH104" s="119"/>
      <c r="KDI104" s="141"/>
      <c r="KDJ104" s="141"/>
      <c r="KDK104" s="132"/>
      <c r="KDL104" s="121"/>
      <c r="KDM104" s="121"/>
      <c r="KDN104" s="121"/>
      <c r="KDO104" s="128"/>
      <c r="KDP104" s="128"/>
      <c r="KDQ104" s="128"/>
      <c r="KDR104" s="128"/>
      <c r="KDS104" s="121"/>
      <c r="KDT104" s="121"/>
      <c r="KDU104" s="121"/>
      <c r="KDV104" s="132"/>
      <c r="KDW104" s="132"/>
      <c r="KDX104" s="129"/>
      <c r="KDY104" s="130"/>
      <c r="KDZ104" s="121"/>
      <c r="KEA104" s="121"/>
      <c r="KEB104" s="121"/>
      <c r="KEC104" s="130"/>
      <c r="KED104" s="121"/>
      <c r="KEE104" s="130"/>
      <c r="KEF104" s="122"/>
      <c r="KEG104" s="121"/>
      <c r="KEH104" s="121"/>
      <c r="KEI104" s="127"/>
      <c r="KEJ104" s="127"/>
      <c r="KEK104" s="120"/>
      <c r="KEL104" s="130"/>
      <c r="KEM104" s="130"/>
      <c r="KEN104" s="139"/>
      <c r="KEO104" s="130"/>
      <c r="KEP104" s="130"/>
      <c r="KEQ104" s="130"/>
      <c r="KER104" s="130"/>
      <c r="KES104" s="130"/>
      <c r="KET104" s="140"/>
      <c r="KEU104" s="140"/>
      <c r="KEV104" s="140"/>
      <c r="KEW104" s="141"/>
      <c r="KEX104" s="119"/>
      <c r="KEY104" s="128"/>
      <c r="KEZ104" s="119"/>
      <c r="KFA104" s="141"/>
      <c r="KFB104" s="141"/>
      <c r="KFC104" s="132"/>
      <c r="KFD104" s="121"/>
      <c r="KFE104" s="121"/>
      <c r="KFF104" s="121"/>
      <c r="KFG104" s="128"/>
      <c r="KFH104" s="128"/>
      <c r="KFI104" s="128"/>
      <c r="KFJ104" s="128"/>
      <c r="KFK104" s="121"/>
      <c r="KFL104" s="121"/>
      <c r="KFM104" s="121"/>
      <c r="KFN104" s="132"/>
      <c r="KFO104" s="132"/>
      <c r="KFP104" s="129"/>
      <c r="KFQ104" s="130"/>
      <c r="KFR104" s="121"/>
      <c r="KFS104" s="121"/>
      <c r="KFT104" s="121"/>
      <c r="KFU104" s="130"/>
      <c r="KFV104" s="121"/>
      <c r="KFW104" s="130"/>
      <c r="KFX104" s="122"/>
      <c r="KFY104" s="121"/>
      <c r="KFZ104" s="121"/>
      <c r="KGA104" s="127"/>
      <c r="KGB104" s="127"/>
      <c r="KGC104" s="120"/>
      <c r="KGD104" s="130"/>
      <c r="KGE104" s="130"/>
      <c r="KGF104" s="139"/>
      <c r="KGG104" s="130"/>
      <c r="KGH104" s="130"/>
      <c r="KGI104" s="130"/>
      <c r="KGJ104" s="130"/>
      <c r="KGK104" s="130"/>
      <c r="KGL104" s="140"/>
      <c r="KGM104" s="140"/>
      <c r="KGN104" s="140"/>
      <c r="KGO104" s="141"/>
      <c r="KGP104" s="119"/>
      <c r="KGQ104" s="128"/>
      <c r="KGR104" s="119"/>
      <c r="KGS104" s="141"/>
      <c r="KGT104" s="141"/>
      <c r="KGU104" s="132"/>
      <c r="KGV104" s="121"/>
      <c r="KGW104" s="121"/>
      <c r="KGX104" s="121"/>
      <c r="KGY104" s="128"/>
      <c r="KGZ104" s="128"/>
      <c r="KHA104" s="128"/>
      <c r="KHB104" s="128"/>
      <c r="KHC104" s="121"/>
      <c r="KHD104" s="121"/>
      <c r="KHE104" s="121"/>
      <c r="KHF104" s="132"/>
      <c r="KHG104" s="132"/>
      <c r="KHH104" s="129"/>
      <c r="KHI104" s="130"/>
      <c r="KHJ104" s="121"/>
      <c r="KHK104" s="121"/>
      <c r="KHL104" s="121"/>
      <c r="KHM104" s="130"/>
      <c r="KHN104" s="121"/>
      <c r="KHO104" s="130"/>
      <c r="KHP104" s="122"/>
      <c r="KHQ104" s="121"/>
      <c r="KHR104" s="121"/>
      <c r="KHS104" s="127"/>
      <c r="KHT104" s="127"/>
      <c r="KHU104" s="120"/>
      <c r="KHV104" s="130"/>
      <c r="KHW104" s="130"/>
      <c r="KHX104" s="139"/>
      <c r="KHY104" s="130"/>
      <c r="KHZ104" s="130"/>
      <c r="KIA104" s="130"/>
      <c r="KIB104" s="130"/>
      <c r="KIC104" s="130"/>
      <c r="KID104" s="140"/>
      <c r="KIE104" s="140"/>
      <c r="KIF104" s="140"/>
      <c r="KIG104" s="141"/>
      <c r="KIH104" s="119"/>
      <c r="KII104" s="128"/>
      <c r="KIJ104" s="119"/>
      <c r="KIK104" s="141"/>
      <c r="KIL104" s="141"/>
      <c r="KIM104" s="132"/>
      <c r="KIN104" s="121"/>
      <c r="KIO104" s="121"/>
      <c r="KIP104" s="121"/>
      <c r="KIQ104" s="128"/>
      <c r="KIR104" s="128"/>
      <c r="KIS104" s="128"/>
      <c r="KIT104" s="128"/>
      <c r="KIU104" s="121"/>
      <c r="KIV104" s="121"/>
      <c r="KIW104" s="121"/>
      <c r="KIX104" s="132"/>
      <c r="KIY104" s="132"/>
      <c r="KIZ104" s="129"/>
      <c r="KJA104" s="130"/>
      <c r="KJB104" s="121"/>
      <c r="KJC104" s="121"/>
      <c r="KJD104" s="121"/>
      <c r="KJE104" s="130"/>
      <c r="KJF104" s="121"/>
      <c r="KJG104" s="130"/>
      <c r="KJH104" s="122"/>
      <c r="KJI104" s="121"/>
      <c r="KJJ104" s="121"/>
      <c r="KJK104" s="127"/>
      <c r="KJL104" s="127"/>
      <c r="KJM104" s="120"/>
      <c r="KJN104" s="130"/>
      <c r="KJO104" s="130"/>
      <c r="KJP104" s="139"/>
      <c r="KJQ104" s="130"/>
      <c r="KJR104" s="130"/>
      <c r="KJS104" s="130"/>
      <c r="KJT104" s="130"/>
      <c r="KJU104" s="130"/>
      <c r="KJV104" s="140"/>
      <c r="KJW104" s="140"/>
      <c r="KJX104" s="140"/>
      <c r="KJY104" s="141"/>
      <c r="KJZ104" s="119"/>
      <c r="KKA104" s="128"/>
      <c r="KKB104" s="119"/>
      <c r="KKC104" s="141"/>
      <c r="KKD104" s="141"/>
      <c r="KKE104" s="132"/>
      <c r="KKF104" s="121"/>
      <c r="KKG104" s="121"/>
      <c r="KKH104" s="121"/>
      <c r="KKI104" s="128"/>
      <c r="KKJ104" s="128"/>
      <c r="KKK104" s="128"/>
      <c r="KKL104" s="128"/>
      <c r="KKM104" s="121"/>
      <c r="KKN104" s="121"/>
      <c r="KKO104" s="121"/>
      <c r="KKP104" s="132"/>
      <c r="KKQ104" s="132"/>
      <c r="KKR104" s="129"/>
      <c r="KKS104" s="130"/>
      <c r="KKT104" s="121"/>
      <c r="KKU104" s="121"/>
      <c r="KKV104" s="121"/>
      <c r="KKW104" s="130"/>
      <c r="KKX104" s="121"/>
      <c r="KKY104" s="130"/>
      <c r="KKZ104" s="122"/>
      <c r="KLA104" s="121"/>
      <c r="KLB104" s="121"/>
      <c r="KLC104" s="127"/>
      <c r="KLD104" s="127"/>
      <c r="KLE104" s="120"/>
      <c r="KLF104" s="130"/>
      <c r="KLG104" s="130"/>
      <c r="KLH104" s="139"/>
      <c r="KLI104" s="130"/>
      <c r="KLJ104" s="130"/>
      <c r="KLK104" s="130"/>
      <c r="KLL104" s="130"/>
      <c r="KLM104" s="130"/>
      <c r="KLN104" s="140"/>
      <c r="KLO104" s="140"/>
      <c r="KLP104" s="140"/>
      <c r="KLQ104" s="141"/>
      <c r="KLR104" s="119"/>
      <c r="KLS104" s="128"/>
      <c r="KLT104" s="119"/>
      <c r="KLU104" s="141"/>
      <c r="KLV104" s="141"/>
      <c r="KLW104" s="132"/>
      <c r="KLX104" s="121"/>
      <c r="KLY104" s="121"/>
      <c r="KLZ104" s="121"/>
      <c r="KMA104" s="128"/>
      <c r="KMB104" s="128"/>
      <c r="KMC104" s="128"/>
      <c r="KMD104" s="128"/>
      <c r="KME104" s="121"/>
      <c r="KMF104" s="121"/>
      <c r="KMG104" s="121"/>
      <c r="KMH104" s="132"/>
      <c r="KMI104" s="132"/>
      <c r="KMJ104" s="129"/>
      <c r="KMK104" s="130"/>
      <c r="KML104" s="121"/>
      <c r="KMM104" s="121"/>
      <c r="KMN104" s="121"/>
      <c r="KMO104" s="130"/>
      <c r="KMP104" s="121"/>
      <c r="KMQ104" s="130"/>
      <c r="KMR104" s="122"/>
      <c r="KMS104" s="121"/>
      <c r="KMT104" s="121"/>
      <c r="KMU104" s="127"/>
      <c r="KMV104" s="127"/>
      <c r="KMW104" s="120"/>
      <c r="KMX104" s="130"/>
      <c r="KMY104" s="130"/>
      <c r="KMZ104" s="139"/>
      <c r="KNA104" s="130"/>
      <c r="KNB104" s="130"/>
      <c r="KNC104" s="130"/>
      <c r="KND104" s="130"/>
      <c r="KNE104" s="130"/>
      <c r="KNF104" s="140"/>
      <c r="KNG104" s="140"/>
      <c r="KNH104" s="140"/>
      <c r="KNI104" s="141"/>
      <c r="KNJ104" s="119"/>
      <c r="KNK104" s="128"/>
      <c r="KNL104" s="119"/>
      <c r="KNM104" s="141"/>
      <c r="KNN104" s="141"/>
      <c r="KNO104" s="132"/>
      <c r="KNP104" s="121"/>
      <c r="KNQ104" s="121"/>
      <c r="KNR104" s="121"/>
      <c r="KNS104" s="128"/>
      <c r="KNT104" s="128"/>
      <c r="KNU104" s="128"/>
      <c r="KNV104" s="128"/>
      <c r="KNW104" s="121"/>
      <c r="KNX104" s="121"/>
      <c r="KNY104" s="121"/>
      <c r="KNZ104" s="132"/>
      <c r="KOA104" s="132"/>
      <c r="KOB104" s="129"/>
      <c r="KOC104" s="130"/>
      <c r="KOD104" s="121"/>
      <c r="KOE104" s="121"/>
      <c r="KOF104" s="121"/>
      <c r="KOG104" s="130"/>
      <c r="KOH104" s="121"/>
      <c r="KOI104" s="130"/>
      <c r="KOJ104" s="122"/>
      <c r="KOK104" s="121"/>
      <c r="KOL104" s="121"/>
      <c r="KOM104" s="127"/>
      <c r="KON104" s="127"/>
      <c r="KOO104" s="120"/>
      <c r="KOP104" s="130"/>
      <c r="KOQ104" s="130"/>
      <c r="KOR104" s="139"/>
      <c r="KOS104" s="130"/>
      <c r="KOT104" s="130"/>
      <c r="KOU104" s="130"/>
      <c r="KOV104" s="130"/>
      <c r="KOW104" s="130"/>
      <c r="KOX104" s="140"/>
      <c r="KOY104" s="140"/>
      <c r="KOZ104" s="140"/>
      <c r="KPA104" s="141"/>
      <c r="KPB104" s="119"/>
      <c r="KPC104" s="128"/>
      <c r="KPD104" s="119"/>
      <c r="KPE104" s="141"/>
      <c r="KPF104" s="141"/>
      <c r="KPG104" s="132"/>
      <c r="KPH104" s="121"/>
      <c r="KPI104" s="121"/>
      <c r="KPJ104" s="121"/>
      <c r="KPK104" s="128"/>
      <c r="KPL104" s="128"/>
      <c r="KPM104" s="128"/>
      <c r="KPN104" s="128"/>
      <c r="KPO104" s="121"/>
      <c r="KPP104" s="121"/>
      <c r="KPQ104" s="121"/>
      <c r="KPR104" s="132"/>
      <c r="KPS104" s="132"/>
      <c r="KPT104" s="129"/>
      <c r="KPU104" s="130"/>
      <c r="KPV104" s="121"/>
      <c r="KPW104" s="121"/>
      <c r="KPX104" s="121"/>
      <c r="KPY104" s="130"/>
      <c r="KPZ104" s="121"/>
      <c r="KQA104" s="130"/>
      <c r="KQB104" s="122"/>
      <c r="KQC104" s="121"/>
      <c r="KQD104" s="121"/>
      <c r="KQE104" s="127"/>
      <c r="KQF104" s="127"/>
      <c r="KQG104" s="120"/>
      <c r="KQH104" s="130"/>
      <c r="KQI104" s="130"/>
      <c r="KQJ104" s="139"/>
      <c r="KQK104" s="130"/>
      <c r="KQL104" s="130"/>
      <c r="KQM104" s="130"/>
      <c r="KQN104" s="130"/>
      <c r="KQO104" s="130"/>
      <c r="KQP104" s="140"/>
      <c r="KQQ104" s="140"/>
      <c r="KQR104" s="140"/>
      <c r="KQS104" s="141"/>
      <c r="KQT104" s="119"/>
      <c r="KQU104" s="128"/>
      <c r="KQV104" s="119"/>
      <c r="KQW104" s="141"/>
      <c r="KQX104" s="141"/>
      <c r="KQY104" s="132"/>
      <c r="KQZ104" s="121"/>
      <c r="KRA104" s="121"/>
      <c r="KRB104" s="121"/>
      <c r="KRC104" s="128"/>
      <c r="KRD104" s="128"/>
      <c r="KRE104" s="128"/>
      <c r="KRF104" s="128"/>
      <c r="KRG104" s="121"/>
      <c r="KRH104" s="121"/>
      <c r="KRI104" s="121"/>
      <c r="KRJ104" s="132"/>
      <c r="KRK104" s="132"/>
      <c r="KRL104" s="129"/>
      <c r="KRM104" s="130"/>
      <c r="KRN104" s="121"/>
      <c r="KRO104" s="121"/>
      <c r="KRP104" s="121"/>
      <c r="KRQ104" s="130"/>
      <c r="KRR104" s="121"/>
      <c r="KRS104" s="130"/>
      <c r="KRT104" s="122"/>
      <c r="KRU104" s="121"/>
      <c r="KRV104" s="121"/>
      <c r="KRW104" s="127"/>
      <c r="KRX104" s="127"/>
      <c r="KRY104" s="120"/>
      <c r="KRZ104" s="130"/>
      <c r="KSA104" s="130"/>
      <c r="KSB104" s="139"/>
      <c r="KSC104" s="130"/>
      <c r="KSD104" s="130"/>
      <c r="KSE104" s="130"/>
      <c r="KSF104" s="130"/>
      <c r="KSG104" s="130"/>
      <c r="KSH104" s="140"/>
      <c r="KSI104" s="140"/>
      <c r="KSJ104" s="140"/>
      <c r="KSK104" s="141"/>
      <c r="KSL104" s="119"/>
      <c r="KSM104" s="128"/>
      <c r="KSN104" s="119"/>
      <c r="KSO104" s="141"/>
      <c r="KSP104" s="141"/>
      <c r="KSQ104" s="132"/>
      <c r="KSR104" s="121"/>
      <c r="KSS104" s="121"/>
      <c r="KST104" s="121"/>
      <c r="KSU104" s="128"/>
      <c r="KSV104" s="128"/>
      <c r="KSW104" s="128"/>
      <c r="KSX104" s="128"/>
      <c r="KSY104" s="121"/>
      <c r="KSZ104" s="121"/>
      <c r="KTA104" s="121"/>
      <c r="KTB104" s="132"/>
      <c r="KTC104" s="132"/>
      <c r="KTD104" s="129"/>
      <c r="KTE104" s="130"/>
      <c r="KTF104" s="121"/>
      <c r="KTG104" s="121"/>
      <c r="KTH104" s="121"/>
      <c r="KTI104" s="130"/>
      <c r="KTJ104" s="121"/>
      <c r="KTK104" s="130"/>
      <c r="KTL104" s="122"/>
      <c r="KTM104" s="121"/>
      <c r="KTN104" s="121"/>
      <c r="KTO104" s="127"/>
      <c r="KTP104" s="127"/>
      <c r="KTQ104" s="120"/>
      <c r="KTR104" s="130"/>
      <c r="KTS104" s="130"/>
      <c r="KTT104" s="139"/>
      <c r="KTU104" s="130"/>
      <c r="KTV104" s="130"/>
      <c r="KTW104" s="130"/>
      <c r="KTX104" s="130"/>
      <c r="KTY104" s="130"/>
      <c r="KTZ104" s="140"/>
      <c r="KUA104" s="140"/>
      <c r="KUB104" s="140"/>
      <c r="KUC104" s="141"/>
      <c r="KUD104" s="119"/>
      <c r="KUE104" s="128"/>
      <c r="KUF104" s="119"/>
      <c r="KUG104" s="141"/>
      <c r="KUH104" s="141"/>
      <c r="KUI104" s="132"/>
      <c r="KUJ104" s="121"/>
      <c r="KUK104" s="121"/>
      <c r="KUL104" s="121"/>
      <c r="KUM104" s="128"/>
      <c r="KUN104" s="128"/>
      <c r="KUO104" s="128"/>
      <c r="KUP104" s="128"/>
      <c r="KUQ104" s="121"/>
      <c r="KUR104" s="121"/>
      <c r="KUS104" s="121"/>
      <c r="KUT104" s="132"/>
      <c r="KUU104" s="132"/>
      <c r="KUV104" s="129"/>
      <c r="KUW104" s="130"/>
      <c r="KUX104" s="121"/>
      <c r="KUY104" s="121"/>
      <c r="KUZ104" s="121"/>
      <c r="KVA104" s="130"/>
      <c r="KVB104" s="121"/>
      <c r="KVC104" s="130"/>
      <c r="KVD104" s="122"/>
      <c r="KVE104" s="121"/>
      <c r="KVF104" s="121"/>
      <c r="KVG104" s="127"/>
      <c r="KVH104" s="127"/>
      <c r="KVI104" s="120"/>
      <c r="KVJ104" s="130"/>
      <c r="KVK104" s="130"/>
      <c r="KVL104" s="139"/>
      <c r="KVM104" s="130"/>
      <c r="KVN104" s="130"/>
      <c r="KVO104" s="130"/>
      <c r="KVP104" s="130"/>
      <c r="KVQ104" s="130"/>
      <c r="KVR104" s="140"/>
      <c r="KVS104" s="140"/>
      <c r="KVT104" s="140"/>
      <c r="KVU104" s="141"/>
      <c r="KVV104" s="119"/>
      <c r="KVW104" s="128"/>
      <c r="KVX104" s="119"/>
      <c r="KVY104" s="141"/>
      <c r="KVZ104" s="141"/>
      <c r="KWA104" s="132"/>
      <c r="KWB104" s="121"/>
      <c r="KWC104" s="121"/>
      <c r="KWD104" s="121"/>
      <c r="KWE104" s="128"/>
      <c r="KWF104" s="128"/>
      <c r="KWG104" s="128"/>
      <c r="KWH104" s="128"/>
      <c r="KWI104" s="121"/>
      <c r="KWJ104" s="121"/>
      <c r="KWK104" s="121"/>
      <c r="KWL104" s="132"/>
      <c r="KWM104" s="132"/>
      <c r="KWN104" s="129"/>
      <c r="KWO104" s="130"/>
      <c r="KWP104" s="121"/>
      <c r="KWQ104" s="121"/>
      <c r="KWR104" s="121"/>
      <c r="KWS104" s="130"/>
      <c r="KWT104" s="121"/>
      <c r="KWU104" s="130"/>
      <c r="KWV104" s="122"/>
      <c r="KWW104" s="121"/>
      <c r="KWX104" s="121"/>
      <c r="KWY104" s="127"/>
      <c r="KWZ104" s="127"/>
      <c r="KXA104" s="120"/>
      <c r="KXB104" s="130"/>
      <c r="KXC104" s="130"/>
      <c r="KXD104" s="139"/>
      <c r="KXE104" s="130"/>
      <c r="KXF104" s="130"/>
      <c r="KXG104" s="130"/>
      <c r="KXH104" s="130"/>
      <c r="KXI104" s="130"/>
      <c r="KXJ104" s="140"/>
      <c r="KXK104" s="140"/>
      <c r="KXL104" s="140"/>
      <c r="KXM104" s="141"/>
      <c r="KXN104" s="119"/>
      <c r="KXO104" s="128"/>
      <c r="KXP104" s="119"/>
      <c r="KXQ104" s="141"/>
      <c r="KXR104" s="141"/>
      <c r="KXS104" s="132"/>
      <c r="KXT104" s="121"/>
      <c r="KXU104" s="121"/>
      <c r="KXV104" s="121"/>
      <c r="KXW104" s="128"/>
      <c r="KXX104" s="128"/>
      <c r="KXY104" s="128"/>
      <c r="KXZ104" s="128"/>
      <c r="KYA104" s="121"/>
      <c r="KYB104" s="121"/>
      <c r="KYC104" s="121"/>
      <c r="KYD104" s="132"/>
      <c r="KYE104" s="132"/>
      <c r="KYF104" s="129"/>
      <c r="KYG104" s="130"/>
      <c r="KYH104" s="121"/>
      <c r="KYI104" s="121"/>
      <c r="KYJ104" s="121"/>
      <c r="KYK104" s="130"/>
      <c r="KYL104" s="121"/>
      <c r="KYM104" s="130"/>
      <c r="KYN104" s="122"/>
      <c r="KYO104" s="121"/>
      <c r="KYP104" s="121"/>
      <c r="KYQ104" s="127"/>
      <c r="KYR104" s="127"/>
      <c r="KYS104" s="120"/>
      <c r="KYT104" s="130"/>
      <c r="KYU104" s="130"/>
      <c r="KYV104" s="139"/>
      <c r="KYW104" s="130"/>
      <c r="KYX104" s="130"/>
      <c r="KYY104" s="130"/>
      <c r="KYZ104" s="130"/>
      <c r="KZA104" s="130"/>
      <c r="KZB104" s="140"/>
      <c r="KZC104" s="140"/>
      <c r="KZD104" s="140"/>
      <c r="KZE104" s="141"/>
      <c r="KZF104" s="119"/>
      <c r="KZG104" s="128"/>
      <c r="KZH104" s="119"/>
      <c r="KZI104" s="141"/>
      <c r="KZJ104" s="141"/>
      <c r="KZK104" s="132"/>
      <c r="KZL104" s="121"/>
      <c r="KZM104" s="121"/>
      <c r="KZN104" s="121"/>
      <c r="KZO104" s="128"/>
      <c r="KZP104" s="128"/>
      <c r="KZQ104" s="128"/>
      <c r="KZR104" s="128"/>
      <c r="KZS104" s="121"/>
      <c r="KZT104" s="121"/>
      <c r="KZU104" s="121"/>
      <c r="KZV104" s="132"/>
      <c r="KZW104" s="132"/>
      <c r="KZX104" s="129"/>
      <c r="KZY104" s="130"/>
      <c r="KZZ104" s="121"/>
      <c r="LAA104" s="121"/>
      <c r="LAB104" s="121"/>
      <c r="LAC104" s="130"/>
      <c r="LAD104" s="121"/>
      <c r="LAE104" s="130"/>
      <c r="LAF104" s="122"/>
      <c r="LAG104" s="121"/>
      <c r="LAH104" s="121"/>
      <c r="LAI104" s="127"/>
      <c r="LAJ104" s="127"/>
      <c r="LAK104" s="120"/>
      <c r="LAL104" s="130"/>
      <c r="LAM104" s="130"/>
      <c r="LAN104" s="139"/>
      <c r="LAO104" s="130"/>
      <c r="LAP104" s="130"/>
      <c r="LAQ104" s="130"/>
      <c r="LAR104" s="130"/>
      <c r="LAS104" s="130"/>
      <c r="LAT104" s="140"/>
      <c r="LAU104" s="140"/>
      <c r="LAV104" s="140"/>
      <c r="LAW104" s="141"/>
      <c r="LAX104" s="119"/>
      <c r="LAY104" s="128"/>
      <c r="LAZ104" s="119"/>
      <c r="LBA104" s="141"/>
      <c r="LBB104" s="141"/>
      <c r="LBC104" s="132"/>
      <c r="LBD104" s="121"/>
      <c r="LBE104" s="121"/>
      <c r="LBF104" s="121"/>
      <c r="LBG104" s="128"/>
      <c r="LBH104" s="128"/>
      <c r="LBI104" s="128"/>
      <c r="LBJ104" s="128"/>
      <c r="LBK104" s="121"/>
      <c r="LBL104" s="121"/>
      <c r="LBM104" s="121"/>
      <c r="LBN104" s="132"/>
      <c r="LBO104" s="132"/>
      <c r="LBP104" s="129"/>
      <c r="LBQ104" s="130"/>
      <c r="LBR104" s="121"/>
      <c r="LBS104" s="121"/>
      <c r="LBT104" s="121"/>
      <c r="LBU104" s="130"/>
      <c r="LBV104" s="121"/>
      <c r="LBW104" s="130"/>
      <c r="LBX104" s="122"/>
      <c r="LBY104" s="121"/>
      <c r="LBZ104" s="121"/>
      <c r="LCA104" s="127"/>
      <c r="LCB104" s="127"/>
      <c r="LCC104" s="120"/>
      <c r="LCD104" s="130"/>
      <c r="LCE104" s="130"/>
      <c r="LCF104" s="139"/>
      <c r="LCG104" s="130"/>
      <c r="LCH104" s="130"/>
      <c r="LCI104" s="130"/>
      <c r="LCJ104" s="130"/>
      <c r="LCK104" s="130"/>
      <c r="LCL104" s="140"/>
      <c r="LCM104" s="140"/>
      <c r="LCN104" s="140"/>
      <c r="LCO104" s="141"/>
      <c r="LCP104" s="119"/>
      <c r="LCQ104" s="128"/>
      <c r="LCR104" s="119"/>
      <c r="LCS104" s="141"/>
      <c r="LCT104" s="141"/>
      <c r="LCU104" s="132"/>
      <c r="LCV104" s="121"/>
      <c r="LCW104" s="121"/>
      <c r="LCX104" s="121"/>
      <c r="LCY104" s="128"/>
      <c r="LCZ104" s="128"/>
      <c r="LDA104" s="128"/>
      <c r="LDB104" s="128"/>
      <c r="LDC104" s="121"/>
      <c r="LDD104" s="121"/>
      <c r="LDE104" s="121"/>
      <c r="LDF104" s="132"/>
      <c r="LDG104" s="132"/>
      <c r="LDH104" s="129"/>
      <c r="LDI104" s="130"/>
      <c r="LDJ104" s="121"/>
      <c r="LDK104" s="121"/>
      <c r="LDL104" s="121"/>
      <c r="LDM104" s="130"/>
      <c r="LDN104" s="121"/>
      <c r="LDO104" s="130"/>
      <c r="LDP104" s="122"/>
      <c r="LDQ104" s="121"/>
      <c r="LDR104" s="121"/>
      <c r="LDS104" s="127"/>
      <c r="LDT104" s="127"/>
      <c r="LDU104" s="120"/>
      <c r="LDV104" s="130"/>
      <c r="LDW104" s="130"/>
      <c r="LDX104" s="139"/>
      <c r="LDY104" s="130"/>
      <c r="LDZ104" s="130"/>
      <c r="LEA104" s="130"/>
      <c r="LEB104" s="130"/>
      <c r="LEC104" s="130"/>
      <c r="LED104" s="140"/>
      <c r="LEE104" s="140"/>
      <c r="LEF104" s="140"/>
      <c r="LEG104" s="141"/>
      <c r="LEH104" s="119"/>
      <c r="LEI104" s="128"/>
      <c r="LEJ104" s="119"/>
      <c r="LEK104" s="141"/>
      <c r="LEL104" s="141"/>
      <c r="LEM104" s="132"/>
      <c r="LEN104" s="121"/>
      <c r="LEO104" s="121"/>
      <c r="LEP104" s="121"/>
      <c r="LEQ104" s="128"/>
      <c r="LER104" s="128"/>
      <c r="LES104" s="128"/>
      <c r="LET104" s="128"/>
      <c r="LEU104" s="121"/>
      <c r="LEV104" s="121"/>
      <c r="LEW104" s="121"/>
      <c r="LEX104" s="132"/>
      <c r="LEY104" s="132"/>
      <c r="LEZ104" s="129"/>
      <c r="LFA104" s="130"/>
      <c r="LFB104" s="121"/>
      <c r="LFC104" s="121"/>
      <c r="LFD104" s="121"/>
      <c r="LFE104" s="130"/>
      <c r="LFF104" s="121"/>
      <c r="LFG104" s="130"/>
      <c r="LFH104" s="122"/>
      <c r="LFI104" s="121"/>
      <c r="LFJ104" s="121"/>
      <c r="LFK104" s="127"/>
      <c r="LFL104" s="127"/>
      <c r="LFM104" s="120"/>
      <c r="LFN104" s="130"/>
      <c r="LFO104" s="130"/>
      <c r="LFP104" s="139"/>
      <c r="LFQ104" s="130"/>
      <c r="LFR104" s="130"/>
      <c r="LFS104" s="130"/>
      <c r="LFT104" s="130"/>
      <c r="LFU104" s="130"/>
      <c r="LFV104" s="140"/>
      <c r="LFW104" s="140"/>
      <c r="LFX104" s="140"/>
      <c r="LFY104" s="141"/>
      <c r="LFZ104" s="119"/>
      <c r="LGA104" s="128"/>
      <c r="LGB104" s="119"/>
      <c r="LGC104" s="141"/>
      <c r="LGD104" s="141"/>
      <c r="LGE104" s="132"/>
      <c r="LGF104" s="121"/>
      <c r="LGG104" s="121"/>
      <c r="LGH104" s="121"/>
      <c r="LGI104" s="128"/>
      <c r="LGJ104" s="128"/>
      <c r="LGK104" s="128"/>
      <c r="LGL104" s="128"/>
      <c r="LGM104" s="121"/>
      <c r="LGN104" s="121"/>
      <c r="LGO104" s="121"/>
      <c r="LGP104" s="132"/>
      <c r="LGQ104" s="132"/>
      <c r="LGR104" s="129"/>
      <c r="LGS104" s="130"/>
      <c r="LGT104" s="121"/>
      <c r="LGU104" s="121"/>
      <c r="LGV104" s="121"/>
      <c r="LGW104" s="130"/>
      <c r="LGX104" s="121"/>
      <c r="LGY104" s="130"/>
      <c r="LGZ104" s="122"/>
      <c r="LHA104" s="121"/>
      <c r="LHB104" s="121"/>
      <c r="LHC104" s="127"/>
      <c r="LHD104" s="127"/>
      <c r="LHE104" s="120"/>
      <c r="LHF104" s="130"/>
      <c r="LHG104" s="130"/>
      <c r="LHH104" s="139"/>
      <c r="LHI104" s="130"/>
      <c r="LHJ104" s="130"/>
      <c r="LHK104" s="130"/>
      <c r="LHL104" s="130"/>
      <c r="LHM104" s="130"/>
      <c r="LHN104" s="140"/>
      <c r="LHO104" s="140"/>
      <c r="LHP104" s="140"/>
      <c r="LHQ104" s="141"/>
      <c r="LHR104" s="119"/>
      <c r="LHS104" s="128"/>
      <c r="LHT104" s="119"/>
      <c r="LHU104" s="141"/>
      <c r="LHV104" s="141"/>
      <c r="LHW104" s="132"/>
      <c r="LHX104" s="121"/>
      <c r="LHY104" s="121"/>
      <c r="LHZ104" s="121"/>
      <c r="LIA104" s="128"/>
      <c r="LIB104" s="128"/>
      <c r="LIC104" s="128"/>
      <c r="LID104" s="128"/>
      <c r="LIE104" s="121"/>
      <c r="LIF104" s="121"/>
      <c r="LIG104" s="121"/>
      <c r="LIH104" s="132"/>
      <c r="LII104" s="132"/>
      <c r="LIJ104" s="129"/>
      <c r="LIK104" s="130"/>
      <c r="LIL104" s="121"/>
      <c r="LIM104" s="121"/>
      <c r="LIN104" s="121"/>
      <c r="LIO104" s="130"/>
      <c r="LIP104" s="121"/>
      <c r="LIQ104" s="130"/>
      <c r="LIR104" s="122"/>
      <c r="LIS104" s="121"/>
      <c r="LIT104" s="121"/>
      <c r="LIU104" s="127"/>
      <c r="LIV104" s="127"/>
      <c r="LIW104" s="120"/>
      <c r="LIX104" s="130"/>
      <c r="LIY104" s="130"/>
      <c r="LIZ104" s="139"/>
      <c r="LJA104" s="130"/>
      <c r="LJB104" s="130"/>
      <c r="LJC104" s="130"/>
      <c r="LJD104" s="130"/>
      <c r="LJE104" s="130"/>
      <c r="LJF104" s="140"/>
      <c r="LJG104" s="140"/>
      <c r="LJH104" s="140"/>
      <c r="LJI104" s="141"/>
      <c r="LJJ104" s="119"/>
      <c r="LJK104" s="128"/>
      <c r="LJL104" s="119"/>
      <c r="LJM104" s="141"/>
      <c r="LJN104" s="141"/>
      <c r="LJO104" s="132"/>
      <c r="LJP104" s="121"/>
      <c r="LJQ104" s="121"/>
      <c r="LJR104" s="121"/>
      <c r="LJS104" s="128"/>
      <c r="LJT104" s="128"/>
      <c r="LJU104" s="128"/>
      <c r="LJV104" s="128"/>
      <c r="LJW104" s="121"/>
      <c r="LJX104" s="121"/>
      <c r="LJY104" s="121"/>
      <c r="LJZ104" s="132"/>
      <c r="LKA104" s="132"/>
      <c r="LKB104" s="129"/>
      <c r="LKC104" s="130"/>
      <c r="LKD104" s="121"/>
      <c r="LKE104" s="121"/>
      <c r="LKF104" s="121"/>
      <c r="LKG104" s="130"/>
      <c r="LKH104" s="121"/>
      <c r="LKI104" s="130"/>
      <c r="LKJ104" s="122"/>
      <c r="LKK104" s="121"/>
      <c r="LKL104" s="121"/>
      <c r="LKM104" s="127"/>
      <c r="LKN104" s="127"/>
      <c r="LKO104" s="120"/>
      <c r="LKP104" s="130"/>
      <c r="LKQ104" s="130"/>
      <c r="LKR104" s="139"/>
      <c r="LKS104" s="130"/>
      <c r="LKT104" s="130"/>
      <c r="LKU104" s="130"/>
      <c r="LKV104" s="130"/>
      <c r="LKW104" s="130"/>
      <c r="LKX104" s="140"/>
      <c r="LKY104" s="140"/>
      <c r="LKZ104" s="140"/>
      <c r="LLA104" s="141"/>
      <c r="LLB104" s="119"/>
      <c r="LLC104" s="128"/>
      <c r="LLD104" s="119"/>
      <c r="LLE104" s="141"/>
      <c r="LLF104" s="141"/>
      <c r="LLG104" s="132"/>
      <c r="LLH104" s="121"/>
      <c r="LLI104" s="121"/>
      <c r="LLJ104" s="121"/>
      <c r="LLK104" s="128"/>
      <c r="LLL104" s="128"/>
      <c r="LLM104" s="128"/>
      <c r="LLN104" s="128"/>
      <c r="LLO104" s="121"/>
      <c r="LLP104" s="121"/>
      <c r="LLQ104" s="121"/>
      <c r="LLR104" s="132"/>
      <c r="LLS104" s="132"/>
      <c r="LLT104" s="129"/>
      <c r="LLU104" s="130"/>
      <c r="LLV104" s="121"/>
      <c r="LLW104" s="121"/>
      <c r="LLX104" s="121"/>
      <c r="LLY104" s="130"/>
      <c r="LLZ104" s="121"/>
      <c r="LMA104" s="130"/>
      <c r="LMB104" s="122"/>
      <c r="LMC104" s="121"/>
      <c r="LMD104" s="121"/>
      <c r="LME104" s="127"/>
      <c r="LMF104" s="127"/>
      <c r="LMG104" s="120"/>
      <c r="LMH104" s="130"/>
      <c r="LMI104" s="130"/>
      <c r="LMJ104" s="139"/>
      <c r="LMK104" s="130"/>
      <c r="LML104" s="130"/>
      <c r="LMM104" s="130"/>
      <c r="LMN104" s="130"/>
      <c r="LMO104" s="130"/>
      <c r="LMP104" s="140"/>
      <c r="LMQ104" s="140"/>
      <c r="LMR104" s="140"/>
      <c r="LMS104" s="141"/>
      <c r="LMT104" s="119"/>
      <c r="LMU104" s="128"/>
      <c r="LMV104" s="119"/>
      <c r="LMW104" s="141"/>
      <c r="LMX104" s="141"/>
      <c r="LMY104" s="132"/>
      <c r="LMZ104" s="121"/>
      <c r="LNA104" s="121"/>
      <c r="LNB104" s="121"/>
      <c r="LNC104" s="128"/>
      <c r="LND104" s="128"/>
      <c r="LNE104" s="128"/>
      <c r="LNF104" s="128"/>
      <c r="LNG104" s="121"/>
      <c r="LNH104" s="121"/>
      <c r="LNI104" s="121"/>
      <c r="LNJ104" s="132"/>
      <c r="LNK104" s="132"/>
      <c r="LNL104" s="129"/>
      <c r="LNM104" s="130"/>
      <c r="LNN104" s="121"/>
      <c r="LNO104" s="121"/>
      <c r="LNP104" s="121"/>
      <c r="LNQ104" s="130"/>
      <c r="LNR104" s="121"/>
      <c r="LNS104" s="130"/>
      <c r="LNT104" s="122"/>
      <c r="LNU104" s="121"/>
      <c r="LNV104" s="121"/>
      <c r="LNW104" s="127"/>
      <c r="LNX104" s="127"/>
      <c r="LNY104" s="120"/>
      <c r="LNZ104" s="130"/>
      <c r="LOA104" s="130"/>
      <c r="LOB104" s="139"/>
      <c r="LOC104" s="130"/>
      <c r="LOD104" s="130"/>
      <c r="LOE104" s="130"/>
      <c r="LOF104" s="130"/>
      <c r="LOG104" s="130"/>
      <c r="LOH104" s="140"/>
      <c r="LOI104" s="140"/>
      <c r="LOJ104" s="140"/>
      <c r="LOK104" s="141"/>
      <c r="LOL104" s="119"/>
      <c r="LOM104" s="128"/>
      <c r="LON104" s="119"/>
      <c r="LOO104" s="141"/>
      <c r="LOP104" s="141"/>
      <c r="LOQ104" s="132"/>
      <c r="LOR104" s="121"/>
      <c r="LOS104" s="121"/>
      <c r="LOT104" s="121"/>
      <c r="LOU104" s="128"/>
      <c r="LOV104" s="128"/>
      <c r="LOW104" s="128"/>
      <c r="LOX104" s="128"/>
      <c r="LOY104" s="121"/>
      <c r="LOZ104" s="121"/>
      <c r="LPA104" s="121"/>
      <c r="LPB104" s="132"/>
      <c r="LPC104" s="132"/>
      <c r="LPD104" s="129"/>
      <c r="LPE104" s="130"/>
      <c r="LPF104" s="121"/>
      <c r="LPG104" s="121"/>
      <c r="LPH104" s="121"/>
      <c r="LPI104" s="130"/>
      <c r="LPJ104" s="121"/>
      <c r="LPK104" s="130"/>
      <c r="LPL104" s="122"/>
      <c r="LPM104" s="121"/>
      <c r="LPN104" s="121"/>
      <c r="LPO104" s="127"/>
      <c r="LPP104" s="127"/>
      <c r="LPQ104" s="120"/>
      <c r="LPR104" s="130"/>
      <c r="LPS104" s="130"/>
      <c r="LPT104" s="139"/>
      <c r="LPU104" s="130"/>
      <c r="LPV104" s="130"/>
      <c r="LPW104" s="130"/>
      <c r="LPX104" s="130"/>
      <c r="LPY104" s="130"/>
      <c r="LPZ104" s="140"/>
      <c r="LQA104" s="140"/>
      <c r="LQB104" s="140"/>
      <c r="LQC104" s="141"/>
      <c r="LQD104" s="119"/>
      <c r="LQE104" s="128"/>
      <c r="LQF104" s="119"/>
      <c r="LQG104" s="141"/>
      <c r="LQH104" s="141"/>
      <c r="LQI104" s="132"/>
      <c r="LQJ104" s="121"/>
      <c r="LQK104" s="121"/>
      <c r="LQL104" s="121"/>
      <c r="LQM104" s="128"/>
      <c r="LQN104" s="128"/>
      <c r="LQO104" s="128"/>
      <c r="LQP104" s="128"/>
      <c r="LQQ104" s="121"/>
      <c r="LQR104" s="121"/>
      <c r="LQS104" s="121"/>
      <c r="LQT104" s="132"/>
      <c r="LQU104" s="132"/>
      <c r="LQV104" s="129"/>
      <c r="LQW104" s="130"/>
      <c r="LQX104" s="121"/>
      <c r="LQY104" s="121"/>
      <c r="LQZ104" s="121"/>
      <c r="LRA104" s="130"/>
      <c r="LRB104" s="121"/>
      <c r="LRC104" s="130"/>
      <c r="LRD104" s="122"/>
      <c r="LRE104" s="121"/>
      <c r="LRF104" s="121"/>
      <c r="LRG104" s="127"/>
      <c r="LRH104" s="127"/>
      <c r="LRI104" s="120"/>
      <c r="LRJ104" s="130"/>
      <c r="LRK104" s="130"/>
      <c r="LRL104" s="139"/>
      <c r="LRM104" s="130"/>
      <c r="LRN104" s="130"/>
      <c r="LRO104" s="130"/>
      <c r="LRP104" s="130"/>
      <c r="LRQ104" s="130"/>
      <c r="LRR104" s="140"/>
      <c r="LRS104" s="140"/>
      <c r="LRT104" s="140"/>
      <c r="LRU104" s="141"/>
      <c r="LRV104" s="119"/>
      <c r="LRW104" s="128"/>
      <c r="LRX104" s="119"/>
      <c r="LRY104" s="141"/>
      <c r="LRZ104" s="141"/>
      <c r="LSA104" s="132"/>
      <c r="LSB104" s="121"/>
      <c r="LSC104" s="121"/>
      <c r="LSD104" s="121"/>
      <c r="LSE104" s="128"/>
      <c r="LSF104" s="128"/>
      <c r="LSG104" s="128"/>
      <c r="LSH104" s="128"/>
      <c r="LSI104" s="121"/>
      <c r="LSJ104" s="121"/>
      <c r="LSK104" s="121"/>
      <c r="LSL104" s="132"/>
      <c r="LSM104" s="132"/>
      <c r="LSN104" s="129"/>
      <c r="LSO104" s="130"/>
      <c r="LSP104" s="121"/>
      <c r="LSQ104" s="121"/>
      <c r="LSR104" s="121"/>
      <c r="LSS104" s="130"/>
      <c r="LST104" s="121"/>
      <c r="LSU104" s="130"/>
      <c r="LSV104" s="122"/>
      <c r="LSW104" s="121"/>
      <c r="LSX104" s="121"/>
      <c r="LSY104" s="127"/>
      <c r="LSZ104" s="127"/>
      <c r="LTA104" s="120"/>
      <c r="LTB104" s="130"/>
      <c r="LTC104" s="130"/>
      <c r="LTD104" s="139"/>
      <c r="LTE104" s="130"/>
      <c r="LTF104" s="130"/>
      <c r="LTG104" s="130"/>
      <c r="LTH104" s="130"/>
      <c r="LTI104" s="130"/>
      <c r="LTJ104" s="140"/>
      <c r="LTK104" s="140"/>
      <c r="LTL104" s="140"/>
      <c r="LTM104" s="141"/>
      <c r="LTN104" s="119"/>
      <c r="LTO104" s="128"/>
      <c r="LTP104" s="119"/>
      <c r="LTQ104" s="141"/>
      <c r="LTR104" s="141"/>
      <c r="LTS104" s="132"/>
      <c r="LTT104" s="121"/>
      <c r="LTU104" s="121"/>
      <c r="LTV104" s="121"/>
      <c r="LTW104" s="128"/>
      <c r="LTX104" s="128"/>
      <c r="LTY104" s="128"/>
      <c r="LTZ104" s="128"/>
      <c r="LUA104" s="121"/>
      <c r="LUB104" s="121"/>
      <c r="LUC104" s="121"/>
      <c r="LUD104" s="132"/>
      <c r="LUE104" s="132"/>
      <c r="LUF104" s="129"/>
      <c r="LUG104" s="130"/>
      <c r="LUH104" s="121"/>
      <c r="LUI104" s="121"/>
      <c r="LUJ104" s="121"/>
      <c r="LUK104" s="130"/>
      <c r="LUL104" s="121"/>
      <c r="LUM104" s="130"/>
      <c r="LUN104" s="122"/>
      <c r="LUO104" s="121"/>
      <c r="LUP104" s="121"/>
      <c r="LUQ104" s="127"/>
      <c r="LUR104" s="127"/>
      <c r="LUS104" s="120"/>
      <c r="LUT104" s="130"/>
      <c r="LUU104" s="130"/>
      <c r="LUV104" s="139"/>
      <c r="LUW104" s="130"/>
      <c r="LUX104" s="130"/>
      <c r="LUY104" s="130"/>
      <c r="LUZ104" s="130"/>
      <c r="LVA104" s="130"/>
      <c r="LVB104" s="140"/>
      <c r="LVC104" s="140"/>
      <c r="LVD104" s="140"/>
      <c r="LVE104" s="141"/>
      <c r="LVF104" s="119"/>
      <c r="LVG104" s="128"/>
      <c r="LVH104" s="119"/>
      <c r="LVI104" s="141"/>
      <c r="LVJ104" s="141"/>
      <c r="LVK104" s="132"/>
      <c r="LVL104" s="121"/>
      <c r="LVM104" s="121"/>
      <c r="LVN104" s="121"/>
      <c r="LVO104" s="128"/>
      <c r="LVP104" s="128"/>
      <c r="LVQ104" s="128"/>
      <c r="LVR104" s="128"/>
      <c r="LVS104" s="121"/>
      <c r="LVT104" s="121"/>
      <c r="LVU104" s="121"/>
      <c r="LVV104" s="132"/>
      <c r="LVW104" s="132"/>
      <c r="LVX104" s="129"/>
      <c r="LVY104" s="130"/>
      <c r="LVZ104" s="121"/>
      <c r="LWA104" s="121"/>
      <c r="LWB104" s="121"/>
      <c r="LWC104" s="130"/>
      <c r="LWD104" s="121"/>
      <c r="LWE104" s="130"/>
      <c r="LWF104" s="122"/>
      <c r="LWG104" s="121"/>
      <c r="LWH104" s="121"/>
      <c r="LWI104" s="127"/>
      <c r="LWJ104" s="127"/>
      <c r="LWK104" s="120"/>
      <c r="LWL104" s="130"/>
      <c r="LWM104" s="130"/>
      <c r="LWN104" s="139"/>
      <c r="LWO104" s="130"/>
      <c r="LWP104" s="130"/>
      <c r="LWQ104" s="130"/>
      <c r="LWR104" s="130"/>
      <c r="LWS104" s="130"/>
      <c r="LWT104" s="140"/>
      <c r="LWU104" s="140"/>
      <c r="LWV104" s="140"/>
      <c r="LWW104" s="141"/>
      <c r="LWX104" s="119"/>
      <c r="LWY104" s="128"/>
      <c r="LWZ104" s="119"/>
      <c r="LXA104" s="141"/>
      <c r="LXB104" s="141"/>
      <c r="LXC104" s="132"/>
      <c r="LXD104" s="121"/>
      <c r="LXE104" s="121"/>
      <c r="LXF104" s="121"/>
      <c r="LXG104" s="128"/>
      <c r="LXH104" s="128"/>
      <c r="LXI104" s="128"/>
      <c r="LXJ104" s="128"/>
      <c r="LXK104" s="121"/>
      <c r="LXL104" s="121"/>
      <c r="LXM104" s="121"/>
      <c r="LXN104" s="132"/>
      <c r="LXO104" s="132"/>
      <c r="LXP104" s="129"/>
      <c r="LXQ104" s="130"/>
      <c r="LXR104" s="121"/>
      <c r="LXS104" s="121"/>
      <c r="LXT104" s="121"/>
      <c r="LXU104" s="130"/>
      <c r="LXV104" s="121"/>
      <c r="LXW104" s="130"/>
      <c r="LXX104" s="122"/>
      <c r="LXY104" s="121"/>
      <c r="LXZ104" s="121"/>
      <c r="LYA104" s="127"/>
      <c r="LYB104" s="127"/>
      <c r="LYC104" s="120"/>
      <c r="LYD104" s="130"/>
      <c r="LYE104" s="130"/>
      <c r="LYF104" s="139"/>
      <c r="LYG104" s="130"/>
      <c r="LYH104" s="130"/>
      <c r="LYI104" s="130"/>
      <c r="LYJ104" s="130"/>
      <c r="LYK104" s="130"/>
      <c r="LYL104" s="140"/>
      <c r="LYM104" s="140"/>
      <c r="LYN104" s="140"/>
      <c r="LYO104" s="141"/>
      <c r="LYP104" s="119"/>
      <c r="LYQ104" s="128"/>
      <c r="LYR104" s="119"/>
      <c r="LYS104" s="141"/>
      <c r="LYT104" s="141"/>
      <c r="LYU104" s="132"/>
      <c r="LYV104" s="121"/>
      <c r="LYW104" s="121"/>
      <c r="LYX104" s="121"/>
      <c r="LYY104" s="128"/>
      <c r="LYZ104" s="128"/>
      <c r="LZA104" s="128"/>
      <c r="LZB104" s="128"/>
      <c r="LZC104" s="121"/>
      <c r="LZD104" s="121"/>
      <c r="LZE104" s="121"/>
      <c r="LZF104" s="132"/>
      <c r="LZG104" s="132"/>
      <c r="LZH104" s="129"/>
      <c r="LZI104" s="130"/>
      <c r="LZJ104" s="121"/>
      <c r="LZK104" s="121"/>
      <c r="LZL104" s="121"/>
      <c r="LZM104" s="130"/>
      <c r="LZN104" s="121"/>
      <c r="LZO104" s="130"/>
      <c r="LZP104" s="122"/>
      <c r="LZQ104" s="121"/>
      <c r="LZR104" s="121"/>
      <c r="LZS104" s="127"/>
      <c r="LZT104" s="127"/>
      <c r="LZU104" s="120"/>
      <c r="LZV104" s="130"/>
      <c r="LZW104" s="130"/>
      <c r="LZX104" s="139"/>
      <c r="LZY104" s="130"/>
      <c r="LZZ104" s="130"/>
      <c r="MAA104" s="130"/>
      <c r="MAB104" s="130"/>
      <c r="MAC104" s="130"/>
      <c r="MAD104" s="140"/>
      <c r="MAE104" s="140"/>
      <c r="MAF104" s="140"/>
      <c r="MAG104" s="141"/>
      <c r="MAH104" s="119"/>
      <c r="MAI104" s="128"/>
      <c r="MAJ104" s="119"/>
      <c r="MAK104" s="141"/>
      <c r="MAL104" s="141"/>
      <c r="MAM104" s="132"/>
      <c r="MAN104" s="121"/>
      <c r="MAO104" s="121"/>
      <c r="MAP104" s="121"/>
      <c r="MAQ104" s="128"/>
      <c r="MAR104" s="128"/>
      <c r="MAS104" s="128"/>
      <c r="MAT104" s="128"/>
      <c r="MAU104" s="121"/>
      <c r="MAV104" s="121"/>
      <c r="MAW104" s="121"/>
      <c r="MAX104" s="132"/>
      <c r="MAY104" s="132"/>
      <c r="MAZ104" s="129"/>
      <c r="MBA104" s="130"/>
      <c r="MBB104" s="121"/>
      <c r="MBC104" s="121"/>
      <c r="MBD104" s="121"/>
      <c r="MBE104" s="130"/>
      <c r="MBF104" s="121"/>
      <c r="MBG104" s="130"/>
      <c r="MBH104" s="122"/>
      <c r="MBI104" s="121"/>
      <c r="MBJ104" s="121"/>
      <c r="MBK104" s="127"/>
      <c r="MBL104" s="127"/>
      <c r="MBM104" s="120"/>
      <c r="MBN104" s="130"/>
      <c r="MBO104" s="130"/>
      <c r="MBP104" s="139"/>
      <c r="MBQ104" s="130"/>
      <c r="MBR104" s="130"/>
      <c r="MBS104" s="130"/>
      <c r="MBT104" s="130"/>
      <c r="MBU104" s="130"/>
      <c r="MBV104" s="140"/>
      <c r="MBW104" s="140"/>
      <c r="MBX104" s="140"/>
      <c r="MBY104" s="141"/>
      <c r="MBZ104" s="119"/>
      <c r="MCA104" s="128"/>
      <c r="MCB104" s="119"/>
      <c r="MCC104" s="141"/>
      <c r="MCD104" s="141"/>
      <c r="MCE104" s="132"/>
      <c r="MCF104" s="121"/>
      <c r="MCG104" s="121"/>
      <c r="MCH104" s="121"/>
      <c r="MCI104" s="128"/>
      <c r="MCJ104" s="128"/>
      <c r="MCK104" s="128"/>
      <c r="MCL104" s="128"/>
      <c r="MCM104" s="121"/>
      <c r="MCN104" s="121"/>
      <c r="MCO104" s="121"/>
      <c r="MCP104" s="132"/>
      <c r="MCQ104" s="132"/>
      <c r="MCR104" s="129"/>
      <c r="MCS104" s="130"/>
      <c r="MCT104" s="121"/>
      <c r="MCU104" s="121"/>
      <c r="MCV104" s="121"/>
      <c r="MCW104" s="130"/>
      <c r="MCX104" s="121"/>
      <c r="MCY104" s="130"/>
      <c r="MCZ104" s="122"/>
      <c r="MDA104" s="121"/>
      <c r="MDB104" s="121"/>
      <c r="MDC104" s="127"/>
      <c r="MDD104" s="127"/>
      <c r="MDE104" s="120"/>
      <c r="MDF104" s="130"/>
      <c r="MDG104" s="130"/>
      <c r="MDH104" s="139"/>
      <c r="MDI104" s="130"/>
      <c r="MDJ104" s="130"/>
      <c r="MDK104" s="130"/>
      <c r="MDL104" s="130"/>
      <c r="MDM104" s="130"/>
      <c r="MDN104" s="140"/>
      <c r="MDO104" s="140"/>
      <c r="MDP104" s="140"/>
      <c r="MDQ104" s="141"/>
      <c r="MDR104" s="119"/>
      <c r="MDS104" s="128"/>
      <c r="MDT104" s="119"/>
      <c r="MDU104" s="141"/>
      <c r="MDV104" s="141"/>
      <c r="MDW104" s="132"/>
      <c r="MDX104" s="121"/>
      <c r="MDY104" s="121"/>
      <c r="MDZ104" s="121"/>
      <c r="MEA104" s="128"/>
      <c r="MEB104" s="128"/>
      <c r="MEC104" s="128"/>
      <c r="MED104" s="128"/>
      <c r="MEE104" s="121"/>
      <c r="MEF104" s="121"/>
      <c r="MEG104" s="121"/>
      <c r="MEH104" s="132"/>
      <c r="MEI104" s="132"/>
      <c r="MEJ104" s="129"/>
      <c r="MEK104" s="130"/>
      <c r="MEL104" s="121"/>
      <c r="MEM104" s="121"/>
      <c r="MEN104" s="121"/>
      <c r="MEO104" s="130"/>
      <c r="MEP104" s="121"/>
      <c r="MEQ104" s="130"/>
      <c r="MER104" s="122"/>
      <c r="MES104" s="121"/>
      <c r="MET104" s="121"/>
      <c r="MEU104" s="127"/>
      <c r="MEV104" s="127"/>
      <c r="MEW104" s="120"/>
      <c r="MEX104" s="130"/>
      <c r="MEY104" s="130"/>
      <c r="MEZ104" s="139"/>
      <c r="MFA104" s="130"/>
      <c r="MFB104" s="130"/>
      <c r="MFC104" s="130"/>
      <c r="MFD104" s="130"/>
      <c r="MFE104" s="130"/>
      <c r="MFF104" s="140"/>
      <c r="MFG104" s="140"/>
      <c r="MFH104" s="140"/>
      <c r="MFI104" s="141"/>
      <c r="MFJ104" s="119"/>
      <c r="MFK104" s="128"/>
      <c r="MFL104" s="119"/>
      <c r="MFM104" s="141"/>
      <c r="MFN104" s="141"/>
      <c r="MFO104" s="132"/>
      <c r="MFP104" s="121"/>
      <c r="MFQ104" s="121"/>
      <c r="MFR104" s="121"/>
      <c r="MFS104" s="128"/>
      <c r="MFT104" s="128"/>
      <c r="MFU104" s="128"/>
      <c r="MFV104" s="128"/>
      <c r="MFW104" s="121"/>
      <c r="MFX104" s="121"/>
      <c r="MFY104" s="121"/>
      <c r="MFZ104" s="132"/>
      <c r="MGA104" s="132"/>
      <c r="MGB104" s="129"/>
      <c r="MGC104" s="130"/>
      <c r="MGD104" s="121"/>
      <c r="MGE104" s="121"/>
      <c r="MGF104" s="121"/>
      <c r="MGG104" s="130"/>
      <c r="MGH104" s="121"/>
      <c r="MGI104" s="130"/>
      <c r="MGJ104" s="122"/>
      <c r="MGK104" s="121"/>
      <c r="MGL104" s="121"/>
      <c r="MGM104" s="127"/>
      <c r="MGN104" s="127"/>
      <c r="MGO104" s="120"/>
      <c r="MGP104" s="130"/>
      <c r="MGQ104" s="130"/>
      <c r="MGR104" s="139"/>
      <c r="MGS104" s="130"/>
      <c r="MGT104" s="130"/>
      <c r="MGU104" s="130"/>
      <c r="MGV104" s="130"/>
      <c r="MGW104" s="130"/>
      <c r="MGX104" s="140"/>
      <c r="MGY104" s="140"/>
      <c r="MGZ104" s="140"/>
      <c r="MHA104" s="141"/>
      <c r="MHB104" s="119"/>
      <c r="MHC104" s="128"/>
      <c r="MHD104" s="119"/>
      <c r="MHE104" s="141"/>
      <c r="MHF104" s="141"/>
      <c r="MHG104" s="132"/>
      <c r="MHH104" s="121"/>
      <c r="MHI104" s="121"/>
      <c r="MHJ104" s="121"/>
      <c r="MHK104" s="128"/>
      <c r="MHL104" s="128"/>
      <c r="MHM104" s="128"/>
      <c r="MHN104" s="128"/>
      <c r="MHO104" s="121"/>
      <c r="MHP104" s="121"/>
      <c r="MHQ104" s="121"/>
      <c r="MHR104" s="132"/>
      <c r="MHS104" s="132"/>
      <c r="MHT104" s="129"/>
      <c r="MHU104" s="130"/>
      <c r="MHV104" s="121"/>
      <c r="MHW104" s="121"/>
      <c r="MHX104" s="121"/>
      <c r="MHY104" s="130"/>
      <c r="MHZ104" s="121"/>
      <c r="MIA104" s="130"/>
      <c r="MIB104" s="122"/>
      <c r="MIC104" s="121"/>
      <c r="MID104" s="121"/>
      <c r="MIE104" s="127"/>
      <c r="MIF104" s="127"/>
      <c r="MIG104" s="120"/>
      <c r="MIH104" s="130"/>
      <c r="MII104" s="130"/>
      <c r="MIJ104" s="139"/>
      <c r="MIK104" s="130"/>
      <c r="MIL104" s="130"/>
      <c r="MIM104" s="130"/>
      <c r="MIN104" s="130"/>
      <c r="MIO104" s="130"/>
      <c r="MIP104" s="140"/>
      <c r="MIQ104" s="140"/>
      <c r="MIR104" s="140"/>
      <c r="MIS104" s="141"/>
      <c r="MIT104" s="119"/>
      <c r="MIU104" s="128"/>
      <c r="MIV104" s="119"/>
      <c r="MIW104" s="141"/>
      <c r="MIX104" s="141"/>
      <c r="MIY104" s="132"/>
      <c r="MIZ104" s="121"/>
      <c r="MJA104" s="121"/>
      <c r="MJB104" s="121"/>
      <c r="MJC104" s="128"/>
      <c r="MJD104" s="128"/>
      <c r="MJE104" s="128"/>
      <c r="MJF104" s="128"/>
      <c r="MJG104" s="121"/>
      <c r="MJH104" s="121"/>
      <c r="MJI104" s="121"/>
      <c r="MJJ104" s="132"/>
      <c r="MJK104" s="132"/>
      <c r="MJL104" s="129"/>
      <c r="MJM104" s="130"/>
      <c r="MJN104" s="121"/>
      <c r="MJO104" s="121"/>
      <c r="MJP104" s="121"/>
      <c r="MJQ104" s="130"/>
      <c r="MJR104" s="121"/>
      <c r="MJS104" s="130"/>
      <c r="MJT104" s="122"/>
      <c r="MJU104" s="121"/>
      <c r="MJV104" s="121"/>
      <c r="MJW104" s="127"/>
      <c r="MJX104" s="127"/>
      <c r="MJY104" s="120"/>
      <c r="MJZ104" s="130"/>
      <c r="MKA104" s="130"/>
      <c r="MKB104" s="139"/>
      <c r="MKC104" s="130"/>
      <c r="MKD104" s="130"/>
      <c r="MKE104" s="130"/>
      <c r="MKF104" s="130"/>
      <c r="MKG104" s="130"/>
      <c r="MKH104" s="140"/>
      <c r="MKI104" s="140"/>
      <c r="MKJ104" s="140"/>
      <c r="MKK104" s="141"/>
      <c r="MKL104" s="119"/>
      <c r="MKM104" s="128"/>
      <c r="MKN104" s="119"/>
      <c r="MKO104" s="141"/>
      <c r="MKP104" s="141"/>
      <c r="MKQ104" s="132"/>
      <c r="MKR104" s="121"/>
      <c r="MKS104" s="121"/>
      <c r="MKT104" s="121"/>
      <c r="MKU104" s="128"/>
      <c r="MKV104" s="128"/>
      <c r="MKW104" s="128"/>
      <c r="MKX104" s="128"/>
      <c r="MKY104" s="121"/>
      <c r="MKZ104" s="121"/>
      <c r="MLA104" s="121"/>
      <c r="MLB104" s="132"/>
      <c r="MLC104" s="132"/>
      <c r="MLD104" s="129"/>
      <c r="MLE104" s="130"/>
      <c r="MLF104" s="121"/>
      <c r="MLG104" s="121"/>
      <c r="MLH104" s="121"/>
      <c r="MLI104" s="130"/>
      <c r="MLJ104" s="121"/>
      <c r="MLK104" s="130"/>
      <c r="MLL104" s="122"/>
      <c r="MLM104" s="121"/>
      <c r="MLN104" s="121"/>
      <c r="MLO104" s="127"/>
      <c r="MLP104" s="127"/>
      <c r="MLQ104" s="120"/>
      <c r="MLR104" s="130"/>
      <c r="MLS104" s="130"/>
      <c r="MLT104" s="139"/>
      <c r="MLU104" s="130"/>
      <c r="MLV104" s="130"/>
      <c r="MLW104" s="130"/>
      <c r="MLX104" s="130"/>
      <c r="MLY104" s="130"/>
      <c r="MLZ104" s="140"/>
      <c r="MMA104" s="140"/>
      <c r="MMB104" s="140"/>
      <c r="MMC104" s="141"/>
      <c r="MMD104" s="119"/>
      <c r="MME104" s="128"/>
      <c r="MMF104" s="119"/>
      <c r="MMG104" s="141"/>
      <c r="MMH104" s="141"/>
      <c r="MMI104" s="132"/>
      <c r="MMJ104" s="121"/>
      <c r="MMK104" s="121"/>
      <c r="MML104" s="121"/>
      <c r="MMM104" s="128"/>
      <c r="MMN104" s="128"/>
      <c r="MMO104" s="128"/>
      <c r="MMP104" s="128"/>
      <c r="MMQ104" s="121"/>
      <c r="MMR104" s="121"/>
      <c r="MMS104" s="121"/>
      <c r="MMT104" s="132"/>
      <c r="MMU104" s="132"/>
      <c r="MMV104" s="129"/>
      <c r="MMW104" s="130"/>
      <c r="MMX104" s="121"/>
      <c r="MMY104" s="121"/>
      <c r="MMZ104" s="121"/>
      <c r="MNA104" s="130"/>
      <c r="MNB104" s="121"/>
      <c r="MNC104" s="130"/>
      <c r="MND104" s="122"/>
      <c r="MNE104" s="121"/>
      <c r="MNF104" s="121"/>
      <c r="MNG104" s="127"/>
      <c r="MNH104" s="127"/>
      <c r="MNI104" s="120"/>
      <c r="MNJ104" s="130"/>
      <c r="MNK104" s="130"/>
      <c r="MNL104" s="139"/>
      <c r="MNM104" s="130"/>
      <c r="MNN104" s="130"/>
      <c r="MNO104" s="130"/>
      <c r="MNP104" s="130"/>
      <c r="MNQ104" s="130"/>
      <c r="MNR104" s="140"/>
      <c r="MNS104" s="140"/>
      <c r="MNT104" s="140"/>
      <c r="MNU104" s="141"/>
      <c r="MNV104" s="119"/>
      <c r="MNW104" s="128"/>
      <c r="MNX104" s="119"/>
      <c r="MNY104" s="141"/>
      <c r="MNZ104" s="141"/>
      <c r="MOA104" s="132"/>
      <c r="MOB104" s="121"/>
      <c r="MOC104" s="121"/>
      <c r="MOD104" s="121"/>
      <c r="MOE104" s="128"/>
      <c r="MOF104" s="128"/>
      <c r="MOG104" s="128"/>
      <c r="MOH104" s="128"/>
      <c r="MOI104" s="121"/>
      <c r="MOJ104" s="121"/>
      <c r="MOK104" s="121"/>
      <c r="MOL104" s="132"/>
      <c r="MOM104" s="132"/>
      <c r="MON104" s="129"/>
      <c r="MOO104" s="130"/>
      <c r="MOP104" s="121"/>
      <c r="MOQ104" s="121"/>
      <c r="MOR104" s="121"/>
      <c r="MOS104" s="130"/>
      <c r="MOT104" s="121"/>
      <c r="MOU104" s="130"/>
      <c r="MOV104" s="122"/>
      <c r="MOW104" s="121"/>
      <c r="MOX104" s="121"/>
      <c r="MOY104" s="127"/>
      <c r="MOZ104" s="127"/>
      <c r="MPA104" s="120"/>
      <c r="MPB104" s="130"/>
      <c r="MPC104" s="130"/>
      <c r="MPD104" s="139"/>
      <c r="MPE104" s="130"/>
      <c r="MPF104" s="130"/>
      <c r="MPG104" s="130"/>
      <c r="MPH104" s="130"/>
      <c r="MPI104" s="130"/>
      <c r="MPJ104" s="140"/>
      <c r="MPK104" s="140"/>
      <c r="MPL104" s="140"/>
      <c r="MPM104" s="141"/>
      <c r="MPN104" s="119"/>
      <c r="MPO104" s="128"/>
      <c r="MPP104" s="119"/>
      <c r="MPQ104" s="141"/>
      <c r="MPR104" s="141"/>
      <c r="MPS104" s="132"/>
      <c r="MPT104" s="121"/>
      <c r="MPU104" s="121"/>
      <c r="MPV104" s="121"/>
      <c r="MPW104" s="128"/>
      <c r="MPX104" s="128"/>
      <c r="MPY104" s="128"/>
      <c r="MPZ104" s="128"/>
      <c r="MQA104" s="121"/>
      <c r="MQB104" s="121"/>
      <c r="MQC104" s="121"/>
      <c r="MQD104" s="132"/>
      <c r="MQE104" s="132"/>
      <c r="MQF104" s="129"/>
      <c r="MQG104" s="130"/>
      <c r="MQH104" s="121"/>
      <c r="MQI104" s="121"/>
      <c r="MQJ104" s="121"/>
      <c r="MQK104" s="130"/>
      <c r="MQL104" s="121"/>
      <c r="MQM104" s="130"/>
      <c r="MQN104" s="122"/>
      <c r="MQO104" s="121"/>
      <c r="MQP104" s="121"/>
      <c r="MQQ104" s="127"/>
      <c r="MQR104" s="127"/>
      <c r="MQS104" s="120"/>
      <c r="MQT104" s="130"/>
      <c r="MQU104" s="130"/>
      <c r="MQV104" s="139"/>
      <c r="MQW104" s="130"/>
      <c r="MQX104" s="130"/>
      <c r="MQY104" s="130"/>
      <c r="MQZ104" s="130"/>
      <c r="MRA104" s="130"/>
      <c r="MRB104" s="140"/>
      <c r="MRC104" s="140"/>
      <c r="MRD104" s="140"/>
      <c r="MRE104" s="141"/>
      <c r="MRF104" s="119"/>
      <c r="MRG104" s="128"/>
      <c r="MRH104" s="119"/>
      <c r="MRI104" s="141"/>
      <c r="MRJ104" s="141"/>
      <c r="MRK104" s="132"/>
      <c r="MRL104" s="121"/>
      <c r="MRM104" s="121"/>
      <c r="MRN104" s="121"/>
      <c r="MRO104" s="128"/>
      <c r="MRP104" s="128"/>
      <c r="MRQ104" s="128"/>
      <c r="MRR104" s="128"/>
      <c r="MRS104" s="121"/>
      <c r="MRT104" s="121"/>
      <c r="MRU104" s="121"/>
      <c r="MRV104" s="132"/>
      <c r="MRW104" s="132"/>
      <c r="MRX104" s="129"/>
      <c r="MRY104" s="130"/>
      <c r="MRZ104" s="121"/>
      <c r="MSA104" s="121"/>
      <c r="MSB104" s="121"/>
      <c r="MSC104" s="130"/>
      <c r="MSD104" s="121"/>
      <c r="MSE104" s="130"/>
      <c r="MSF104" s="122"/>
      <c r="MSG104" s="121"/>
      <c r="MSH104" s="121"/>
      <c r="MSI104" s="127"/>
      <c r="MSJ104" s="127"/>
      <c r="MSK104" s="120"/>
      <c r="MSL104" s="130"/>
      <c r="MSM104" s="130"/>
      <c r="MSN104" s="139"/>
      <c r="MSO104" s="130"/>
      <c r="MSP104" s="130"/>
      <c r="MSQ104" s="130"/>
      <c r="MSR104" s="130"/>
      <c r="MSS104" s="130"/>
      <c r="MST104" s="140"/>
      <c r="MSU104" s="140"/>
      <c r="MSV104" s="140"/>
      <c r="MSW104" s="141"/>
      <c r="MSX104" s="119"/>
      <c r="MSY104" s="128"/>
      <c r="MSZ104" s="119"/>
      <c r="MTA104" s="141"/>
      <c r="MTB104" s="141"/>
      <c r="MTC104" s="132"/>
      <c r="MTD104" s="121"/>
      <c r="MTE104" s="121"/>
      <c r="MTF104" s="121"/>
      <c r="MTG104" s="128"/>
      <c r="MTH104" s="128"/>
      <c r="MTI104" s="128"/>
      <c r="MTJ104" s="128"/>
      <c r="MTK104" s="121"/>
      <c r="MTL104" s="121"/>
      <c r="MTM104" s="121"/>
      <c r="MTN104" s="132"/>
      <c r="MTO104" s="132"/>
      <c r="MTP104" s="129"/>
      <c r="MTQ104" s="130"/>
      <c r="MTR104" s="121"/>
      <c r="MTS104" s="121"/>
      <c r="MTT104" s="121"/>
      <c r="MTU104" s="130"/>
      <c r="MTV104" s="121"/>
      <c r="MTW104" s="130"/>
      <c r="MTX104" s="122"/>
      <c r="MTY104" s="121"/>
      <c r="MTZ104" s="121"/>
      <c r="MUA104" s="127"/>
      <c r="MUB104" s="127"/>
      <c r="MUC104" s="120"/>
      <c r="MUD104" s="130"/>
      <c r="MUE104" s="130"/>
      <c r="MUF104" s="139"/>
      <c r="MUG104" s="130"/>
      <c r="MUH104" s="130"/>
      <c r="MUI104" s="130"/>
      <c r="MUJ104" s="130"/>
      <c r="MUK104" s="130"/>
      <c r="MUL104" s="140"/>
      <c r="MUM104" s="140"/>
      <c r="MUN104" s="140"/>
      <c r="MUO104" s="141"/>
      <c r="MUP104" s="119"/>
      <c r="MUQ104" s="128"/>
      <c r="MUR104" s="119"/>
      <c r="MUS104" s="141"/>
      <c r="MUT104" s="141"/>
      <c r="MUU104" s="132"/>
      <c r="MUV104" s="121"/>
      <c r="MUW104" s="121"/>
      <c r="MUX104" s="121"/>
      <c r="MUY104" s="128"/>
      <c r="MUZ104" s="128"/>
      <c r="MVA104" s="128"/>
      <c r="MVB104" s="128"/>
      <c r="MVC104" s="121"/>
      <c r="MVD104" s="121"/>
      <c r="MVE104" s="121"/>
      <c r="MVF104" s="132"/>
      <c r="MVG104" s="132"/>
      <c r="MVH104" s="129"/>
      <c r="MVI104" s="130"/>
      <c r="MVJ104" s="121"/>
      <c r="MVK104" s="121"/>
      <c r="MVL104" s="121"/>
      <c r="MVM104" s="130"/>
      <c r="MVN104" s="121"/>
      <c r="MVO104" s="130"/>
      <c r="MVP104" s="122"/>
      <c r="MVQ104" s="121"/>
      <c r="MVR104" s="121"/>
      <c r="MVS104" s="127"/>
      <c r="MVT104" s="127"/>
      <c r="MVU104" s="120"/>
      <c r="MVV104" s="130"/>
      <c r="MVW104" s="130"/>
      <c r="MVX104" s="139"/>
      <c r="MVY104" s="130"/>
      <c r="MVZ104" s="130"/>
      <c r="MWA104" s="130"/>
      <c r="MWB104" s="130"/>
      <c r="MWC104" s="130"/>
      <c r="MWD104" s="140"/>
      <c r="MWE104" s="140"/>
      <c r="MWF104" s="140"/>
      <c r="MWG104" s="141"/>
      <c r="MWH104" s="119"/>
      <c r="MWI104" s="128"/>
      <c r="MWJ104" s="119"/>
      <c r="MWK104" s="141"/>
      <c r="MWL104" s="141"/>
      <c r="MWM104" s="132"/>
      <c r="MWN104" s="121"/>
      <c r="MWO104" s="121"/>
      <c r="MWP104" s="121"/>
      <c r="MWQ104" s="128"/>
      <c r="MWR104" s="128"/>
      <c r="MWS104" s="128"/>
      <c r="MWT104" s="128"/>
      <c r="MWU104" s="121"/>
      <c r="MWV104" s="121"/>
      <c r="MWW104" s="121"/>
      <c r="MWX104" s="132"/>
      <c r="MWY104" s="132"/>
      <c r="MWZ104" s="129"/>
      <c r="MXA104" s="130"/>
      <c r="MXB104" s="121"/>
      <c r="MXC104" s="121"/>
      <c r="MXD104" s="121"/>
      <c r="MXE104" s="130"/>
      <c r="MXF104" s="121"/>
      <c r="MXG104" s="130"/>
      <c r="MXH104" s="122"/>
      <c r="MXI104" s="121"/>
      <c r="MXJ104" s="121"/>
      <c r="MXK104" s="127"/>
      <c r="MXL104" s="127"/>
      <c r="MXM104" s="120"/>
      <c r="MXN104" s="130"/>
      <c r="MXO104" s="130"/>
      <c r="MXP104" s="139"/>
      <c r="MXQ104" s="130"/>
      <c r="MXR104" s="130"/>
      <c r="MXS104" s="130"/>
      <c r="MXT104" s="130"/>
      <c r="MXU104" s="130"/>
      <c r="MXV104" s="140"/>
      <c r="MXW104" s="140"/>
      <c r="MXX104" s="140"/>
      <c r="MXY104" s="141"/>
      <c r="MXZ104" s="119"/>
      <c r="MYA104" s="128"/>
      <c r="MYB104" s="119"/>
      <c r="MYC104" s="141"/>
      <c r="MYD104" s="141"/>
      <c r="MYE104" s="132"/>
      <c r="MYF104" s="121"/>
      <c r="MYG104" s="121"/>
      <c r="MYH104" s="121"/>
      <c r="MYI104" s="128"/>
      <c r="MYJ104" s="128"/>
      <c r="MYK104" s="128"/>
      <c r="MYL104" s="128"/>
      <c r="MYM104" s="121"/>
      <c r="MYN104" s="121"/>
      <c r="MYO104" s="121"/>
      <c r="MYP104" s="132"/>
      <c r="MYQ104" s="132"/>
      <c r="MYR104" s="129"/>
      <c r="MYS104" s="130"/>
      <c r="MYT104" s="121"/>
      <c r="MYU104" s="121"/>
      <c r="MYV104" s="121"/>
      <c r="MYW104" s="130"/>
      <c r="MYX104" s="121"/>
      <c r="MYY104" s="130"/>
      <c r="MYZ104" s="122"/>
      <c r="MZA104" s="121"/>
      <c r="MZB104" s="121"/>
      <c r="MZC104" s="127"/>
      <c r="MZD104" s="127"/>
      <c r="MZE104" s="120"/>
      <c r="MZF104" s="130"/>
      <c r="MZG104" s="130"/>
      <c r="MZH104" s="139"/>
      <c r="MZI104" s="130"/>
      <c r="MZJ104" s="130"/>
      <c r="MZK104" s="130"/>
      <c r="MZL104" s="130"/>
      <c r="MZM104" s="130"/>
      <c r="MZN104" s="140"/>
      <c r="MZO104" s="140"/>
      <c r="MZP104" s="140"/>
      <c r="MZQ104" s="141"/>
      <c r="MZR104" s="119"/>
      <c r="MZS104" s="128"/>
      <c r="MZT104" s="119"/>
      <c r="MZU104" s="141"/>
      <c r="MZV104" s="141"/>
      <c r="MZW104" s="132"/>
      <c r="MZX104" s="121"/>
      <c r="MZY104" s="121"/>
      <c r="MZZ104" s="121"/>
      <c r="NAA104" s="128"/>
      <c r="NAB104" s="128"/>
      <c r="NAC104" s="128"/>
      <c r="NAD104" s="128"/>
      <c r="NAE104" s="121"/>
      <c r="NAF104" s="121"/>
      <c r="NAG104" s="121"/>
      <c r="NAH104" s="132"/>
      <c r="NAI104" s="132"/>
      <c r="NAJ104" s="129"/>
      <c r="NAK104" s="130"/>
      <c r="NAL104" s="121"/>
      <c r="NAM104" s="121"/>
      <c r="NAN104" s="121"/>
      <c r="NAO104" s="130"/>
      <c r="NAP104" s="121"/>
      <c r="NAQ104" s="130"/>
      <c r="NAR104" s="122"/>
      <c r="NAS104" s="121"/>
      <c r="NAT104" s="121"/>
      <c r="NAU104" s="127"/>
      <c r="NAV104" s="127"/>
      <c r="NAW104" s="120"/>
      <c r="NAX104" s="130"/>
      <c r="NAY104" s="130"/>
      <c r="NAZ104" s="139"/>
      <c r="NBA104" s="130"/>
      <c r="NBB104" s="130"/>
      <c r="NBC104" s="130"/>
      <c r="NBD104" s="130"/>
      <c r="NBE104" s="130"/>
      <c r="NBF104" s="140"/>
      <c r="NBG104" s="140"/>
      <c r="NBH104" s="140"/>
      <c r="NBI104" s="141"/>
      <c r="NBJ104" s="119"/>
      <c r="NBK104" s="128"/>
      <c r="NBL104" s="119"/>
      <c r="NBM104" s="141"/>
      <c r="NBN104" s="141"/>
      <c r="NBO104" s="132"/>
      <c r="NBP104" s="121"/>
      <c r="NBQ104" s="121"/>
      <c r="NBR104" s="121"/>
      <c r="NBS104" s="128"/>
      <c r="NBT104" s="128"/>
      <c r="NBU104" s="128"/>
      <c r="NBV104" s="128"/>
      <c r="NBW104" s="121"/>
      <c r="NBX104" s="121"/>
      <c r="NBY104" s="121"/>
      <c r="NBZ104" s="132"/>
      <c r="NCA104" s="132"/>
      <c r="NCB104" s="129"/>
      <c r="NCC104" s="130"/>
      <c r="NCD104" s="121"/>
      <c r="NCE104" s="121"/>
      <c r="NCF104" s="121"/>
      <c r="NCG104" s="130"/>
      <c r="NCH104" s="121"/>
      <c r="NCI104" s="130"/>
      <c r="NCJ104" s="122"/>
      <c r="NCK104" s="121"/>
      <c r="NCL104" s="121"/>
      <c r="NCM104" s="127"/>
      <c r="NCN104" s="127"/>
      <c r="NCO104" s="120"/>
      <c r="NCP104" s="130"/>
      <c r="NCQ104" s="130"/>
      <c r="NCR104" s="139"/>
      <c r="NCS104" s="130"/>
      <c r="NCT104" s="130"/>
      <c r="NCU104" s="130"/>
      <c r="NCV104" s="130"/>
      <c r="NCW104" s="130"/>
      <c r="NCX104" s="140"/>
      <c r="NCY104" s="140"/>
      <c r="NCZ104" s="140"/>
      <c r="NDA104" s="141"/>
      <c r="NDB104" s="119"/>
      <c r="NDC104" s="128"/>
      <c r="NDD104" s="119"/>
      <c r="NDE104" s="141"/>
      <c r="NDF104" s="141"/>
      <c r="NDG104" s="132"/>
      <c r="NDH104" s="121"/>
      <c r="NDI104" s="121"/>
      <c r="NDJ104" s="121"/>
      <c r="NDK104" s="128"/>
      <c r="NDL104" s="128"/>
      <c r="NDM104" s="128"/>
      <c r="NDN104" s="128"/>
      <c r="NDO104" s="121"/>
      <c r="NDP104" s="121"/>
      <c r="NDQ104" s="121"/>
      <c r="NDR104" s="132"/>
      <c r="NDS104" s="132"/>
      <c r="NDT104" s="129"/>
      <c r="NDU104" s="130"/>
      <c r="NDV104" s="121"/>
      <c r="NDW104" s="121"/>
      <c r="NDX104" s="121"/>
      <c r="NDY104" s="130"/>
      <c r="NDZ104" s="121"/>
      <c r="NEA104" s="130"/>
      <c r="NEB104" s="122"/>
      <c r="NEC104" s="121"/>
      <c r="NED104" s="121"/>
      <c r="NEE104" s="127"/>
      <c r="NEF104" s="127"/>
      <c r="NEG104" s="120"/>
      <c r="NEH104" s="130"/>
      <c r="NEI104" s="130"/>
      <c r="NEJ104" s="139"/>
      <c r="NEK104" s="130"/>
      <c r="NEL104" s="130"/>
      <c r="NEM104" s="130"/>
      <c r="NEN104" s="130"/>
      <c r="NEO104" s="130"/>
      <c r="NEP104" s="140"/>
      <c r="NEQ104" s="140"/>
      <c r="NER104" s="140"/>
      <c r="NES104" s="141"/>
      <c r="NET104" s="119"/>
      <c r="NEU104" s="128"/>
      <c r="NEV104" s="119"/>
      <c r="NEW104" s="141"/>
      <c r="NEX104" s="141"/>
      <c r="NEY104" s="132"/>
      <c r="NEZ104" s="121"/>
      <c r="NFA104" s="121"/>
      <c r="NFB104" s="121"/>
      <c r="NFC104" s="128"/>
      <c r="NFD104" s="128"/>
      <c r="NFE104" s="128"/>
      <c r="NFF104" s="128"/>
      <c r="NFG104" s="121"/>
      <c r="NFH104" s="121"/>
      <c r="NFI104" s="121"/>
      <c r="NFJ104" s="132"/>
      <c r="NFK104" s="132"/>
      <c r="NFL104" s="129"/>
      <c r="NFM104" s="130"/>
      <c r="NFN104" s="121"/>
      <c r="NFO104" s="121"/>
      <c r="NFP104" s="121"/>
      <c r="NFQ104" s="130"/>
      <c r="NFR104" s="121"/>
      <c r="NFS104" s="130"/>
      <c r="NFT104" s="122"/>
      <c r="NFU104" s="121"/>
      <c r="NFV104" s="121"/>
      <c r="NFW104" s="127"/>
      <c r="NFX104" s="127"/>
      <c r="NFY104" s="120"/>
      <c r="NFZ104" s="130"/>
      <c r="NGA104" s="130"/>
      <c r="NGB104" s="139"/>
      <c r="NGC104" s="130"/>
      <c r="NGD104" s="130"/>
      <c r="NGE104" s="130"/>
      <c r="NGF104" s="130"/>
      <c r="NGG104" s="130"/>
      <c r="NGH104" s="140"/>
      <c r="NGI104" s="140"/>
      <c r="NGJ104" s="140"/>
      <c r="NGK104" s="141"/>
      <c r="NGL104" s="119"/>
      <c r="NGM104" s="128"/>
      <c r="NGN104" s="119"/>
      <c r="NGO104" s="141"/>
      <c r="NGP104" s="141"/>
      <c r="NGQ104" s="132"/>
      <c r="NGR104" s="121"/>
      <c r="NGS104" s="121"/>
      <c r="NGT104" s="121"/>
      <c r="NGU104" s="128"/>
      <c r="NGV104" s="128"/>
      <c r="NGW104" s="128"/>
      <c r="NGX104" s="128"/>
      <c r="NGY104" s="121"/>
      <c r="NGZ104" s="121"/>
      <c r="NHA104" s="121"/>
      <c r="NHB104" s="132"/>
      <c r="NHC104" s="132"/>
      <c r="NHD104" s="129"/>
      <c r="NHE104" s="130"/>
      <c r="NHF104" s="121"/>
      <c r="NHG104" s="121"/>
      <c r="NHH104" s="121"/>
      <c r="NHI104" s="130"/>
      <c r="NHJ104" s="121"/>
      <c r="NHK104" s="130"/>
      <c r="NHL104" s="122"/>
      <c r="NHM104" s="121"/>
      <c r="NHN104" s="121"/>
      <c r="NHO104" s="127"/>
      <c r="NHP104" s="127"/>
      <c r="NHQ104" s="120"/>
      <c r="NHR104" s="130"/>
      <c r="NHS104" s="130"/>
      <c r="NHT104" s="139"/>
      <c r="NHU104" s="130"/>
      <c r="NHV104" s="130"/>
      <c r="NHW104" s="130"/>
      <c r="NHX104" s="130"/>
      <c r="NHY104" s="130"/>
      <c r="NHZ104" s="140"/>
      <c r="NIA104" s="140"/>
      <c r="NIB104" s="140"/>
      <c r="NIC104" s="141"/>
      <c r="NID104" s="119"/>
      <c r="NIE104" s="128"/>
      <c r="NIF104" s="119"/>
      <c r="NIG104" s="141"/>
      <c r="NIH104" s="141"/>
      <c r="NII104" s="132"/>
      <c r="NIJ104" s="121"/>
      <c r="NIK104" s="121"/>
      <c r="NIL104" s="121"/>
      <c r="NIM104" s="128"/>
      <c r="NIN104" s="128"/>
      <c r="NIO104" s="128"/>
      <c r="NIP104" s="128"/>
      <c r="NIQ104" s="121"/>
      <c r="NIR104" s="121"/>
      <c r="NIS104" s="121"/>
      <c r="NIT104" s="132"/>
      <c r="NIU104" s="132"/>
      <c r="NIV104" s="129"/>
      <c r="NIW104" s="130"/>
      <c r="NIX104" s="121"/>
      <c r="NIY104" s="121"/>
      <c r="NIZ104" s="121"/>
      <c r="NJA104" s="130"/>
      <c r="NJB104" s="121"/>
      <c r="NJC104" s="130"/>
      <c r="NJD104" s="122"/>
      <c r="NJE104" s="121"/>
      <c r="NJF104" s="121"/>
      <c r="NJG104" s="127"/>
      <c r="NJH104" s="127"/>
      <c r="NJI104" s="120"/>
      <c r="NJJ104" s="130"/>
      <c r="NJK104" s="130"/>
      <c r="NJL104" s="139"/>
      <c r="NJM104" s="130"/>
      <c r="NJN104" s="130"/>
      <c r="NJO104" s="130"/>
      <c r="NJP104" s="130"/>
      <c r="NJQ104" s="130"/>
      <c r="NJR104" s="140"/>
      <c r="NJS104" s="140"/>
      <c r="NJT104" s="140"/>
      <c r="NJU104" s="141"/>
      <c r="NJV104" s="119"/>
      <c r="NJW104" s="128"/>
      <c r="NJX104" s="119"/>
      <c r="NJY104" s="141"/>
      <c r="NJZ104" s="141"/>
      <c r="NKA104" s="132"/>
      <c r="NKB104" s="121"/>
      <c r="NKC104" s="121"/>
      <c r="NKD104" s="121"/>
      <c r="NKE104" s="128"/>
      <c r="NKF104" s="128"/>
      <c r="NKG104" s="128"/>
      <c r="NKH104" s="128"/>
      <c r="NKI104" s="121"/>
      <c r="NKJ104" s="121"/>
      <c r="NKK104" s="121"/>
      <c r="NKL104" s="132"/>
      <c r="NKM104" s="132"/>
      <c r="NKN104" s="129"/>
      <c r="NKO104" s="130"/>
      <c r="NKP104" s="121"/>
      <c r="NKQ104" s="121"/>
      <c r="NKR104" s="121"/>
      <c r="NKS104" s="130"/>
      <c r="NKT104" s="121"/>
      <c r="NKU104" s="130"/>
      <c r="NKV104" s="122"/>
      <c r="NKW104" s="121"/>
      <c r="NKX104" s="121"/>
      <c r="NKY104" s="127"/>
      <c r="NKZ104" s="127"/>
      <c r="NLA104" s="120"/>
      <c r="NLB104" s="130"/>
      <c r="NLC104" s="130"/>
      <c r="NLD104" s="139"/>
      <c r="NLE104" s="130"/>
      <c r="NLF104" s="130"/>
      <c r="NLG104" s="130"/>
      <c r="NLH104" s="130"/>
      <c r="NLI104" s="130"/>
      <c r="NLJ104" s="140"/>
      <c r="NLK104" s="140"/>
      <c r="NLL104" s="140"/>
      <c r="NLM104" s="141"/>
      <c r="NLN104" s="119"/>
      <c r="NLO104" s="128"/>
      <c r="NLP104" s="119"/>
      <c r="NLQ104" s="141"/>
      <c r="NLR104" s="141"/>
      <c r="NLS104" s="132"/>
      <c r="NLT104" s="121"/>
      <c r="NLU104" s="121"/>
      <c r="NLV104" s="121"/>
      <c r="NLW104" s="128"/>
      <c r="NLX104" s="128"/>
      <c r="NLY104" s="128"/>
      <c r="NLZ104" s="128"/>
      <c r="NMA104" s="121"/>
      <c r="NMB104" s="121"/>
      <c r="NMC104" s="121"/>
      <c r="NMD104" s="132"/>
      <c r="NME104" s="132"/>
      <c r="NMF104" s="129"/>
      <c r="NMG104" s="130"/>
      <c r="NMH104" s="121"/>
      <c r="NMI104" s="121"/>
      <c r="NMJ104" s="121"/>
      <c r="NMK104" s="130"/>
      <c r="NML104" s="121"/>
      <c r="NMM104" s="130"/>
      <c r="NMN104" s="122"/>
      <c r="NMO104" s="121"/>
      <c r="NMP104" s="121"/>
      <c r="NMQ104" s="127"/>
      <c r="NMR104" s="127"/>
      <c r="NMS104" s="120"/>
      <c r="NMT104" s="130"/>
      <c r="NMU104" s="130"/>
      <c r="NMV104" s="139"/>
      <c r="NMW104" s="130"/>
      <c r="NMX104" s="130"/>
      <c r="NMY104" s="130"/>
      <c r="NMZ104" s="130"/>
      <c r="NNA104" s="130"/>
      <c r="NNB104" s="140"/>
      <c r="NNC104" s="140"/>
      <c r="NND104" s="140"/>
      <c r="NNE104" s="141"/>
      <c r="NNF104" s="119"/>
      <c r="NNG104" s="128"/>
      <c r="NNH104" s="119"/>
      <c r="NNI104" s="141"/>
      <c r="NNJ104" s="141"/>
      <c r="NNK104" s="132"/>
      <c r="NNL104" s="121"/>
      <c r="NNM104" s="121"/>
      <c r="NNN104" s="121"/>
      <c r="NNO104" s="128"/>
      <c r="NNP104" s="128"/>
      <c r="NNQ104" s="128"/>
      <c r="NNR104" s="128"/>
      <c r="NNS104" s="121"/>
      <c r="NNT104" s="121"/>
      <c r="NNU104" s="121"/>
      <c r="NNV104" s="132"/>
      <c r="NNW104" s="132"/>
      <c r="NNX104" s="129"/>
      <c r="NNY104" s="130"/>
      <c r="NNZ104" s="121"/>
      <c r="NOA104" s="121"/>
      <c r="NOB104" s="121"/>
      <c r="NOC104" s="130"/>
      <c r="NOD104" s="121"/>
      <c r="NOE104" s="130"/>
      <c r="NOF104" s="122"/>
      <c r="NOG104" s="121"/>
      <c r="NOH104" s="121"/>
      <c r="NOI104" s="127"/>
      <c r="NOJ104" s="127"/>
      <c r="NOK104" s="120"/>
      <c r="NOL104" s="130"/>
      <c r="NOM104" s="130"/>
      <c r="NON104" s="139"/>
      <c r="NOO104" s="130"/>
      <c r="NOP104" s="130"/>
      <c r="NOQ104" s="130"/>
      <c r="NOR104" s="130"/>
      <c r="NOS104" s="130"/>
      <c r="NOT104" s="140"/>
      <c r="NOU104" s="140"/>
      <c r="NOV104" s="140"/>
      <c r="NOW104" s="141"/>
      <c r="NOX104" s="119"/>
      <c r="NOY104" s="128"/>
      <c r="NOZ104" s="119"/>
      <c r="NPA104" s="141"/>
      <c r="NPB104" s="141"/>
      <c r="NPC104" s="132"/>
      <c r="NPD104" s="121"/>
      <c r="NPE104" s="121"/>
      <c r="NPF104" s="121"/>
      <c r="NPG104" s="128"/>
      <c r="NPH104" s="128"/>
      <c r="NPI104" s="128"/>
      <c r="NPJ104" s="128"/>
      <c r="NPK104" s="121"/>
      <c r="NPL104" s="121"/>
      <c r="NPM104" s="121"/>
      <c r="NPN104" s="132"/>
      <c r="NPO104" s="132"/>
      <c r="NPP104" s="129"/>
      <c r="NPQ104" s="130"/>
      <c r="NPR104" s="121"/>
      <c r="NPS104" s="121"/>
      <c r="NPT104" s="121"/>
      <c r="NPU104" s="130"/>
      <c r="NPV104" s="121"/>
      <c r="NPW104" s="130"/>
      <c r="NPX104" s="122"/>
      <c r="NPY104" s="121"/>
      <c r="NPZ104" s="121"/>
      <c r="NQA104" s="127"/>
      <c r="NQB104" s="127"/>
      <c r="NQC104" s="120"/>
      <c r="NQD104" s="130"/>
      <c r="NQE104" s="130"/>
      <c r="NQF104" s="139"/>
      <c r="NQG104" s="130"/>
      <c r="NQH104" s="130"/>
      <c r="NQI104" s="130"/>
      <c r="NQJ104" s="130"/>
      <c r="NQK104" s="130"/>
      <c r="NQL104" s="140"/>
      <c r="NQM104" s="140"/>
      <c r="NQN104" s="140"/>
      <c r="NQO104" s="141"/>
      <c r="NQP104" s="119"/>
      <c r="NQQ104" s="128"/>
      <c r="NQR104" s="119"/>
      <c r="NQS104" s="141"/>
      <c r="NQT104" s="141"/>
      <c r="NQU104" s="132"/>
      <c r="NQV104" s="121"/>
      <c r="NQW104" s="121"/>
      <c r="NQX104" s="121"/>
      <c r="NQY104" s="128"/>
      <c r="NQZ104" s="128"/>
      <c r="NRA104" s="128"/>
      <c r="NRB104" s="128"/>
      <c r="NRC104" s="121"/>
      <c r="NRD104" s="121"/>
      <c r="NRE104" s="121"/>
      <c r="NRF104" s="132"/>
      <c r="NRG104" s="132"/>
      <c r="NRH104" s="129"/>
      <c r="NRI104" s="130"/>
      <c r="NRJ104" s="121"/>
      <c r="NRK104" s="121"/>
      <c r="NRL104" s="121"/>
      <c r="NRM104" s="130"/>
      <c r="NRN104" s="121"/>
      <c r="NRO104" s="130"/>
      <c r="NRP104" s="122"/>
      <c r="NRQ104" s="121"/>
      <c r="NRR104" s="121"/>
      <c r="NRS104" s="127"/>
      <c r="NRT104" s="127"/>
      <c r="NRU104" s="120"/>
      <c r="NRV104" s="130"/>
      <c r="NRW104" s="130"/>
      <c r="NRX104" s="139"/>
      <c r="NRY104" s="130"/>
      <c r="NRZ104" s="130"/>
      <c r="NSA104" s="130"/>
      <c r="NSB104" s="130"/>
      <c r="NSC104" s="130"/>
      <c r="NSD104" s="140"/>
      <c r="NSE104" s="140"/>
      <c r="NSF104" s="140"/>
      <c r="NSG104" s="141"/>
      <c r="NSH104" s="119"/>
      <c r="NSI104" s="128"/>
      <c r="NSJ104" s="119"/>
      <c r="NSK104" s="141"/>
      <c r="NSL104" s="141"/>
      <c r="NSM104" s="132"/>
      <c r="NSN104" s="121"/>
      <c r="NSO104" s="121"/>
      <c r="NSP104" s="121"/>
      <c r="NSQ104" s="128"/>
      <c r="NSR104" s="128"/>
      <c r="NSS104" s="128"/>
      <c r="NST104" s="128"/>
      <c r="NSU104" s="121"/>
      <c r="NSV104" s="121"/>
      <c r="NSW104" s="121"/>
      <c r="NSX104" s="132"/>
      <c r="NSY104" s="132"/>
      <c r="NSZ104" s="129"/>
      <c r="NTA104" s="130"/>
      <c r="NTB104" s="121"/>
      <c r="NTC104" s="121"/>
      <c r="NTD104" s="121"/>
      <c r="NTE104" s="130"/>
      <c r="NTF104" s="121"/>
      <c r="NTG104" s="130"/>
      <c r="NTH104" s="122"/>
      <c r="NTI104" s="121"/>
      <c r="NTJ104" s="121"/>
      <c r="NTK104" s="127"/>
      <c r="NTL104" s="127"/>
      <c r="NTM104" s="120"/>
      <c r="NTN104" s="130"/>
      <c r="NTO104" s="130"/>
      <c r="NTP104" s="139"/>
      <c r="NTQ104" s="130"/>
      <c r="NTR104" s="130"/>
      <c r="NTS104" s="130"/>
      <c r="NTT104" s="130"/>
      <c r="NTU104" s="130"/>
      <c r="NTV104" s="140"/>
      <c r="NTW104" s="140"/>
      <c r="NTX104" s="140"/>
      <c r="NTY104" s="141"/>
      <c r="NTZ104" s="119"/>
      <c r="NUA104" s="128"/>
      <c r="NUB104" s="119"/>
      <c r="NUC104" s="141"/>
      <c r="NUD104" s="141"/>
      <c r="NUE104" s="132"/>
      <c r="NUF104" s="121"/>
      <c r="NUG104" s="121"/>
      <c r="NUH104" s="121"/>
      <c r="NUI104" s="128"/>
      <c r="NUJ104" s="128"/>
      <c r="NUK104" s="128"/>
      <c r="NUL104" s="128"/>
      <c r="NUM104" s="121"/>
      <c r="NUN104" s="121"/>
      <c r="NUO104" s="121"/>
      <c r="NUP104" s="132"/>
      <c r="NUQ104" s="132"/>
      <c r="NUR104" s="129"/>
      <c r="NUS104" s="130"/>
      <c r="NUT104" s="121"/>
      <c r="NUU104" s="121"/>
      <c r="NUV104" s="121"/>
      <c r="NUW104" s="130"/>
      <c r="NUX104" s="121"/>
      <c r="NUY104" s="130"/>
      <c r="NUZ104" s="122"/>
      <c r="NVA104" s="121"/>
      <c r="NVB104" s="121"/>
      <c r="NVC104" s="127"/>
      <c r="NVD104" s="127"/>
      <c r="NVE104" s="120"/>
      <c r="NVF104" s="130"/>
      <c r="NVG104" s="130"/>
      <c r="NVH104" s="139"/>
      <c r="NVI104" s="130"/>
      <c r="NVJ104" s="130"/>
      <c r="NVK104" s="130"/>
      <c r="NVL104" s="130"/>
      <c r="NVM104" s="130"/>
      <c r="NVN104" s="140"/>
      <c r="NVO104" s="140"/>
      <c r="NVP104" s="140"/>
      <c r="NVQ104" s="141"/>
      <c r="NVR104" s="119"/>
      <c r="NVS104" s="128"/>
      <c r="NVT104" s="119"/>
      <c r="NVU104" s="141"/>
      <c r="NVV104" s="141"/>
      <c r="NVW104" s="132"/>
      <c r="NVX104" s="121"/>
      <c r="NVY104" s="121"/>
      <c r="NVZ104" s="121"/>
      <c r="NWA104" s="128"/>
      <c r="NWB104" s="128"/>
      <c r="NWC104" s="128"/>
      <c r="NWD104" s="128"/>
      <c r="NWE104" s="121"/>
      <c r="NWF104" s="121"/>
      <c r="NWG104" s="121"/>
      <c r="NWH104" s="132"/>
      <c r="NWI104" s="132"/>
      <c r="NWJ104" s="129"/>
      <c r="NWK104" s="130"/>
      <c r="NWL104" s="121"/>
      <c r="NWM104" s="121"/>
      <c r="NWN104" s="121"/>
      <c r="NWO104" s="130"/>
      <c r="NWP104" s="121"/>
      <c r="NWQ104" s="130"/>
      <c r="NWR104" s="122"/>
      <c r="NWS104" s="121"/>
      <c r="NWT104" s="121"/>
      <c r="NWU104" s="127"/>
      <c r="NWV104" s="127"/>
      <c r="NWW104" s="120"/>
      <c r="NWX104" s="130"/>
      <c r="NWY104" s="130"/>
      <c r="NWZ104" s="139"/>
      <c r="NXA104" s="130"/>
      <c r="NXB104" s="130"/>
      <c r="NXC104" s="130"/>
      <c r="NXD104" s="130"/>
      <c r="NXE104" s="130"/>
      <c r="NXF104" s="140"/>
      <c r="NXG104" s="140"/>
      <c r="NXH104" s="140"/>
      <c r="NXI104" s="141"/>
      <c r="NXJ104" s="119"/>
      <c r="NXK104" s="128"/>
      <c r="NXL104" s="119"/>
      <c r="NXM104" s="141"/>
      <c r="NXN104" s="141"/>
      <c r="NXO104" s="132"/>
      <c r="NXP104" s="121"/>
      <c r="NXQ104" s="121"/>
      <c r="NXR104" s="121"/>
      <c r="NXS104" s="128"/>
      <c r="NXT104" s="128"/>
      <c r="NXU104" s="128"/>
      <c r="NXV104" s="128"/>
      <c r="NXW104" s="121"/>
      <c r="NXX104" s="121"/>
      <c r="NXY104" s="121"/>
      <c r="NXZ104" s="132"/>
      <c r="NYA104" s="132"/>
      <c r="NYB104" s="129"/>
      <c r="NYC104" s="130"/>
      <c r="NYD104" s="121"/>
      <c r="NYE104" s="121"/>
      <c r="NYF104" s="121"/>
      <c r="NYG104" s="130"/>
      <c r="NYH104" s="121"/>
      <c r="NYI104" s="130"/>
      <c r="NYJ104" s="122"/>
      <c r="NYK104" s="121"/>
      <c r="NYL104" s="121"/>
      <c r="NYM104" s="127"/>
      <c r="NYN104" s="127"/>
      <c r="NYO104" s="120"/>
      <c r="NYP104" s="130"/>
      <c r="NYQ104" s="130"/>
      <c r="NYR104" s="139"/>
      <c r="NYS104" s="130"/>
      <c r="NYT104" s="130"/>
      <c r="NYU104" s="130"/>
      <c r="NYV104" s="130"/>
      <c r="NYW104" s="130"/>
      <c r="NYX104" s="140"/>
      <c r="NYY104" s="140"/>
      <c r="NYZ104" s="140"/>
      <c r="NZA104" s="141"/>
      <c r="NZB104" s="119"/>
      <c r="NZC104" s="128"/>
      <c r="NZD104" s="119"/>
      <c r="NZE104" s="141"/>
      <c r="NZF104" s="141"/>
      <c r="NZG104" s="132"/>
      <c r="NZH104" s="121"/>
      <c r="NZI104" s="121"/>
      <c r="NZJ104" s="121"/>
      <c r="NZK104" s="128"/>
      <c r="NZL104" s="128"/>
      <c r="NZM104" s="128"/>
      <c r="NZN104" s="128"/>
      <c r="NZO104" s="121"/>
      <c r="NZP104" s="121"/>
      <c r="NZQ104" s="121"/>
      <c r="NZR104" s="132"/>
      <c r="NZS104" s="132"/>
      <c r="NZT104" s="129"/>
      <c r="NZU104" s="130"/>
      <c r="NZV104" s="121"/>
      <c r="NZW104" s="121"/>
      <c r="NZX104" s="121"/>
      <c r="NZY104" s="130"/>
      <c r="NZZ104" s="121"/>
      <c r="OAA104" s="130"/>
      <c r="OAB104" s="122"/>
      <c r="OAC104" s="121"/>
      <c r="OAD104" s="121"/>
      <c r="OAE104" s="127"/>
      <c r="OAF104" s="127"/>
      <c r="OAG104" s="120"/>
      <c r="OAH104" s="130"/>
      <c r="OAI104" s="130"/>
      <c r="OAJ104" s="139"/>
      <c r="OAK104" s="130"/>
      <c r="OAL104" s="130"/>
      <c r="OAM104" s="130"/>
      <c r="OAN104" s="130"/>
      <c r="OAO104" s="130"/>
      <c r="OAP104" s="140"/>
      <c r="OAQ104" s="140"/>
      <c r="OAR104" s="140"/>
      <c r="OAS104" s="141"/>
      <c r="OAT104" s="119"/>
      <c r="OAU104" s="128"/>
      <c r="OAV104" s="119"/>
      <c r="OAW104" s="141"/>
      <c r="OAX104" s="141"/>
      <c r="OAY104" s="132"/>
      <c r="OAZ104" s="121"/>
      <c r="OBA104" s="121"/>
      <c r="OBB104" s="121"/>
      <c r="OBC104" s="128"/>
      <c r="OBD104" s="128"/>
      <c r="OBE104" s="128"/>
      <c r="OBF104" s="128"/>
      <c r="OBG104" s="121"/>
      <c r="OBH104" s="121"/>
      <c r="OBI104" s="121"/>
      <c r="OBJ104" s="132"/>
      <c r="OBK104" s="132"/>
      <c r="OBL104" s="129"/>
      <c r="OBM104" s="130"/>
      <c r="OBN104" s="121"/>
      <c r="OBO104" s="121"/>
      <c r="OBP104" s="121"/>
      <c r="OBQ104" s="130"/>
      <c r="OBR104" s="121"/>
      <c r="OBS104" s="130"/>
      <c r="OBT104" s="122"/>
      <c r="OBU104" s="121"/>
      <c r="OBV104" s="121"/>
      <c r="OBW104" s="127"/>
      <c r="OBX104" s="127"/>
      <c r="OBY104" s="120"/>
      <c r="OBZ104" s="130"/>
      <c r="OCA104" s="130"/>
      <c r="OCB104" s="139"/>
      <c r="OCC104" s="130"/>
      <c r="OCD104" s="130"/>
      <c r="OCE104" s="130"/>
      <c r="OCF104" s="130"/>
      <c r="OCG104" s="130"/>
      <c r="OCH104" s="140"/>
      <c r="OCI104" s="140"/>
      <c r="OCJ104" s="140"/>
      <c r="OCK104" s="141"/>
      <c r="OCL104" s="119"/>
      <c r="OCM104" s="128"/>
      <c r="OCN104" s="119"/>
      <c r="OCO104" s="141"/>
      <c r="OCP104" s="141"/>
      <c r="OCQ104" s="132"/>
      <c r="OCR104" s="121"/>
      <c r="OCS104" s="121"/>
      <c r="OCT104" s="121"/>
      <c r="OCU104" s="128"/>
      <c r="OCV104" s="128"/>
      <c r="OCW104" s="128"/>
      <c r="OCX104" s="128"/>
      <c r="OCY104" s="121"/>
      <c r="OCZ104" s="121"/>
      <c r="ODA104" s="121"/>
      <c r="ODB104" s="132"/>
      <c r="ODC104" s="132"/>
      <c r="ODD104" s="129"/>
      <c r="ODE104" s="130"/>
      <c r="ODF104" s="121"/>
      <c r="ODG104" s="121"/>
      <c r="ODH104" s="121"/>
      <c r="ODI104" s="130"/>
      <c r="ODJ104" s="121"/>
      <c r="ODK104" s="130"/>
      <c r="ODL104" s="122"/>
      <c r="ODM104" s="121"/>
      <c r="ODN104" s="121"/>
      <c r="ODO104" s="127"/>
      <c r="ODP104" s="127"/>
      <c r="ODQ104" s="120"/>
      <c r="ODR104" s="130"/>
      <c r="ODS104" s="130"/>
      <c r="ODT104" s="139"/>
      <c r="ODU104" s="130"/>
      <c r="ODV104" s="130"/>
      <c r="ODW104" s="130"/>
      <c r="ODX104" s="130"/>
      <c r="ODY104" s="130"/>
      <c r="ODZ104" s="140"/>
      <c r="OEA104" s="140"/>
      <c r="OEB104" s="140"/>
      <c r="OEC104" s="141"/>
      <c r="OED104" s="119"/>
      <c r="OEE104" s="128"/>
      <c r="OEF104" s="119"/>
      <c r="OEG104" s="141"/>
      <c r="OEH104" s="141"/>
      <c r="OEI104" s="132"/>
      <c r="OEJ104" s="121"/>
      <c r="OEK104" s="121"/>
      <c r="OEL104" s="121"/>
      <c r="OEM104" s="128"/>
      <c r="OEN104" s="128"/>
      <c r="OEO104" s="128"/>
      <c r="OEP104" s="128"/>
      <c r="OEQ104" s="121"/>
      <c r="OER104" s="121"/>
      <c r="OES104" s="121"/>
      <c r="OET104" s="132"/>
      <c r="OEU104" s="132"/>
      <c r="OEV104" s="129"/>
      <c r="OEW104" s="130"/>
      <c r="OEX104" s="121"/>
      <c r="OEY104" s="121"/>
      <c r="OEZ104" s="121"/>
      <c r="OFA104" s="130"/>
      <c r="OFB104" s="121"/>
      <c r="OFC104" s="130"/>
      <c r="OFD104" s="122"/>
      <c r="OFE104" s="121"/>
      <c r="OFF104" s="121"/>
      <c r="OFG104" s="127"/>
      <c r="OFH104" s="127"/>
      <c r="OFI104" s="120"/>
      <c r="OFJ104" s="130"/>
      <c r="OFK104" s="130"/>
      <c r="OFL104" s="139"/>
      <c r="OFM104" s="130"/>
      <c r="OFN104" s="130"/>
      <c r="OFO104" s="130"/>
      <c r="OFP104" s="130"/>
      <c r="OFQ104" s="130"/>
      <c r="OFR104" s="140"/>
      <c r="OFS104" s="140"/>
      <c r="OFT104" s="140"/>
      <c r="OFU104" s="141"/>
      <c r="OFV104" s="119"/>
      <c r="OFW104" s="128"/>
      <c r="OFX104" s="119"/>
      <c r="OFY104" s="141"/>
      <c r="OFZ104" s="141"/>
      <c r="OGA104" s="132"/>
      <c r="OGB104" s="121"/>
      <c r="OGC104" s="121"/>
      <c r="OGD104" s="121"/>
      <c r="OGE104" s="128"/>
      <c r="OGF104" s="128"/>
      <c r="OGG104" s="128"/>
      <c r="OGH104" s="128"/>
      <c r="OGI104" s="121"/>
      <c r="OGJ104" s="121"/>
      <c r="OGK104" s="121"/>
      <c r="OGL104" s="132"/>
      <c r="OGM104" s="132"/>
      <c r="OGN104" s="129"/>
      <c r="OGO104" s="130"/>
      <c r="OGP104" s="121"/>
      <c r="OGQ104" s="121"/>
      <c r="OGR104" s="121"/>
      <c r="OGS104" s="130"/>
      <c r="OGT104" s="121"/>
      <c r="OGU104" s="130"/>
      <c r="OGV104" s="122"/>
      <c r="OGW104" s="121"/>
      <c r="OGX104" s="121"/>
      <c r="OGY104" s="127"/>
      <c r="OGZ104" s="127"/>
      <c r="OHA104" s="120"/>
      <c r="OHB104" s="130"/>
      <c r="OHC104" s="130"/>
      <c r="OHD104" s="139"/>
      <c r="OHE104" s="130"/>
      <c r="OHF104" s="130"/>
      <c r="OHG104" s="130"/>
      <c r="OHH104" s="130"/>
      <c r="OHI104" s="130"/>
      <c r="OHJ104" s="140"/>
      <c r="OHK104" s="140"/>
      <c r="OHL104" s="140"/>
      <c r="OHM104" s="141"/>
      <c r="OHN104" s="119"/>
      <c r="OHO104" s="128"/>
      <c r="OHP104" s="119"/>
      <c r="OHQ104" s="141"/>
      <c r="OHR104" s="141"/>
      <c r="OHS104" s="132"/>
      <c r="OHT104" s="121"/>
      <c r="OHU104" s="121"/>
      <c r="OHV104" s="121"/>
      <c r="OHW104" s="128"/>
      <c r="OHX104" s="128"/>
      <c r="OHY104" s="128"/>
      <c r="OHZ104" s="128"/>
      <c r="OIA104" s="121"/>
      <c r="OIB104" s="121"/>
      <c r="OIC104" s="121"/>
      <c r="OID104" s="132"/>
      <c r="OIE104" s="132"/>
      <c r="OIF104" s="129"/>
      <c r="OIG104" s="130"/>
      <c r="OIH104" s="121"/>
      <c r="OII104" s="121"/>
      <c r="OIJ104" s="121"/>
      <c r="OIK104" s="130"/>
      <c r="OIL104" s="121"/>
      <c r="OIM104" s="130"/>
      <c r="OIN104" s="122"/>
      <c r="OIO104" s="121"/>
      <c r="OIP104" s="121"/>
      <c r="OIQ104" s="127"/>
      <c r="OIR104" s="127"/>
      <c r="OIS104" s="120"/>
      <c r="OIT104" s="130"/>
      <c r="OIU104" s="130"/>
      <c r="OIV104" s="139"/>
      <c r="OIW104" s="130"/>
      <c r="OIX104" s="130"/>
      <c r="OIY104" s="130"/>
      <c r="OIZ104" s="130"/>
      <c r="OJA104" s="130"/>
      <c r="OJB104" s="140"/>
      <c r="OJC104" s="140"/>
      <c r="OJD104" s="140"/>
      <c r="OJE104" s="141"/>
      <c r="OJF104" s="119"/>
      <c r="OJG104" s="128"/>
      <c r="OJH104" s="119"/>
      <c r="OJI104" s="141"/>
      <c r="OJJ104" s="141"/>
      <c r="OJK104" s="132"/>
      <c r="OJL104" s="121"/>
      <c r="OJM104" s="121"/>
      <c r="OJN104" s="121"/>
      <c r="OJO104" s="128"/>
      <c r="OJP104" s="128"/>
      <c r="OJQ104" s="128"/>
      <c r="OJR104" s="128"/>
      <c r="OJS104" s="121"/>
      <c r="OJT104" s="121"/>
      <c r="OJU104" s="121"/>
      <c r="OJV104" s="132"/>
      <c r="OJW104" s="132"/>
      <c r="OJX104" s="129"/>
      <c r="OJY104" s="130"/>
      <c r="OJZ104" s="121"/>
      <c r="OKA104" s="121"/>
      <c r="OKB104" s="121"/>
      <c r="OKC104" s="130"/>
      <c r="OKD104" s="121"/>
      <c r="OKE104" s="130"/>
      <c r="OKF104" s="122"/>
      <c r="OKG104" s="121"/>
      <c r="OKH104" s="121"/>
      <c r="OKI104" s="127"/>
      <c r="OKJ104" s="127"/>
      <c r="OKK104" s="120"/>
      <c r="OKL104" s="130"/>
      <c r="OKM104" s="130"/>
      <c r="OKN104" s="139"/>
      <c r="OKO104" s="130"/>
      <c r="OKP104" s="130"/>
      <c r="OKQ104" s="130"/>
      <c r="OKR104" s="130"/>
      <c r="OKS104" s="130"/>
      <c r="OKT104" s="140"/>
      <c r="OKU104" s="140"/>
      <c r="OKV104" s="140"/>
      <c r="OKW104" s="141"/>
      <c r="OKX104" s="119"/>
      <c r="OKY104" s="128"/>
      <c r="OKZ104" s="119"/>
      <c r="OLA104" s="141"/>
      <c r="OLB104" s="141"/>
      <c r="OLC104" s="132"/>
      <c r="OLD104" s="121"/>
      <c r="OLE104" s="121"/>
      <c r="OLF104" s="121"/>
      <c r="OLG104" s="128"/>
      <c r="OLH104" s="128"/>
      <c r="OLI104" s="128"/>
      <c r="OLJ104" s="128"/>
      <c r="OLK104" s="121"/>
      <c r="OLL104" s="121"/>
      <c r="OLM104" s="121"/>
      <c r="OLN104" s="132"/>
      <c r="OLO104" s="132"/>
      <c r="OLP104" s="129"/>
      <c r="OLQ104" s="130"/>
      <c r="OLR104" s="121"/>
      <c r="OLS104" s="121"/>
      <c r="OLT104" s="121"/>
      <c r="OLU104" s="130"/>
      <c r="OLV104" s="121"/>
      <c r="OLW104" s="130"/>
      <c r="OLX104" s="122"/>
      <c r="OLY104" s="121"/>
      <c r="OLZ104" s="121"/>
      <c r="OMA104" s="127"/>
      <c r="OMB104" s="127"/>
      <c r="OMC104" s="120"/>
      <c r="OMD104" s="130"/>
      <c r="OME104" s="130"/>
      <c r="OMF104" s="139"/>
      <c r="OMG104" s="130"/>
      <c r="OMH104" s="130"/>
      <c r="OMI104" s="130"/>
      <c r="OMJ104" s="130"/>
      <c r="OMK104" s="130"/>
      <c r="OML104" s="140"/>
      <c r="OMM104" s="140"/>
      <c r="OMN104" s="140"/>
      <c r="OMO104" s="141"/>
      <c r="OMP104" s="119"/>
      <c r="OMQ104" s="128"/>
      <c r="OMR104" s="119"/>
      <c r="OMS104" s="141"/>
      <c r="OMT104" s="141"/>
      <c r="OMU104" s="132"/>
      <c r="OMV104" s="121"/>
      <c r="OMW104" s="121"/>
      <c r="OMX104" s="121"/>
      <c r="OMY104" s="128"/>
      <c r="OMZ104" s="128"/>
      <c r="ONA104" s="128"/>
      <c r="ONB104" s="128"/>
      <c r="ONC104" s="121"/>
      <c r="OND104" s="121"/>
      <c r="ONE104" s="121"/>
      <c r="ONF104" s="132"/>
      <c r="ONG104" s="132"/>
      <c r="ONH104" s="129"/>
      <c r="ONI104" s="130"/>
      <c r="ONJ104" s="121"/>
      <c r="ONK104" s="121"/>
      <c r="ONL104" s="121"/>
      <c r="ONM104" s="130"/>
      <c r="ONN104" s="121"/>
      <c r="ONO104" s="130"/>
      <c r="ONP104" s="122"/>
      <c r="ONQ104" s="121"/>
      <c r="ONR104" s="121"/>
      <c r="ONS104" s="127"/>
      <c r="ONT104" s="127"/>
      <c r="ONU104" s="120"/>
      <c r="ONV104" s="130"/>
      <c r="ONW104" s="130"/>
      <c r="ONX104" s="139"/>
      <c r="ONY104" s="130"/>
      <c r="ONZ104" s="130"/>
      <c r="OOA104" s="130"/>
      <c r="OOB104" s="130"/>
      <c r="OOC104" s="130"/>
      <c r="OOD104" s="140"/>
      <c r="OOE104" s="140"/>
      <c r="OOF104" s="140"/>
      <c r="OOG104" s="141"/>
      <c r="OOH104" s="119"/>
      <c r="OOI104" s="128"/>
      <c r="OOJ104" s="119"/>
      <c r="OOK104" s="141"/>
      <c r="OOL104" s="141"/>
      <c r="OOM104" s="132"/>
      <c r="OON104" s="121"/>
      <c r="OOO104" s="121"/>
      <c r="OOP104" s="121"/>
      <c r="OOQ104" s="128"/>
      <c r="OOR104" s="128"/>
      <c r="OOS104" s="128"/>
      <c r="OOT104" s="128"/>
      <c r="OOU104" s="121"/>
      <c r="OOV104" s="121"/>
      <c r="OOW104" s="121"/>
      <c r="OOX104" s="132"/>
      <c r="OOY104" s="132"/>
      <c r="OOZ104" s="129"/>
      <c r="OPA104" s="130"/>
      <c r="OPB104" s="121"/>
      <c r="OPC104" s="121"/>
      <c r="OPD104" s="121"/>
      <c r="OPE104" s="130"/>
      <c r="OPF104" s="121"/>
      <c r="OPG104" s="130"/>
      <c r="OPH104" s="122"/>
      <c r="OPI104" s="121"/>
      <c r="OPJ104" s="121"/>
      <c r="OPK104" s="127"/>
      <c r="OPL104" s="127"/>
      <c r="OPM104" s="120"/>
      <c r="OPN104" s="130"/>
      <c r="OPO104" s="130"/>
      <c r="OPP104" s="139"/>
      <c r="OPQ104" s="130"/>
      <c r="OPR104" s="130"/>
      <c r="OPS104" s="130"/>
      <c r="OPT104" s="130"/>
      <c r="OPU104" s="130"/>
      <c r="OPV104" s="140"/>
      <c r="OPW104" s="140"/>
      <c r="OPX104" s="140"/>
      <c r="OPY104" s="141"/>
      <c r="OPZ104" s="119"/>
      <c r="OQA104" s="128"/>
      <c r="OQB104" s="119"/>
      <c r="OQC104" s="141"/>
      <c r="OQD104" s="141"/>
      <c r="OQE104" s="132"/>
      <c r="OQF104" s="121"/>
      <c r="OQG104" s="121"/>
      <c r="OQH104" s="121"/>
      <c r="OQI104" s="128"/>
      <c r="OQJ104" s="128"/>
      <c r="OQK104" s="128"/>
      <c r="OQL104" s="128"/>
      <c r="OQM104" s="121"/>
      <c r="OQN104" s="121"/>
      <c r="OQO104" s="121"/>
      <c r="OQP104" s="132"/>
      <c r="OQQ104" s="132"/>
      <c r="OQR104" s="129"/>
      <c r="OQS104" s="130"/>
      <c r="OQT104" s="121"/>
      <c r="OQU104" s="121"/>
      <c r="OQV104" s="121"/>
      <c r="OQW104" s="130"/>
      <c r="OQX104" s="121"/>
      <c r="OQY104" s="130"/>
      <c r="OQZ104" s="122"/>
      <c r="ORA104" s="121"/>
      <c r="ORB104" s="121"/>
      <c r="ORC104" s="127"/>
      <c r="ORD104" s="127"/>
      <c r="ORE104" s="120"/>
      <c r="ORF104" s="130"/>
      <c r="ORG104" s="130"/>
      <c r="ORH104" s="139"/>
      <c r="ORI104" s="130"/>
      <c r="ORJ104" s="130"/>
      <c r="ORK104" s="130"/>
      <c r="ORL104" s="130"/>
      <c r="ORM104" s="130"/>
      <c r="ORN104" s="140"/>
      <c r="ORO104" s="140"/>
      <c r="ORP104" s="140"/>
      <c r="ORQ104" s="141"/>
      <c r="ORR104" s="119"/>
      <c r="ORS104" s="128"/>
      <c r="ORT104" s="119"/>
      <c r="ORU104" s="141"/>
      <c r="ORV104" s="141"/>
      <c r="ORW104" s="132"/>
      <c r="ORX104" s="121"/>
      <c r="ORY104" s="121"/>
      <c r="ORZ104" s="121"/>
      <c r="OSA104" s="128"/>
      <c r="OSB104" s="128"/>
      <c r="OSC104" s="128"/>
      <c r="OSD104" s="128"/>
      <c r="OSE104" s="121"/>
      <c r="OSF104" s="121"/>
      <c r="OSG104" s="121"/>
      <c r="OSH104" s="132"/>
      <c r="OSI104" s="132"/>
      <c r="OSJ104" s="129"/>
      <c r="OSK104" s="130"/>
      <c r="OSL104" s="121"/>
      <c r="OSM104" s="121"/>
      <c r="OSN104" s="121"/>
      <c r="OSO104" s="130"/>
      <c r="OSP104" s="121"/>
      <c r="OSQ104" s="130"/>
      <c r="OSR104" s="122"/>
      <c r="OSS104" s="121"/>
      <c r="OST104" s="121"/>
      <c r="OSU104" s="127"/>
      <c r="OSV104" s="127"/>
      <c r="OSW104" s="120"/>
      <c r="OSX104" s="130"/>
      <c r="OSY104" s="130"/>
      <c r="OSZ104" s="139"/>
      <c r="OTA104" s="130"/>
      <c r="OTB104" s="130"/>
      <c r="OTC104" s="130"/>
      <c r="OTD104" s="130"/>
      <c r="OTE104" s="130"/>
      <c r="OTF104" s="140"/>
      <c r="OTG104" s="140"/>
      <c r="OTH104" s="140"/>
      <c r="OTI104" s="141"/>
      <c r="OTJ104" s="119"/>
      <c r="OTK104" s="128"/>
      <c r="OTL104" s="119"/>
      <c r="OTM104" s="141"/>
      <c r="OTN104" s="141"/>
      <c r="OTO104" s="132"/>
      <c r="OTP104" s="121"/>
      <c r="OTQ104" s="121"/>
      <c r="OTR104" s="121"/>
      <c r="OTS104" s="128"/>
      <c r="OTT104" s="128"/>
      <c r="OTU104" s="128"/>
      <c r="OTV104" s="128"/>
      <c r="OTW104" s="121"/>
      <c r="OTX104" s="121"/>
      <c r="OTY104" s="121"/>
      <c r="OTZ104" s="132"/>
      <c r="OUA104" s="132"/>
      <c r="OUB104" s="129"/>
      <c r="OUC104" s="130"/>
      <c r="OUD104" s="121"/>
      <c r="OUE104" s="121"/>
      <c r="OUF104" s="121"/>
      <c r="OUG104" s="130"/>
      <c r="OUH104" s="121"/>
      <c r="OUI104" s="130"/>
      <c r="OUJ104" s="122"/>
      <c r="OUK104" s="121"/>
      <c r="OUL104" s="121"/>
      <c r="OUM104" s="127"/>
      <c r="OUN104" s="127"/>
      <c r="OUO104" s="120"/>
      <c r="OUP104" s="130"/>
      <c r="OUQ104" s="130"/>
      <c r="OUR104" s="139"/>
      <c r="OUS104" s="130"/>
      <c r="OUT104" s="130"/>
      <c r="OUU104" s="130"/>
      <c r="OUV104" s="130"/>
      <c r="OUW104" s="130"/>
      <c r="OUX104" s="140"/>
      <c r="OUY104" s="140"/>
      <c r="OUZ104" s="140"/>
      <c r="OVA104" s="141"/>
      <c r="OVB104" s="119"/>
      <c r="OVC104" s="128"/>
      <c r="OVD104" s="119"/>
      <c r="OVE104" s="141"/>
      <c r="OVF104" s="141"/>
      <c r="OVG104" s="132"/>
      <c r="OVH104" s="121"/>
      <c r="OVI104" s="121"/>
      <c r="OVJ104" s="121"/>
      <c r="OVK104" s="128"/>
      <c r="OVL104" s="128"/>
      <c r="OVM104" s="128"/>
      <c r="OVN104" s="128"/>
      <c r="OVO104" s="121"/>
      <c r="OVP104" s="121"/>
      <c r="OVQ104" s="121"/>
      <c r="OVR104" s="132"/>
      <c r="OVS104" s="132"/>
      <c r="OVT104" s="129"/>
      <c r="OVU104" s="130"/>
      <c r="OVV104" s="121"/>
      <c r="OVW104" s="121"/>
      <c r="OVX104" s="121"/>
      <c r="OVY104" s="130"/>
      <c r="OVZ104" s="121"/>
      <c r="OWA104" s="130"/>
      <c r="OWB104" s="122"/>
      <c r="OWC104" s="121"/>
      <c r="OWD104" s="121"/>
      <c r="OWE104" s="127"/>
      <c r="OWF104" s="127"/>
      <c r="OWG104" s="120"/>
      <c r="OWH104" s="130"/>
      <c r="OWI104" s="130"/>
      <c r="OWJ104" s="139"/>
      <c r="OWK104" s="130"/>
      <c r="OWL104" s="130"/>
      <c r="OWM104" s="130"/>
      <c r="OWN104" s="130"/>
      <c r="OWO104" s="130"/>
      <c r="OWP104" s="140"/>
      <c r="OWQ104" s="140"/>
      <c r="OWR104" s="140"/>
      <c r="OWS104" s="141"/>
      <c r="OWT104" s="119"/>
      <c r="OWU104" s="128"/>
      <c r="OWV104" s="119"/>
      <c r="OWW104" s="141"/>
      <c r="OWX104" s="141"/>
      <c r="OWY104" s="132"/>
      <c r="OWZ104" s="121"/>
      <c r="OXA104" s="121"/>
      <c r="OXB104" s="121"/>
      <c r="OXC104" s="128"/>
      <c r="OXD104" s="128"/>
      <c r="OXE104" s="128"/>
      <c r="OXF104" s="128"/>
      <c r="OXG104" s="121"/>
      <c r="OXH104" s="121"/>
      <c r="OXI104" s="121"/>
      <c r="OXJ104" s="132"/>
      <c r="OXK104" s="132"/>
      <c r="OXL104" s="129"/>
      <c r="OXM104" s="130"/>
      <c r="OXN104" s="121"/>
      <c r="OXO104" s="121"/>
      <c r="OXP104" s="121"/>
      <c r="OXQ104" s="130"/>
      <c r="OXR104" s="121"/>
      <c r="OXS104" s="130"/>
      <c r="OXT104" s="122"/>
      <c r="OXU104" s="121"/>
      <c r="OXV104" s="121"/>
      <c r="OXW104" s="127"/>
      <c r="OXX104" s="127"/>
      <c r="OXY104" s="120"/>
      <c r="OXZ104" s="130"/>
      <c r="OYA104" s="130"/>
      <c r="OYB104" s="139"/>
      <c r="OYC104" s="130"/>
      <c r="OYD104" s="130"/>
      <c r="OYE104" s="130"/>
      <c r="OYF104" s="130"/>
      <c r="OYG104" s="130"/>
      <c r="OYH104" s="140"/>
      <c r="OYI104" s="140"/>
      <c r="OYJ104" s="140"/>
      <c r="OYK104" s="141"/>
      <c r="OYL104" s="119"/>
      <c r="OYM104" s="128"/>
      <c r="OYN104" s="119"/>
      <c r="OYO104" s="141"/>
      <c r="OYP104" s="141"/>
      <c r="OYQ104" s="132"/>
      <c r="OYR104" s="121"/>
      <c r="OYS104" s="121"/>
      <c r="OYT104" s="121"/>
      <c r="OYU104" s="128"/>
      <c r="OYV104" s="128"/>
      <c r="OYW104" s="128"/>
      <c r="OYX104" s="128"/>
      <c r="OYY104" s="121"/>
      <c r="OYZ104" s="121"/>
      <c r="OZA104" s="121"/>
      <c r="OZB104" s="132"/>
      <c r="OZC104" s="132"/>
      <c r="OZD104" s="129"/>
      <c r="OZE104" s="130"/>
      <c r="OZF104" s="121"/>
      <c r="OZG104" s="121"/>
      <c r="OZH104" s="121"/>
      <c r="OZI104" s="130"/>
      <c r="OZJ104" s="121"/>
      <c r="OZK104" s="130"/>
      <c r="OZL104" s="122"/>
      <c r="OZM104" s="121"/>
      <c r="OZN104" s="121"/>
      <c r="OZO104" s="127"/>
      <c r="OZP104" s="127"/>
      <c r="OZQ104" s="120"/>
      <c r="OZR104" s="130"/>
      <c r="OZS104" s="130"/>
      <c r="OZT104" s="139"/>
      <c r="OZU104" s="130"/>
      <c r="OZV104" s="130"/>
      <c r="OZW104" s="130"/>
      <c r="OZX104" s="130"/>
      <c r="OZY104" s="130"/>
      <c r="OZZ104" s="140"/>
      <c r="PAA104" s="140"/>
      <c r="PAB104" s="140"/>
      <c r="PAC104" s="141"/>
      <c r="PAD104" s="119"/>
      <c r="PAE104" s="128"/>
      <c r="PAF104" s="119"/>
      <c r="PAG104" s="141"/>
      <c r="PAH104" s="141"/>
      <c r="PAI104" s="132"/>
      <c r="PAJ104" s="121"/>
      <c r="PAK104" s="121"/>
      <c r="PAL104" s="121"/>
      <c r="PAM104" s="128"/>
      <c r="PAN104" s="128"/>
      <c r="PAO104" s="128"/>
      <c r="PAP104" s="128"/>
      <c r="PAQ104" s="121"/>
      <c r="PAR104" s="121"/>
      <c r="PAS104" s="121"/>
      <c r="PAT104" s="132"/>
      <c r="PAU104" s="132"/>
      <c r="PAV104" s="129"/>
      <c r="PAW104" s="130"/>
      <c r="PAX104" s="121"/>
      <c r="PAY104" s="121"/>
      <c r="PAZ104" s="121"/>
      <c r="PBA104" s="130"/>
      <c r="PBB104" s="121"/>
      <c r="PBC104" s="130"/>
      <c r="PBD104" s="122"/>
      <c r="PBE104" s="121"/>
      <c r="PBF104" s="121"/>
      <c r="PBG104" s="127"/>
      <c r="PBH104" s="127"/>
      <c r="PBI104" s="120"/>
      <c r="PBJ104" s="130"/>
      <c r="PBK104" s="130"/>
      <c r="PBL104" s="139"/>
      <c r="PBM104" s="130"/>
      <c r="PBN104" s="130"/>
      <c r="PBO104" s="130"/>
      <c r="PBP104" s="130"/>
      <c r="PBQ104" s="130"/>
      <c r="PBR104" s="140"/>
      <c r="PBS104" s="140"/>
      <c r="PBT104" s="140"/>
      <c r="PBU104" s="141"/>
      <c r="PBV104" s="119"/>
      <c r="PBW104" s="128"/>
      <c r="PBX104" s="119"/>
      <c r="PBY104" s="141"/>
      <c r="PBZ104" s="141"/>
      <c r="PCA104" s="132"/>
      <c r="PCB104" s="121"/>
      <c r="PCC104" s="121"/>
      <c r="PCD104" s="121"/>
      <c r="PCE104" s="128"/>
      <c r="PCF104" s="128"/>
      <c r="PCG104" s="128"/>
      <c r="PCH104" s="128"/>
      <c r="PCI104" s="121"/>
      <c r="PCJ104" s="121"/>
      <c r="PCK104" s="121"/>
      <c r="PCL104" s="132"/>
      <c r="PCM104" s="132"/>
      <c r="PCN104" s="129"/>
      <c r="PCO104" s="130"/>
      <c r="PCP104" s="121"/>
      <c r="PCQ104" s="121"/>
      <c r="PCR104" s="121"/>
      <c r="PCS104" s="130"/>
      <c r="PCT104" s="121"/>
      <c r="PCU104" s="130"/>
      <c r="PCV104" s="122"/>
      <c r="PCW104" s="121"/>
      <c r="PCX104" s="121"/>
      <c r="PCY104" s="127"/>
      <c r="PCZ104" s="127"/>
      <c r="PDA104" s="120"/>
      <c r="PDB104" s="130"/>
      <c r="PDC104" s="130"/>
      <c r="PDD104" s="139"/>
      <c r="PDE104" s="130"/>
      <c r="PDF104" s="130"/>
      <c r="PDG104" s="130"/>
      <c r="PDH104" s="130"/>
      <c r="PDI104" s="130"/>
      <c r="PDJ104" s="140"/>
      <c r="PDK104" s="140"/>
      <c r="PDL104" s="140"/>
      <c r="PDM104" s="141"/>
      <c r="PDN104" s="119"/>
      <c r="PDO104" s="128"/>
      <c r="PDP104" s="119"/>
      <c r="PDQ104" s="141"/>
      <c r="PDR104" s="141"/>
      <c r="PDS104" s="132"/>
      <c r="PDT104" s="121"/>
      <c r="PDU104" s="121"/>
      <c r="PDV104" s="121"/>
      <c r="PDW104" s="128"/>
      <c r="PDX104" s="128"/>
      <c r="PDY104" s="128"/>
      <c r="PDZ104" s="128"/>
      <c r="PEA104" s="121"/>
      <c r="PEB104" s="121"/>
      <c r="PEC104" s="121"/>
      <c r="PED104" s="132"/>
      <c r="PEE104" s="132"/>
      <c r="PEF104" s="129"/>
      <c r="PEG104" s="130"/>
      <c r="PEH104" s="121"/>
      <c r="PEI104" s="121"/>
      <c r="PEJ104" s="121"/>
      <c r="PEK104" s="130"/>
      <c r="PEL104" s="121"/>
      <c r="PEM104" s="130"/>
      <c r="PEN104" s="122"/>
      <c r="PEO104" s="121"/>
      <c r="PEP104" s="121"/>
      <c r="PEQ104" s="127"/>
      <c r="PER104" s="127"/>
      <c r="PES104" s="120"/>
      <c r="PET104" s="130"/>
      <c r="PEU104" s="130"/>
      <c r="PEV104" s="139"/>
      <c r="PEW104" s="130"/>
      <c r="PEX104" s="130"/>
      <c r="PEY104" s="130"/>
      <c r="PEZ104" s="130"/>
      <c r="PFA104" s="130"/>
      <c r="PFB104" s="140"/>
      <c r="PFC104" s="140"/>
      <c r="PFD104" s="140"/>
      <c r="PFE104" s="141"/>
      <c r="PFF104" s="119"/>
      <c r="PFG104" s="128"/>
      <c r="PFH104" s="119"/>
      <c r="PFI104" s="141"/>
      <c r="PFJ104" s="141"/>
      <c r="PFK104" s="132"/>
      <c r="PFL104" s="121"/>
      <c r="PFM104" s="121"/>
      <c r="PFN104" s="121"/>
      <c r="PFO104" s="128"/>
      <c r="PFP104" s="128"/>
      <c r="PFQ104" s="128"/>
      <c r="PFR104" s="128"/>
      <c r="PFS104" s="121"/>
      <c r="PFT104" s="121"/>
      <c r="PFU104" s="121"/>
      <c r="PFV104" s="132"/>
      <c r="PFW104" s="132"/>
      <c r="PFX104" s="129"/>
      <c r="PFY104" s="130"/>
      <c r="PFZ104" s="121"/>
      <c r="PGA104" s="121"/>
      <c r="PGB104" s="121"/>
      <c r="PGC104" s="130"/>
      <c r="PGD104" s="121"/>
      <c r="PGE104" s="130"/>
      <c r="PGF104" s="122"/>
      <c r="PGG104" s="121"/>
      <c r="PGH104" s="121"/>
      <c r="PGI104" s="127"/>
      <c r="PGJ104" s="127"/>
      <c r="PGK104" s="120"/>
      <c r="PGL104" s="130"/>
      <c r="PGM104" s="130"/>
      <c r="PGN104" s="139"/>
      <c r="PGO104" s="130"/>
      <c r="PGP104" s="130"/>
      <c r="PGQ104" s="130"/>
      <c r="PGR104" s="130"/>
      <c r="PGS104" s="130"/>
      <c r="PGT104" s="140"/>
      <c r="PGU104" s="140"/>
      <c r="PGV104" s="140"/>
      <c r="PGW104" s="141"/>
      <c r="PGX104" s="119"/>
      <c r="PGY104" s="128"/>
      <c r="PGZ104" s="119"/>
      <c r="PHA104" s="141"/>
      <c r="PHB104" s="141"/>
      <c r="PHC104" s="132"/>
      <c r="PHD104" s="121"/>
      <c r="PHE104" s="121"/>
      <c r="PHF104" s="121"/>
      <c r="PHG104" s="128"/>
      <c r="PHH104" s="128"/>
      <c r="PHI104" s="128"/>
      <c r="PHJ104" s="128"/>
      <c r="PHK104" s="121"/>
      <c r="PHL104" s="121"/>
      <c r="PHM104" s="121"/>
      <c r="PHN104" s="132"/>
      <c r="PHO104" s="132"/>
      <c r="PHP104" s="129"/>
      <c r="PHQ104" s="130"/>
      <c r="PHR104" s="121"/>
      <c r="PHS104" s="121"/>
      <c r="PHT104" s="121"/>
      <c r="PHU104" s="130"/>
      <c r="PHV104" s="121"/>
      <c r="PHW104" s="130"/>
      <c r="PHX104" s="122"/>
      <c r="PHY104" s="121"/>
      <c r="PHZ104" s="121"/>
      <c r="PIA104" s="127"/>
      <c r="PIB104" s="127"/>
      <c r="PIC104" s="120"/>
      <c r="PID104" s="130"/>
      <c r="PIE104" s="130"/>
      <c r="PIF104" s="139"/>
      <c r="PIG104" s="130"/>
      <c r="PIH104" s="130"/>
      <c r="PII104" s="130"/>
      <c r="PIJ104" s="130"/>
      <c r="PIK104" s="130"/>
      <c r="PIL104" s="140"/>
      <c r="PIM104" s="140"/>
      <c r="PIN104" s="140"/>
      <c r="PIO104" s="141"/>
      <c r="PIP104" s="119"/>
      <c r="PIQ104" s="128"/>
      <c r="PIR104" s="119"/>
      <c r="PIS104" s="141"/>
      <c r="PIT104" s="141"/>
      <c r="PIU104" s="132"/>
      <c r="PIV104" s="121"/>
      <c r="PIW104" s="121"/>
      <c r="PIX104" s="121"/>
      <c r="PIY104" s="128"/>
      <c r="PIZ104" s="128"/>
      <c r="PJA104" s="128"/>
      <c r="PJB104" s="128"/>
      <c r="PJC104" s="121"/>
      <c r="PJD104" s="121"/>
      <c r="PJE104" s="121"/>
      <c r="PJF104" s="132"/>
      <c r="PJG104" s="132"/>
      <c r="PJH104" s="129"/>
      <c r="PJI104" s="130"/>
      <c r="PJJ104" s="121"/>
      <c r="PJK104" s="121"/>
      <c r="PJL104" s="121"/>
      <c r="PJM104" s="130"/>
      <c r="PJN104" s="121"/>
      <c r="PJO104" s="130"/>
      <c r="PJP104" s="122"/>
      <c r="PJQ104" s="121"/>
      <c r="PJR104" s="121"/>
      <c r="PJS104" s="127"/>
      <c r="PJT104" s="127"/>
      <c r="PJU104" s="120"/>
      <c r="PJV104" s="130"/>
      <c r="PJW104" s="130"/>
      <c r="PJX104" s="139"/>
      <c r="PJY104" s="130"/>
      <c r="PJZ104" s="130"/>
      <c r="PKA104" s="130"/>
      <c r="PKB104" s="130"/>
      <c r="PKC104" s="130"/>
      <c r="PKD104" s="140"/>
      <c r="PKE104" s="140"/>
      <c r="PKF104" s="140"/>
      <c r="PKG104" s="141"/>
      <c r="PKH104" s="119"/>
      <c r="PKI104" s="128"/>
      <c r="PKJ104" s="119"/>
      <c r="PKK104" s="141"/>
      <c r="PKL104" s="141"/>
      <c r="PKM104" s="132"/>
      <c r="PKN104" s="121"/>
      <c r="PKO104" s="121"/>
      <c r="PKP104" s="121"/>
      <c r="PKQ104" s="128"/>
      <c r="PKR104" s="128"/>
      <c r="PKS104" s="128"/>
      <c r="PKT104" s="128"/>
      <c r="PKU104" s="121"/>
      <c r="PKV104" s="121"/>
      <c r="PKW104" s="121"/>
      <c r="PKX104" s="132"/>
      <c r="PKY104" s="132"/>
      <c r="PKZ104" s="129"/>
      <c r="PLA104" s="130"/>
      <c r="PLB104" s="121"/>
      <c r="PLC104" s="121"/>
      <c r="PLD104" s="121"/>
      <c r="PLE104" s="130"/>
      <c r="PLF104" s="121"/>
      <c r="PLG104" s="130"/>
      <c r="PLH104" s="122"/>
      <c r="PLI104" s="121"/>
      <c r="PLJ104" s="121"/>
      <c r="PLK104" s="127"/>
      <c r="PLL104" s="127"/>
      <c r="PLM104" s="120"/>
      <c r="PLN104" s="130"/>
      <c r="PLO104" s="130"/>
      <c r="PLP104" s="139"/>
      <c r="PLQ104" s="130"/>
      <c r="PLR104" s="130"/>
      <c r="PLS104" s="130"/>
      <c r="PLT104" s="130"/>
      <c r="PLU104" s="130"/>
      <c r="PLV104" s="140"/>
      <c r="PLW104" s="140"/>
      <c r="PLX104" s="140"/>
      <c r="PLY104" s="141"/>
      <c r="PLZ104" s="119"/>
      <c r="PMA104" s="128"/>
      <c r="PMB104" s="119"/>
      <c r="PMC104" s="141"/>
      <c r="PMD104" s="141"/>
      <c r="PME104" s="132"/>
      <c r="PMF104" s="121"/>
      <c r="PMG104" s="121"/>
      <c r="PMH104" s="121"/>
      <c r="PMI104" s="128"/>
      <c r="PMJ104" s="128"/>
      <c r="PMK104" s="128"/>
      <c r="PML104" s="128"/>
      <c r="PMM104" s="121"/>
      <c r="PMN104" s="121"/>
      <c r="PMO104" s="121"/>
      <c r="PMP104" s="132"/>
      <c r="PMQ104" s="132"/>
      <c r="PMR104" s="129"/>
      <c r="PMS104" s="130"/>
      <c r="PMT104" s="121"/>
      <c r="PMU104" s="121"/>
      <c r="PMV104" s="121"/>
      <c r="PMW104" s="130"/>
      <c r="PMX104" s="121"/>
      <c r="PMY104" s="130"/>
      <c r="PMZ104" s="122"/>
      <c r="PNA104" s="121"/>
      <c r="PNB104" s="121"/>
      <c r="PNC104" s="127"/>
      <c r="PND104" s="127"/>
      <c r="PNE104" s="120"/>
      <c r="PNF104" s="130"/>
      <c r="PNG104" s="130"/>
      <c r="PNH104" s="139"/>
      <c r="PNI104" s="130"/>
      <c r="PNJ104" s="130"/>
      <c r="PNK104" s="130"/>
      <c r="PNL104" s="130"/>
      <c r="PNM104" s="130"/>
      <c r="PNN104" s="140"/>
      <c r="PNO104" s="140"/>
      <c r="PNP104" s="140"/>
      <c r="PNQ104" s="141"/>
      <c r="PNR104" s="119"/>
      <c r="PNS104" s="128"/>
      <c r="PNT104" s="119"/>
      <c r="PNU104" s="141"/>
      <c r="PNV104" s="141"/>
      <c r="PNW104" s="132"/>
      <c r="PNX104" s="121"/>
      <c r="PNY104" s="121"/>
      <c r="PNZ104" s="121"/>
      <c r="POA104" s="128"/>
      <c r="POB104" s="128"/>
      <c r="POC104" s="128"/>
      <c r="POD104" s="128"/>
      <c r="POE104" s="121"/>
      <c r="POF104" s="121"/>
      <c r="POG104" s="121"/>
      <c r="POH104" s="132"/>
      <c r="POI104" s="132"/>
      <c r="POJ104" s="129"/>
      <c r="POK104" s="130"/>
      <c r="POL104" s="121"/>
      <c r="POM104" s="121"/>
      <c r="PON104" s="121"/>
      <c r="POO104" s="130"/>
      <c r="POP104" s="121"/>
      <c r="POQ104" s="130"/>
      <c r="POR104" s="122"/>
      <c r="POS104" s="121"/>
      <c r="POT104" s="121"/>
      <c r="POU104" s="127"/>
      <c r="POV104" s="127"/>
      <c r="POW104" s="120"/>
      <c r="POX104" s="130"/>
      <c r="POY104" s="130"/>
      <c r="POZ104" s="139"/>
      <c r="PPA104" s="130"/>
      <c r="PPB104" s="130"/>
      <c r="PPC104" s="130"/>
      <c r="PPD104" s="130"/>
      <c r="PPE104" s="130"/>
      <c r="PPF104" s="140"/>
      <c r="PPG104" s="140"/>
      <c r="PPH104" s="140"/>
      <c r="PPI104" s="141"/>
      <c r="PPJ104" s="119"/>
      <c r="PPK104" s="128"/>
      <c r="PPL104" s="119"/>
      <c r="PPM104" s="141"/>
      <c r="PPN104" s="141"/>
      <c r="PPO104" s="132"/>
      <c r="PPP104" s="121"/>
      <c r="PPQ104" s="121"/>
      <c r="PPR104" s="121"/>
      <c r="PPS104" s="128"/>
      <c r="PPT104" s="128"/>
      <c r="PPU104" s="128"/>
      <c r="PPV104" s="128"/>
      <c r="PPW104" s="121"/>
      <c r="PPX104" s="121"/>
      <c r="PPY104" s="121"/>
      <c r="PPZ104" s="132"/>
      <c r="PQA104" s="132"/>
      <c r="PQB104" s="129"/>
      <c r="PQC104" s="130"/>
      <c r="PQD104" s="121"/>
      <c r="PQE104" s="121"/>
      <c r="PQF104" s="121"/>
      <c r="PQG104" s="130"/>
      <c r="PQH104" s="121"/>
      <c r="PQI104" s="130"/>
      <c r="PQJ104" s="122"/>
      <c r="PQK104" s="121"/>
      <c r="PQL104" s="121"/>
      <c r="PQM104" s="127"/>
      <c r="PQN104" s="127"/>
      <c r="PQO104" s="120"/>
      <c r="PQP104" s="130"/>
      <c r="PQQ104" s="130"/>
      <c r="PQR104" s="139"/>
      <c r="PQS104" s="130"/>
      <c r="PQT104" s="130"/>
      <c r="PQU104" s="130"/>
      <c r="PQV104" s="130"/>
      <c r="PQW104" s="130"/>
      <c r="PQX104" s="140"/>
      <c r="PQY104" s="140"/>
      <c r="PQZ104" s="140"/>
      <c r="PRA104" s="141"/>
      <c r="PRB104" s="119"/>
      <c r="PRC104" s="128"/>
      <c r="PRD104" s="119"/>
      <c r="PRE104" s="141"/>
      <c r="PRF104" s="141"/>
      <c r="PRG104" s="132"/>
      <c r="PRH104" s="121"/>
      <c r="PRI104" s="121"/>
      <c r="PRJ104" s="121"/>
      <c r="PRK104" s="128"/>
      <c r="PRL104" s="128"/>
      <c r="PRM104" s="128"/>
      <c r="PRN104" s="128"/>
      <c r="PRO104" s="121"/>
      <c r="PRP104" s="121"/>
      <c r="PRQ104" s="121"/>
      <c r="PRR104" s="132"/>
      <c r="PRS104" s="132"/>
      <c r="PRT104" s="129"/>
      <c r="PRU104" s="130"/>
      <c r="PRV104" s="121"/>
      <c r="PRW104" s="121"/>
      <c r="PRX104" s="121"/>
      <c r="PRY104" s="130"/>
      <c r="PRZ104" s="121"/>
      <c r="PSA104" s="130"/>
      <c r="PSB104" s="122"/>
      <c r="PSC104" s="121"/>
      <c r="PSD104" s="121"/>
      <c r="PSE104" s="127"/>
      <c r="PSF104" s="127"/>
      <c r="PSG104" s="120"/>
      <c r="PSH104" s="130"/>
      <c r="PSI104" s="130"/>
      <c r="PSJ104" s="139"/>
      <c r="PSK104" s="130"/>
      <c r="PSL104" s="130"/>
      <c r="PSM104" s="130"/>
      <c r="PSN104" s="130"/>
      <c r="PSO104" s="130"/>
      <c r="PSP104" s="140"/>
      <c r="PSQ104" s="140"/>
      <c r="PSR104" s="140"/>
      <c r="PSS104" s="141"/>
      <c r="PST104" s="119"/>
      <c r="PSU104" s="128"/>
      <c r="PSV104" s="119"/>
      <c r="PSW104" s="141"/>
      <c r="PSX104" s="141"/>
      <c r="PSY104" s="132"/>
      <c r="PSZ104" s="121"/>
      <c r="PTA104" s="121"/>
      <c r="PTB104" s="121"/>
      <c r="PTC104" s="128"/>
      <c r="PTD104" s="128"/>
      <c r="PTE104" s="128"/>
      <c r="PTF104" s="128"/>
      <c r="PTG104" s="121"/>
      <c r="PTH104" s="121"/>
      <c r="PTI104" s="121"/>
      <c r="PTJ104" s="132"/>
      <c r="PTK104" s="132"/>
      <c r="PTL104" s="129"/>
      <c r="PTM104" s="130"/>
      <c r="PTN104" s="121"/>
      <c r="PTO104" s="121"/>
      <c r="PTP104" s="121"/>
      <c r="PTQ104" s="130"/>
      <c r="PTR104" s="121"/>
      <c r="PTS104" s="130"/>
      <c r="PTT104" s="122"/>
      <c r="PTU104" s="121"/>
      <c r="PTV104" s="121"/>
      <c r="PTW104" s="127"/>
      <c r="PTX104" s="127"/>
      <c r="PTY104" s="120"/>
      <c r="PTZ104" s="130"/>
      <c r="PUA104" s="130"/>
      <c r="PUB104" s="139"/>
      <c r="PUC104" s="130"/>
      <c r="PUD104" s="130"/>
      <c r="PUE104" s="130"/>
      <c r="PUF104" s="130"/>
      <c r="PUG104" s="130"/>
      <c r="PUH104" s="140"/>
      <c r="PUI104" s="140"/>
      <c r="PUJ104" s="140"/>
      <c r="PUK104" s="141"/>
      <c r="PUL104" s="119"/>
      <c r="PUM104" s="128"/>
      <c r="PUN104" s="119"/>
      <c r="PUO104" s="141"/>
      <c r="PUP104" s="141"/>
      <c r="PUQ104" s="132"/>
      <c r="PUR104" s="121"/>
      <c r="PUS104" s="121"/>
      <c r="PUT104" s="121"/>
      <c r="PUU104" s="128"/>
      <c r="PUV104" s="128"/>
      <c r="PUW104" s="128"/>
      <c r="PUX104" s="128"/>
      <c r="PUY104" s="121"/>
      <c r="PUZ104" s="121"/>
      <c r="PVA104" s="121"/>
      <c r="PVB104" s="132"/>
      <c r="PVC104" s="132"/>
      <c r="PVD104" s="129"/>
      <c r="PVE104" s="130"/>
      <c r="PVF104" s="121"/>
      <c r="PVG104" s="121"/>
      <c r="PVH104" s="121"/>
      <c r="PVI104" s="130"/>
      <c r="PVJ104" s="121"/>
      <c r="PVK104" s="130"/>
      <c r="PVL104" s="122"/>
      <c r="PVM104" s="121"/>
      <c r="PVN104" s="121"/>
      <c r="PVO104" s="127"/>
      <c r="PVP104" s="127"/>
      <c r="PVQ104" s="120"/>
      <c r="PVR104" s="130"/>
      <c r="PVS104" s="130"/>
      <c r="PVT104" s="139"/>
      <c r="PVU104" s="130"/>
      <c r="PVV104" s="130"/>
      <c r="PVW104" s="130"/>
      <c r="PVX104" s="130"/>
      <c r="PVY104" s="130"/>
      <c r="PVZ104" s="140"/>
      <c r="PWA104" s="140"/>
      <c r="PWB104" s="140"/>
      <c r="PWC104" s="141"/>
      <c r="PWD104" s="119"/>
      <c r="PWE104" s="128"/>
      <c r="PWF104" s="119"/>
      <c r="PWG104" s="141"/>
      <c r="PWH104" s="141"/>
      <c r="PWI104" s="132"/>
      <c r="PWJ104" s="121"/>
      <c r="PWK104" s="121"/>
      <c r="PWL104" s="121"/>
      <c r="PWM104" s="128"/>
      <c r="PWN104" s="128"/>
      <c r="PWO104" s="128"/>
      <c r="PWP104" s="128"/>
      <c r="PWQ104" s="121"/>
      <c r="PWR104" s="121"/>
      <c r="PWS104" s="121"/>
      <c r="PWT104" s="132"/>
      <c r="PWU104" s="132"/>
      <c r="PWV104" s="129"/>
      <c r="PWW104" s="130"/>
      <c r="PWX104" s="121"/>
      <c r="PWY104" s="121"/>
      <c r="PWZ104" s="121"/>
      <c r="PXA104" s="130"/>
      <c r="PXB104" s="121"/>
      <c r="PXC104" s="130"/>
      <c r="PXD104" s="122"/>
      <c r="PXE104" s="121"/>
      <c r="PXF104" s="121"/>
      <c r="PXG104" s="127"/>
      <c r="PXH104" s="127"/>
      <c r="PXI104" s="120"/>
      <c r="PXJ104" s="130"/>
      <c r="PXK104" s="130"/>
      <c r="PXL104" s="139"/>
      <c r="PXM104" s="130"/>
      <c r="PXN104" s="130"/>
      <c r="PXO104" s="130"/>
      <c r="PXP104" s="130"/>
      <c r="PXQ104" s="130"/>
      <c r="PXR104" s="140"/>
      <c r="PXS104" s="140"/>
      <c r="PXT104" s="140"/>
      <c r="PXU104" s="141"/>
      <c r="PXV104" s="119"/>
      <c r="PXW104" s="128"/>
      <c r="PXX104" s="119"/>
      <c r="PXY104" s="141"/>
      <c r="PXZ104" s="141"/>
      <c r="PYA104" s="132"/>
      <c r="PYB104" s="121"/>
      <c r="PYC104" s="121"/>
      <c r="PYD104" s="121"/>
      <c r="PYE104" s="128"/>
      <c r="PYF104" s="128"/>
      <c r="PYG104" s="128"/>
      <c r="PYH104" s="128"/>
      <c r="PYI104" s="121"/>
      <c r="PYJ104" s="121"/>
      <c r="PYK104" s="121"/>
      <c r="PYL104" s="132"/>
      <c r="PYM104" s="132"/>
      <c r="PYN104" s="129"/>
      <c r="PYO104" s="130"/>
      <c r="PYP104" s="121"/>
      <c r="PYQ104" s="121"/>
      <c r="PYR104" s="121"/>
      <c r="PYS104" s="130"/>
      <c r="PYT104" s="121"/>
      <c r="PYU104" s="130"/>
      <c r="PYV104" s="122"/>
      <c r="PYW104" s="121"/>
      <c r="PYX104" s="121"/>
      <c r="PYY104" s="127"/>
      <c r="PYZ104" s="127"/>
      <c r="PZA104" s="120"/>
      <c r="PZB104" s="130"/>
      <c r="PZC104" s="130"/>
      <c r="PZD104" s="139"/>
      <c r="PZE104" s="130"/>
      <c r="PZF104" s="130"/>
      <c r="PZG104" s="130"/>
      <c r="PZH104" s="130"/>
      <c r="PZI104" s="130"/>
      <c r="PZJ104" s="140"/>
      <c r="PZK104" s="140"/>
      <c r="PZL104" s="140"/>
      <c r="PZM104" s="141"/>
      <c r="PZN104" s="119"/>
      <c r="PZO104" s="128"/>
      <c r="PZP104" s="119"/>
      <c r="PZQ104" s="141"/>
      <c r="PZR104" s="141"/>
      <c r="PZS104" s="132"/>
      <c r="PZT104" s="121"/>
      <c r="PZU104" s="121"/>
      <c r="PZV104" s="121"/>
      <c r="PZW104" s="128"/>
      <c r="PZX104" s="128"/>
      <c r="PZY104" s="128"/>
      <c r="PZZ104" s="128"/>
      <c r="QAA104" s="121"/>
      <c r="QAB104" s="121"/>
      <c r="QAC104" s="121"/>
      <c r="QAD104" s="132"/>
      <c r="QAE104" s="132"/>
      <c r="QAF104" s="129"/>
      <c r="QAG104" s="130"/>
      <c r="QAH104" s="121"/>
      <c r="QAI104" s="121"/>
      <c r="QAJ104" s="121"/>
      <c r="QAK104" s="130"/>
      <c r="QAL104" s="121"/>
      <c r="QAM104" s="130"/>
      <c r="QAN104" s="122"/>
      <c r="QAO104" s="121"/>
      <c r="QAP104" s="121"/>
      <c r="QAQ104" s="127"/>
      <c r="QAR104" s="127"/>
      <c r="QAS104" s="120"/>
      <c r="QAT104" s="130"/>
      <c r="QAU104" s="130"/>
      <c r="QAV104" s="139"/>
      <c r="QAW104" s="130"/>
      <c r="QAX104" s="130"/>
      <c r="QAY104" s="130"/>
      <c r="QAZ104" s="130"/>
      <c r="QBA104" s="130"/>
      <c r="QBB104" s="140"/>
      <c r="QBC104" s="140"/>
      <c r="QBD104" s="140"/>
      <c r="QBE104" s="141"/>
      <c r="QBF104" s="119"/>
      <c r="QBG104" s="128"/>
      <c r="QBH104" s="119"/>
      <c r="QBI104" s="141"/>
      <c r="QBJ104" s="141"/>
      <c r="QBK104" s="132"/>
      <c r="QBL104" s="121"/>
      <c r="QBM104" s="121"/>
      <c r="QBN104" s="121"/>
      <c r="QBO104" s="128"/>
      <c r="QBP104" s="128"/>
      <c r="QBQ104" s="128"/>
      <c r="QBR104" s="128"/>
      <c r="QBS104" s="121"/>
      <c r="QBT104" s="121"/>
      <c r="QBU104" s="121"/>
      <c r="QBV104" s="132"/>
      <c r="QBW104" s="132"/>
      <c r="QBX104" s="129"/>
      <c r="QBY104" s="130"/>
      <c r="QBZ104" s="121"/>
      <c r="QCA104" s="121"/>
      <c r="QCB104" s="121"/>
      <c r="QCC104" s="130"/>
      <c r="QCD104" s="121"/>
      <c r="QCE104" s="130"/>
      <c r="QCF104" s="122"/>
      <c r="QCG104" s="121"/>
      <c r="QCH104" s="121"/>
      <c r="QCI104" s="127"/>
      <c r="QCJ104" s="127"/>
      <c r="QCK104" s="120"/>
      <c r="QCL104" s="130"/>
      <c r="QCM104" s="130"/>
      <c r="QCN104" s="139"/>
      <c r="QCO104" s="130"/>
      <c r="QCP104" s="130"/>
      <c r="QCQ104" s="130"/>
      <c r="QCR104" s="130"/>
      <c r="QCS104" s="130"/>
      <c r="QCT104" s="140"/>
      <c r="QCU104" s="140"/>
      <c r="QCV104" s="140"/>
      <c r="QCW104" s="141"/>
      <c r="QCX104" s="119"/>
      <c r="QCY104" s="128"/>
      <c r="QCZ104" s="119"/>
      <c r="QDA104" s="141"/>
      <c r="QDB104" s="141"/>
      <c r="QDC104" s="132"/>
      <c r="QDD104" s="121"/>
      <c r="QDE104" s="121"/>
      <c r="QDF104" s="121"/>
      <c r="QDG104" s="128"/>
      <c r="QDH104" s="128"/>
      <c r="QDI104" s="128"/>
      <c r="QDJ104" s="128"/>
      <c r="QDK104" s="121"/>
      <c r="QDL104" s="121"/>
      <c r="QDM104" s="121"/>
      <c r="QDN104" s="132"/>
      <c r="QDO104" s="132"/>
      <c r="QDP104" s="129"/>
      <c r="QDQ104" s="130"/>
      <c r="QDR104" s="121"/>
      <c r="QDS104" s="121"/>
      <c r="QDT104" s="121"/>
      <c r="QDU104" s="130"/>
      <c r="QDV104" s="121"/>
      <c r="QDW104" s="130"/>
      <c r="QDX104" s="122"/>
      <c r="QDY104" s="121"/>
      <c r="QDZ104" s="121"/>
      <c r="QEA104" s="127"/>
      <c r="QEB104" s="127"/>
      <c r="QEC104" s="120"/>
      <c r="QED104" s="130"/>
      <c r="QEE104" s="130"/>
      <c r="QEF104" s="139"/>
      <c r="QEG104" s="130"/>
      <c r="QEH104" s="130"/>
      <c r="QEI104" s="130"/>
      <c r="QEJ104" s="130"/>
      <c r="QEK104" s="130"/>
      <c r="QEL104" s="140"/>
      <c r="QEM104" s="140"/>
      <c r="QEN104" s="140"/>
      <c r="QEO104" s="141"/>
      <c r="QEP104" s="119"/>
      <c r="QEQ104" s="128"/>
      <c r="QER104" s="119"/>
      <c r="QES104" s="141"/>
      <c r="QET104" s="141"/>
      <c r="QEU104" s="132"/>
      <c r="QEV104" s="121"/>
      <c r="QEW104" s="121"/>
      <c r="QEX104" s="121"/>
      <c r="QEY104" s="128"/>
      <c r="QEZ104" s="128"/>
      <c r="QFA104" s="128"/>
      <c r="QFB104" s="128"/>
      <c r="QFC104" s="121"/>
      <c r="QFD104" s="121"/>
      <c r="QFE104" s="121"/>
      <c r="QFF104" s="132"/>
      <c r="QFG104" s="132"/>
      <c r="QFH104" s="129"/>
      <c r="QFI104" s="130"/>
      <c r="QFJ104" s="121"/>
      <c r="QFK104" s="121"/>
      <c r="QFL104" s="121"/>
      <c r="QFM104" s="130"/>
      <c r="QFN104" s="121"/>
      <c r="QFO104" s="130"/>
      <c r="QFP104" s="122"/>
      <c r="QFQ104" s="121"/>
      <c r="QFR104" s="121"/>
      <c r="QFS104" s="127"/>
      <c r="QFT104" s="127"/>
      <c r="QFU104" s="120"/>
      <c r="QFV104" s="130"/>
      <c r="QFW104" s="130"/>
      <c r="QFX104" s="139"/>
      <c r="QFY104" s="130"/>
      <c r="QFZ104" s="130"/>
      <c r="QGA104" s="130"/>
      <c r="QGB104" s="130"/>
      <c r="QGC104" s="130"/>
      <c r="QGD104" s="140"/>
      <c r="QGE104" s="140"/>
      <c r="QGF104" s="140"/>
      <c r="QGG104" s="141"/>
      <c r="QGH104" s="119"/>
      <c r="QGI104" s="128"/>
      <c r="QGJ104" s="119"/>
      <c r="QGK104" s="141"/>
      <c r="QGL104" s="141"/>
      <c r="QGM104" s="132"/>
      <c r="QGN104" s="121"/>
      <c r="QGO104" s="121"/>
      <c r="QGP104" s="121"/>
      <c r="QGQ104" s="128"/>
      <c r="QGR104" s="128"/>
      <c r="QGS104" s="128"/>
      <c r="QGT104" s="128"/>
      <c r="QGU104" s="121"/>
      <c r="QGV104" s="121"/>
      <c r="QGW104" s="121"/>
      <c r="QGX104" s="132"/>
      <c r="QGY104" s="132"/>
      <c r="QGZ104" s="129"/>
      <c r="QHA104" s="130"/>
      <c r="QHB104" s="121"/>
      <c r="QHC104" s="121"/>
      <c r="QHD104" s="121"/>
      <c r="QHE104" s="130"/>
      <c r="QHF104" s="121"/>
      <c r="QHG104" s="130"/>
      <c r="QHH104" s="122"/>
      <c r="QHI104" s="121"/>
      <c r="QHJ104" s="121"/>
      <c r="QHK104" s="127"/>
      <c r="QHL104" s="127"/>
      <c r="QHM104" s="120"/>
      <c r="QHN104" s="130"/>
      <c r="QHO104" s="130"/>
      <c r="QHP104" s="139"/>
      <c r="QHQ104" s="130"/>
      <c r="QHR104" s="130"/>
      <c r="QHS104" s="130"/>
      <c r="QHT104" s="130"/>
      <c r="QHU104" s="130"/>
      <c r="QHV104" s="140"/>
      <c r="QHW104" s="140"/>
      <c r="QHX104" s="140"/>
      <c r="QHY104" s="141"/>
      <c r="QHZ104" s="119"/>
      <c r="QIA104" s="128"/>
      <c r="QIB104" s="119"/>
      <c r="QIC104" s="141"/>
      <c r="QID104" s="141"/>
      <c r="QIE104" s="132"/>
      <c r="QIF104" s="121"/>
      <c r="QIG104" s="121"/>
      <c r="QIH104" s="121"/>
      <c r="QII104" s="128"/>
      <c r="QIJ104" s="128"/>
      <c r="QIK104" s="128"/>
      <c r="QIL104" s="128"/>
      <c r="QIM104" s="121"/>
      <c r="QIN104" s="121"/>
      <c r="QIO104" s="121"/>
      <c r="QIP104" s="132"/>
      <c r="QIQ104" s="132"/>
      <c r="QIR104" s="129"/>
      <c r="QIS104" s="130"/>
      <c r="QIT104" s="121"/>
      <c r="QIU104" s="121"/>
      <c r="QIV104" s="121"/>
      <c r="QIW104" s="130"/>
      <c r="QIX104" s="121"/>
      <c r="QIY104" s="130"/>
      <c r="QIZ104" s="122"/>
      <c r="QJA104" s="121"/>
      <c r="QJB104" s="121"/>
      <c r="QJC104" s="127"/>
      <c r="QJD104" s="127"/>
      <c r="QJE104" s="120"/>
      <c r="QJF104" s="130"/>
      <c r="QJG104" s="130"/>
      <c r="QJH104" s="139"/>
      <c r="QJI104" s="130"/>
      <c r="QJJ104" s="130"/>
      <c r="QJK104" s="130"/>
      <c r="QJL104" s="130"/>
      <c r="QJM104" s="130"/>
      <c r="QJN104" s="140"/>
      <c r="QJO104" s="140"/>
      <c r="QJP104" s="140"/>
      <c r="QJQ104" s="141"/>
      <c r="QJR104" s="119"/>
      <c r="QJS104" s="128"/>
      <c r="QJT104" s="119"/>
      <c r="QJU104" s="141"/>
      <c r="QJV104" s="141"/>
      <c r="QJW104" s="132"/>
      <c r="QJX104" s="121"/>
      <c r="QJY104" s="121"/>
      <c r="QJZ104" s="121"/>
      <c r="QKA104" s="128"/>
      <c r="QKB104" s="128"/>
      <c r="QKC104" s="128"/>
      <c r="QKD104" s="128"/>
      <c r="QKE104" s="121"/>
      <c r="QKF104" s="121"/>
      <c r="QKG104" s="121"/>
      <c r="QKH104" s="132"/>
      <c r="QKI104" s="132"/>
      <c r="QKJ104" s="129"/>
      <c r="QKK104" s="130"/>
      <c r="QKL104" s="121"/>
      <c r="QKM104" s="121"/>
      <c r="QKN104" s="121"/>
      <c r="QKO104" s="130"/>
      <c r="QKP104" s="121"/>
      <c r="QKQ104" s="130"/>
      <c r="QKR104" s="122"/>
      <c r="QKS104" s="121"/>
      <c r="QKT104" s="121"/>
      <c r="QKU104" s="127"/>
      <c r="QKV104" s="127"/>
      <c r="QKW104" s="120"/>
      <c r="QKX104" s="130"/>
      <c r="QKY104" s="130"/>
      <c r="QKZ104" s="139"/>
      <c r="QLA104" s="130"/>
      <c r="QLB104" s="130"/>
      <c r="QLC104" s="130"/>
      <c r="QLD104" s="130"/>
      <c r="QLE104" s="130"/>
      <c r="QLF104" s="140"/>
      <c r="QLG104" s="140"/>
      <c r="QLH104" s="140"/>
      <c r="QLI104" s="141"/>
      <c r="QLJ104" s="119"/>
      <c r="QLK104" s="128"/>
      <c r="QLL104" s="119"/>
      <c r="QLM104" s="141"/>
      <c r="QLN104" s="141"/>
      <c r="QLO104" s="132"/>
      <c r="QLP104" s="121"/>
      <c r="QLQ104" s="121"/>
      <c r="QLR104" s="121"/>
      <c r="QLS104" s="128"/>
      <c r="QLT104" s="128"/>
      <c r="QLU104" s="128"/>
      <c r="QLV104" s="128"/>
      <c r="QLW104" s="121"/>
      <c r="QLX104" s="121"/>
      <c r="QLY104" s="121"/>
      <c r="QLZ104" s="132"/>
      <c r="QMA104" s="132"/>
      <c r="QMB104" s="129"/>
      <c r="QMC104" s="130"/>
      <c r="QMD104" s="121"/>
      <c r="QME104" s="121"/>
      <c r="QMF104" s="121"/>
      <c r="QMG104" s="130"/>
      <c r="QMH104" s="121"/>
      <c r="QMI104" s="130"/>
      <c r="QMJ104" s="122"/>
      <c r="QMK104" s="121"/>
      <c r="QML104" s="121"/>
      <c r="QMM104" s="127"/>
      <c r="QMN104" s="127"/>
      <c r="QMO104" s="120"/>
      <c r="QMP104" s="130"/>
      <c r="QMQ104" s="130"/>
      <c r="QMR104" s="139"/>
      <c r="QMS104" s="130"/>
      <c r="QMT104" s="130"/>
      <c r="QMU104" s="130"/>
      <c r="QMV104" s="130"/>
      <c r="QMW104" s="130"/>
      <c r="QMX104" s="140"/>
      <c r="QMY104" s="140"/>
      <c r="QMZ104" s="140"/>
      <c r="QNA104" s="141"/>
      <c r="QNB104" s="119"/>
      <c r="QNC104" s="128"/>
      <c r="QND104" s="119"/>
      <c r="QNE104" s="141"/>
      <c r="QNF104" s="141"/>
      <c r="QNG104" s="132"/>
      <c r="QNH104" s="121"/>
      <c r="QNI104" s="121"/>
      <c r="QNJ104" s="121"/>
      <c r="QNK104" s="128"/>
      <c r="QNL104" s="128"/>
      <c r="QNM104" s="128"/>
      <c r="QNN104" s="128"/>
      <c r="QNO104" s="121"/>
      <c r="QNP104" s="121"/>
      <c r="QNQ104" s="121"/>
      <c r="QNR104" s="132"/>
      <c r="QNS104" s="132"/>
      <c r="QNT104" s="129"/>
      <c r="QNU104" s="130"/>
      <c r="QNV104" s="121"/>
      <c r="QNW104" s="121"/>
      <c r="QNX104" s="121"/>
      <c r="QNY104" s="130"/>
      <c r="QNZ104" s="121"/>
      <c r="QOA104" s="130"/>
      <c r="QOB104" s="122"/>
      <c r="QOC104" s="121"/>
      <c r="QOD104" s="121"/>
      <c r="QOE104" s="127"/>
      <c r="QOF104" s="127"/>
      <c r="QOG104" s="120"/>
      <c r="QOH104" s="130"/>
      <c r="QOI104" s="130"/>
      <c r="QOJ104" s="139"/>
      <c r="QOK104" s="130"/>
      <c r="QOL104" s="130"/>
      <c r="QOM104" s="130"/>
      <c r="QON104" s="130"/>
      <c r="QOO104" s="130"/>
      <c r="QOP104" s="140"/>
      <c r="QOQ104" s="140"/>
      <c r="QOR104" s="140"/>
      <c r="QOS104" s="141"/>
      <c r="QOT104" s="119"/>
      <c r="QOU104" s="128"/>
      <c r="QOV104" s="119"/>
      <c r="QOW104" s="141"/>
      <c r="QOX104" s="141"/>
      <c r="QOY104" s="132"/>
      <c r="QOZ104" s="121"/>
      <c r="QPA104" s="121"/>
      <c r="QPB104" s="121"/>
      <c r="QPC104" s="128"/>
      <c r="QPD104" s="128"/>
      <c r="QPE104" s="128"/>
      <c r="QPF104" s="128"/>
      <c r="QPG104" s="121"/>
      <c r="QPH104" s="121"/>
      <c r="QPI104" s="121"/>
      <c r="QPJ104" s="132"/>
      <c r="QPK104" s="132"/>
      <c r="QPL104" s="129"/>
      <c r="QPM104" s="130"/>
      <c r="QPN104" s="121"/>
      <c r="QPO104" s="121"/>
      <c r="QPP104" s="121"/>
      <c r="QPQ104" s="130"/>
      <c r="QPR104" s="121"/>
      <c r="QPS104" s="130"/>
      <c r="QPT104" s="122"/>
      <c r="QPU104" s="121"/>
      <c r="QPV104" s="121"/>
      <c r="QPW104" s="127"/>
      <c r="QPX104" s="127"/>
      <c r="QPY104" s="120"/>
      <c r="QPZ104" s="130"/>
      <c r="QQA104" s="130"/>
      <c r="QQB104" s="139"/>
      <c r="QQC104" s="130"/>
      <c r="QQD104" s="130"/>
      <c r="QQE104" s="130"/>
      <c r="QQF104" s="130"/>
      <c r="QQG104" s="130"/>
      <c r="QQH104" s="140"/>
      <c r="QQI104" s="140"/>
      <c r="QQJ104" s="140"/>
      <c r="QQK104" s="141"/>
      <c r="QQL104" s="119"/>
      <c r="QQM104" s="128"/>
      <c r="QQN104" s="119"/>
      <c r="QQO104" s="141"/>
      <c r="QQP104" s="141"/>
      <c r="QQQ104" s="132"/>
      <c r="QQR104" s="121"/>
      <c r="QQS104" s="121"/>
      <c r="QQT104" s="121"/>
      <c r="QQU104" s="128"/>
      <c r="QQV104" s="128"/>
      <c r="QQW104" s="128"/>
      <c r="QQX104" s="128"/>
      <c r="QQY104" s="121"/>
      <c r="QQZ104" s="121"/>
      <c r="QRA104" s="121"/>
      <c r="QRB104" s="132"/>
      <c r="QRC104" s="132"/>
      <c r="QRD104" s="129"/>
      <c r="QRE104" s="130"/>
      <c r="QRF104" s="121"/>
      <c r="QRG104" s="121"/>
      <c r="QRH104" s="121"/>
      <c r="QRI104" s="130"/>
      <c r="QRJ104" s="121"/>
      <c r="QRK104" s="130"/>
      <c r="QRL104" s="122"/>
      <c r="QRM104" s="121"/>
      <c r="QRN104" s="121"/>
      <c r="QRO104" s="127"/>
      <c r="QRP104" s="127"/>
      <c r="QRQ104" s="120"/>
      <c r="QRR104" s="130"/>
      <c r="QRS104" s="130"/>
      <c r="QRT104" s="139"/>
      <c r="QRU104" s="130"/>
      <c r="QRV104" s="130"/>
      <c r="QRW104" s="130"/>
      <c r="QRX104" s="130"/>
      <c r="QRY104" s="130"/>
      <c r="QRZ104" s="140"/>
      <c r="QSA104" s="140"/>
      <c r="QSB104" s="140"/>
      <c r="QSC104" s="141"/>
      <c r="QSD104" s="119"/>
      <c r="QSE104" s="128"/>
      <c r="QSF104" s="119"/>
      <c r="QSG104" s="141"/>
      <c r="QSH104" s="141"/>
      <c r="QSI104" s="132"/>
      <c r="QSJ104" s="121"/>
      <c r="QSK104" s="121"/>
      <c r="QSL104" s="121"/>
      <c r="QSM104" s="128"/>
      <c r="QSN104" s="128"/>
      <c r="QSO104" s="128"/>
      <c r="QSP104" s="128"/>
      <c r="QSQ104" s="121"/>
      <c r="QSR104" s="121"/>
      <c r="QSS104" s="121"/>
      <c r="QST104" s="132"/>
      <c r="QSU104" s="132"/>
      <c r="QSV104" s="129"/>
      <c r="QSW104" s="130"/>
      <c r="QSX104" s="121"/>
      <c r="QSY104" s="121"/>
      <c r="QSZ104" s="121"/>
      <c r="QTA104" s="130"/>
      <c r="QTB104" s="121"/>
      <c r="QTC104" s="130"/>
      <c r="QTD104" s="122"/>
      <c r="QTE104" s="121"/>
      <c r="QTF104" s="121"/>
      <c r="QTG104" s="127"/>
      <c r="QTH104" s="127"/>
      <c r="QTI104" s="120"/>
      <c r="QTJ104" s="130"/>
      <c r="QTK104" s="130"/>
      <c r="QTL104" s="139"/>
      <c r="QTM104" s="130"/>
      <c r="QTN104" s="130"/>
      <c r="QTO104" s="130"/>
      <c r="QTP104" s="130"/>
      <c r="QTQ104" s="130"/>
      <c r="QTR104" s="140"/>
      <c r="QTS104" s="140"/>
      <c r="QTT104" s="140"/>
      <c r="QTU104" s="141"/>
      <c r="QTV104" s="119"/>
      <c r="QTW104" s="128"/>
      <c r="QTX104" s="119"/>
      <c r="QTY104" s="141"/>
      <c r="QTZ104" s="141"/>
      <c r="QUA104" s="132"/>
      <c r="QUB104" s="121"/>
      <c r="QUC104" s="121"/>
      <c r="QUD104" s="121"/>
      <c r="QUE104" s="128"/>
      <c r="QUF104" s="128"/>
      <c r="QUG104" s="128"/>
      <c r="QUH104" s="128"/>
      <c r="QUI104" s="121"/>
      <c r="QUJ104" s="121"/>
      <c r="QUK104" s="121"/>
      <c r="QUL104" s="132"/>
      <c r="QUM104" s="132"/>
      <c r="QUN104" s="129"/>
      <c r="QUO104" s="130"/>
      <c r="QUP104" s="121"/>
      <c r="QUQ104" s="121"/>
      <c r="QUR104" s="121"/>
      <c r="QUS104" s="130"/>
      <c r="QUT104" s="121"/>
      <c r="QUU104" s="130"/>
      <c r="QUV104" s="122"/>
      <c r="QUW104" s="121"/>
      <c r="QUX104" s="121"/>
      <c r="QUY104" s="127"/>
      <c r="QUZ104" s="127"/>
      <c r="QVA104" s="120"/>
      <c r="QVB104" s="130"/>
      <c r="QVC104" s="130"/>
      <c r="QVD104" s="139"/>
      <c r="QVE104" s="130"/>
      <c r="QVF104" s="130"/>
      <c r="QVG104" s="130"/>
      <c r="QVH104" s="130"/>
      <c r="QVI104" s="130"/>
      <c r="QVJ104" s="140"/>
      <c r="QVK104" s="140"/>
      <c r="QVL104" s="140"/>
      <c r="QVM104" s="141"/>
      <c r="QVN104" s="119"/>
      <c r="QVO104" s="128"/>
      <c r="QVP104" s="119"/>
      <c r="QVQ104" s="141"/>
      <c r="QVR104" s="141"/>
      <c r="QVS104" s="132"/>
      <c r="QVT104" s="121"/>
      <c r="QVU104" s="121"/>
      <c r="QVV104" s="121"/>
      <c r="QVW104" s="128"/>
      <c r="QVX104" s="128"/>
      <c r="QVY104" s="128"/>
      <c r="QVZ104" s="128"/>
      <c r="QWA104" s="121"/>
      <c r="QWB104" s="121"/>
      <c r="QWC104" s="121"/>
      <c r="QWD104" s="132"/>
      <c r="QWE104" s="132"/>
      <c r="QWF104" s="129"/>
      <c r="QWG104" s="130"/>
      <c r="QWH104" s="121"/>
      <c r="QWI104" s="121"/>
      <c r="QWJ104" s="121"/>
      <c r="QWK104" s="130"/>
      <c r="QWL104" s="121"/>
      <c r="QWM104" s="130"/>
      <c r="QWN104" s="122"/>
      <c r="QWO104" s="121"/>
      <c r="QWP104" s="121"/>
      <c r="QWQ104" s="127"/>
      <c r="QWR104" s="127"/>
      <c r="QWS104" s="120"/>
      <c r="QWT104" s="130"/>
      <c r="QWU104" s="130"/>
      <c r="QWV104" s="139"/>
      <c r="QWW104" s="130"/>
      <c r="QWX104" s="130"/>
      <c r="QWY104" s="130"/>
      <c r="QWZ104" s="130"/>
      <c r="QXA104" s="130"/>
      <c r="QXB104" s="140"/>
      <c r="QXC104" s="140"/>
      <c r="QXD104" s="140"/>
      <c r="QXE104" s="141"/>
      <c r="QXF104" s="119"/>
      <c r="QXG104" s="128"/>
      <c r="QXH104" s="119"/>
      <c r="QXI104" s="141"/>
      <c r="QXJ104" s="141"/>
      <c r="QXK104" s="132"/>
      <c r="QXL104" s="121"/>
      <c r="QXM104" s="121"/>
      <c r="QXN104" s="121"/>
      <c r="QXO104" s="128"/>
      <c r="QXP104" s="128"/>
      <c r="QXQ104" s="128"/>
      <c r="QXR104" s="128"/>
      <c r="QXS104" s="121"/>
      <c r="QXT104" s="121"/>
      <c r="QXU104" s="121"/>
      <c r="QXV104" s="132"/>
      <c r="QXW104" s="132"/>
      <c r="QXX104" s="129"/>
      <c r="QXY104" s="130"/>
      <c r="QXZ104" s="121"/>
      <c r="QYA104" s="121"/>
      <c r="QYB104" s="121"/>
      <c r="QYC104" s="130"/>
      <c r="QYD104" s="121"/>
      <c r="QYE104" s="130"/>
      <c r="QYF104" s="122"/>
      <c r="QYG104" s="121"/>
      <c r="QYH104" s="121"/>
      <c r="QYI104" s="127"/>
      <c r="QYJ104" s="127"/>
      <c r="QYK104" s="120"/>
      <c r="QYL104" s="130"/>
      <c r="QYM104" s="130"/>
      <c r="QYN104" s="139"/>
      <c r="QYO104" s="130"/>
      <c r="QYP104" s="130"/>
      <c r="QYQ104" s="130"/>
      <c r="QYR104" s="130"/>
      <c r="QYS104" s="130"/>
      <c r="QYT104" s="140"/>
      <c r="QYU104" s="140"/>
      <c r="QYV104" s="140"/>
      <c r="QYW104" s="141"/>
      <c r="QYX104" s="119"/>
      <c r="QYY104" s="128"/>
      <c r="QYZ104" s="119"/>
      <c r="QZA104" s="141"/>
      <c r="QZB104" s="141"/>
      <c r="QZC104" s="132"/>
      <c r="QZD104" s="121"/>
      <c r="QZE104" s="121"/>
      <c r="QZF104" s="121"/>
      <c r="QZG104" s="128"/>
      <c r="QZH104" s="128"/>
      <c r="QZI104" s="128"/>
      <c r="QZJ104" s="128"/>
      <c r="QZK104" s="121"/>
      <c r="QZL104" s="121"/>
      <c r="QZM104" s="121"/>
      <c r="QZN104" s="132"/>
      <c r="QZO104" s="132"/>
      <c r="QZP104" s="129"/>
      <c r="QZQ104" s="130"/>
      <c r="QZR104" s="121"/>
      <c r="QZS104" s="121"/>
      <c r="QZT104" s="121"/>
      <c r="QZU104" s="130"/>
      <c r="QZV104" s="121"/>
      <c r="QZW104" s="130"/>
      <c r="QZX104" s="122"/>
      <c r="QZY104" s="121"/>
      <c r="QZZ104" s="121"/>
      <c r="RAA104" s="127"/>
      <c r="RAB104" s="127"/>
      <c r="RAC104" s="120"/>
      <c r="RAD104" s="130"/>
      <c r="RAE104" s="130"/>
      <c r="RAF104" s="139"/>
      <c r="RAG104" s="130"/>
      <c r="RAH104" s="130"/>
      <c r="RAI104" s="130"/>
      <c r="RAJ104" s="130"/>
      <c r="RAK104" s="130"/>
      <c r="RAL104" s="140"/>
      <c r="RAM104" s="140"/>
      <c r="RAN104" s="140"/>
      <c r="RAO104" s="141"/>
      <c r="RAP104" s="119"/>
      <c r="RAQ104" s="128"/>
      <c r="RAR104" s="119"/>
      <c r="RAS104" s="141"/>
      <c r="RAT104" s="141"/>
      <c r="RAU104" s="132"/>
      <c r="RAV104" s="121"/>
      <c r="RAW104" s="121"/>
      <c r="RAX104" s="121"/>
      <c r="RAY104" s="128"/>
      <c r="RAZ104" s="128"/>
      <c r="RBA104" s="128"/>
      <c r="RBB104" s="128"/>
      <c r="RBC104" s="121"/>
      <c r="RBD104" s="121"/>
      <c r="RBE104" s="121"/>
      <c r="RBF104" s="132"/>
      <c r="RBG104" s="132"/>
      <c r="RBH104" s="129"/>
      <c r="RBI104" s="130"/>
      <c r="RBJ104" s="121"/>
      <c r="RBK104" s="121"/>
      <c r="RBL104" s="121"/>
      <c r="RBM104" s="130"/>
      <c r="RBN104" s="121"/>
      <c r="RBO104" s="130"/>
      <c r="RBP104" s="122"/>
      <c r="RBQ104" s="121"/>
      <c r="RBR104" s="121"/>
      <c r="RBS104" s="127"/>
      <c r="RBT104" s="127"/>
      <c r="RBU104" s="120"/>
      <c r="RBV104" s="130"/>
      <c r="RBW104" s="130"/>
      <c r="RBX104" s="139"/>
      <c r="RBY104" s="130"/>
      <c r="RBZ104" s="130"/>
      <c r="RCA104" s="130"/>
      <c r="RCB104" s="130"/>
      <c r="RCC104" s="130"/>
      <c r="RCD104" s="140"/>
      <c r="RCE104" s="140"/>
      <c r="RCF104" s="140"/>
      <c r="RCG104" s="141"/>
      <c r="RCH104" s="119"/>
      <c r="RCI104" s="128"/>
      <c r="RCJ104" s="119"/>
      <c r="RCK104" s="141"/>
      <c r="RCL104" s="141"/>
      <c r="RCM104" s="132"/>
      <c r="RCN104" s="121"/>
      <c r="RCO104" s="121"/>
      <c r="RCP104" s="121"/>
      <c r="RCQ104" s="128"/>
      <c r="RCR104" s="128"/>
      <c r="RCS104" s="128"/>
      <c r="RCT104" s="128"/>
      <c r="RCU104" s="121"/>
      <c r="RCV104" s="121"/>
      <c r="RCW104" s="121"/>
      <c r="RCX104" s="132"/>
      <c r="RCY104" s="132"/>
      <c r="RCZ104" s="129"/>
      <c r="RDA104" s="130"/>
      <c r="RDB104" s="121"/>
      <c r="RDC104" s="121"/>
      <c r="RDD104" s="121"/>
      <c r="RDE104" s="130"/>
      <c r="RDF104" s="121"/>
      <c r="RDG104" s="130"/>
      <c r="RDH104" s="122"/>
      <c r="RDI104" s="121"/>
      <c r="RDJ104" s="121"/>
      <c r="RDK104" s="127"/>
      <c r="RDL104" s="127"/>
      <c r="RDM104" s="120"/>
      <c r="RDN104" s="130"/>
      <c r="RDO104" s="130"/>
      <c r="RDP104" s="139"/>
      <c r="RDQ104" s="130"/>
      <c r="RDR104" s="130"/>
      <c r="RDS104" s="130"/>
      <c r="RDT104" s="130"/>
      <c r="RDU104" s="130"/>
      <c r="RDV104" s="140"/>
      <c r="RDW104" s="140"/>
      <c r="RDX104" s="140"/>
      <c r="RDY104" s="141"/>
      <c r="RDZ104" s="119"/>
      <c r="REA104" s="128"/>
      <c r="REB104" s="119"/>
      <c r="REC104" s="141"/>
      <c r="RED104" s="141"/>
      <c r="REE104" s="132"/>
      <c r="REF104" s="121"/>
      <c r="REG104" s="121"/>
      <c r="REH104" s="121"/>
      <c r="REI104" s="128"/>
      <c r="REJ104" s="128"/>
      <c r="REK104" s="128"/>
      <c r="REL104" s="128"/>
      <c r="REM104" s="121"/>
      <c r="REN104" s="121"/>
      <c r="REO104" s="121"/>
      <c r="REP104" s="132"/>
      <c r="REQ104" s="132"/>
      <c r="RER104" s="129"/>
      <c r="RES104" s="130"/>
      <c r="RET104" s="121"/>
      <c r="REU104" s="121"/>
      <c r="REV104" s="121"/>
      <c r="REW104" s="130"/>
      <c r="REX104" s="121"/>
      <c r="REY104" s="130"/>
      <c r="REZ104" s="122"/>
      <c r="RFA104" s="121"/>
      <c r="RFB104" s="121"/>
      <c r="RFC104" s="127"/>
      <c r="RFD104" s="127"/>
      <c r="RFE104" s="120"/>
      <c r="RFF104" s="130"/>
      <c r="RFG104" s="130"/>
      <c r="RFH104" s="139"/>
      <c r="RFI104" s="130"/>
      <c r="RFJ104" s="130"/>
      <c r="RFK104" s="130"/>
      <c r="RFL104" s="130"/>
      <c r="RFM104" s="130"/>
      <c r="RFN104" s="140"/>
      <c r="RFO104" s="140"/>
      <c r="RFP104" s="140"/>
      <c r="RFQ104" s="141"/>
      <c r="RFR104" s="119"/>
      <c r="RFS104" s="128"/>
      <c r="RFT104" s="119"/>
      <c r="RFU104" s="141"/>
      <c r="RFV104" s="141"/>
      <c r="RFW104" s="132"/>
      <c r="RFX104" s="121"/>
      <c r="RFY104" s="121"/>
      <c r="RFZ104" s="121"/>
      <c r="RGA104" s="128"/>
      <c r="RGB104" s="128"/>
      <c r="RGC104" s="128"/>
      <c r="RGD104" s="128"/>
      <c r="RGE104" s="121"/>
      <c r="RGF104" s="121"/>
      <c r="RGG104" s="121"/>
      <c r="RGH104" s="132"/>
      <c r="RGI104" s="132"/>
      <c r="RGJ104" s="129"/>
      <c r="RGK104" s="130"/>
      <c r="RGL104" s="121"/>
      <c r="RGM104" s="121"/>
      <c r="RGN104" s="121"/>
      <c r="RGO104" s="130"/>
      <c r="RGP104" s="121"/>
      <c r="RGQ104" s="130"/>
      <c r="RGR104" s="122"/>
      <c r="RGS104" s="121"/>
      <c r="RGT104" s="121"/>
      <c r="RGU104" s="127"/>
      <c r="RGV104" s="127"/>
      <c r="RGW104" s="120"/>
      <c r="RGX104" s="130"/>
      <c r="RGY104" s="130"/>
      <c r="RGZ104" s="139"/>
      <c r="RHA104" s="130"/>
      <c r="RHB104" s="130"/>
      <c r="RHC104" s="130"/>
      <c r="RHD104" s="130"/>
      <c r="RHE104" s="130"/>
      <c r="RHF104" s="140"/>
      <c r="RHG104" s="140"/>
      <c r="RHH104" s="140"/>
      <c r="RHI104" s="141"/>
      <c r="RHJ104" s="119"/>
      <c r="RHK104" s="128"/>
      <c r="RHL104" s="119"/>
      <c r="RHM104" s="141"/>
      <c r="RHN104" s="141"/>
      <c r="RHO104" s="132"/>
      <c r="RHP104" s="121"/>
      <c r="RHQ104" s="121"/>
      <c r="RHR104" s="121"/>
      <c r="RHS104" s="128"/>
      <c r="RHT104" s="128"/>
      <c r="RHU104" s="128"/>
      <c r="RHV104" s="128"/>
      <c r="RHW104" s="121"/>
      <c r="RHX104" s="121"/>
      <c r="RHY104" s="121"/>
      <c r="RHZ104" s="132"/>
      <c r="RIA104" s="132"/>
      <c r="RIB104" s="129"/>
      <c r="RIC104" s="130"/>
      <c r="RID104" s="121"/>
      <c r="RIE104" s="121"/>
      <c r="RIF104" s="121"/>
      <c r="RIG104" s="130"/>
      <c r="RIH104" s="121"/>
      <c r="RII104" s="130"/>
      <c r="RIJ104" s="122"/>
      <c r="RIK104" s="121"/>
      <c r="RIL104" s="121"/>
      <c r="RIM104" s="127"/>
      <c r="RIN104" s="127"/>
      <c r="RIO104" s="120"/>
      <c r="RIP104" s="130"/>
      <c r="RIQ104" s="130"/>
      <c r="RIR104" s="139"/>
      <c r="RIS104" s="130"/>
      <c r="RIT104" s="130"/>
      <c r="RIU104" s="130"/>
      <c r="RIV104" s="130"/>
      <c r="RIW104" s="130"/>
      <c r="RIX104" s="140"/>
      <c r="RIY104" s="140"/>
      <c r="RIZ104" s="140"/>
      <c r="RJA104" s="141"/>
      <c r="RJB104" s="119"/>
      <c r="RJC104" s="128"/>
      <c r="RJD104" s="119"/>
      <c r="RJE104" s="141"/>
      <c r="RJF104" s="141"/>
      <c r="RJG104" s="132"/>
      <c r="RJH104" s="121"/>
      <c r="RJI104" s="121"/>
      <c r="RJJ104" s="121"/>
      <c r="RJK104" s="128"/>
      <c r="RJL104" s="128"/>
      <c r="RJM104" s="128"/>
      <c r="RJN104" s="128"/>
      <c r="RJO104" s="121"/>
      <c r="RJP104" s="121"/>
      <c r="RJQ104" s="121"/>
      <c r="RJR104" s="132"/>
      <c r="RJS104" s="132"/>
      <c r="RJT104" s="129"/>
      <c r="RJU104" s="130"/>
      <c r="RJV104" s="121"/>
      <c r="RJW104" s="121"/>
      <c r="RJX104" s="121"/>
      <c r="RJY104" s="130"/>
      <c r="RJZ104" s="121"/>
      <c r="RKA104" s="130"/>
      <c r="RKB104" s="122"/>
      <c r="RKC104" s="121"/>
      <c r="RKD104" s="121"/>
      <c r="RKE104" s="127"/>
      <c r="RKF104" s="127"/>
      <c r="RKG104" s="120"/>
      <c r="RKH104" s="130"/>
      <c r="RKI104" s="130"/>
      <c r="RKJ104" s="139"/>
      <c r="RKK104" s="130"/>
      <c r="RKL104" s="130"/>
      <c r="RKM104" s="130"/>
      <c r="RKN104" s="130"/>
      <c r="RKO104" s="130"/>
      <c r="RKP104" s="140"/>
      <c r="RKQ104" s="140"/>
      <c r="RKR104" s="140"/>
      <c r="RKS104" s="141"/>
      <c r="RKT104" s="119"/>
      <c r="RKU104" s="128"/>
      <c r="RKV104" s="119"/>
      <c r="RKW104" s="141"/>
      <c r="RKX104" s="141"/>
      <c r="RKY104" s="132"/>
      <c r="RKZ104" s="121"/>
      <c r="RLA104" s="121"/>
      <c r="RLB104" s="121"/>
      <c r="RLC104" s="128"/>
      <c r="RLD104" s="128"/>
      <c r="RLE104" s="128"/>
      <c r="RLF104" s="128"/>
      <c r="RLG104" s="121"/>
      <c r="RLH104" s="121"/>
      <c r="RLI104" s="121"/>
      <c r="RLJ104" s="132"/>
      <c r="RLK104" s="132"/>
      <c r="RLL104" s="129"/>
      <c r="RLM104" s="130"/>
      <c r="RLN104" s="121"/>
      <c r="RLO104" s="121"/>
      <c r="RLP104" s="121"/>
      <c r="RLQ104" s="130"/>
      <c r="RLR104" s="121"/>
      <c r="RLS104" s="130"/>
      <c r="RLT104" s="122"/>
      <c r="RLU104" s="121"/>
      <c r="RLV104" s="121"/>
      <c r="RLW104" s="127"/>
      <c r="RLX104" s="127"/>
      <c r="RLY104" s="120"/>
      <c r="RLZ104" s="130"/>
      <c r="RMA104" s="130"/>
      <c r="RMB104" s="139"/>
      <c r="RMC104" s="130"/>
      <c r="RMD104" s="130"/>
      <c r="RME104" s="130"/>
      <c r="RMF104" s="130"/>
      <c r="RMG104" s="130"/>
      <c r="RMH104" s="140"/>
      <c r="RMI104" s="140"/>
      <c r="RMJ104" s="140"/>
      <c r="RMK104" s="141"/>
      <c r="RML104" s="119"/>
      <c r="RMM104" s="128"/>
      <c r="RMN104" s="119"/>
      <c r="RMO104" s="141"/>
      <c r="RMP104" s="141"/>
      <c r="RMQ104" s="132"/>
      <c r="RMR104" s="121"/>
      <c r="RMS104" s="121"/>
      <c r="RMT104" s="121"/>
      <c r="RMU104" s="128"/>
      <c r="RMV104" s="128"/>
      <c r="RMW104" s="128"/>
      <c r="RMX104" s="128"/>
      <c r="RMY104" s="121"/>
      <c r="RMZ104" s="121"/>
      <c r="RNA104" s="121"/>
      <c r="RNB104" s="132"/>
      <c r="RNC104" s="132"/>
      <c r="RND104" s="129"/>
      <c r="RNE104" s="130"/>
      <c r="RNF104" s="121"/>
      <c r="RNG104" s="121"/>
      <c r="RNH104" s="121"/>
      <c r="RNI104" s="130"/>
      <c r="RNJ104" s="121"/>
      <c r="RNK104" s="130"/>
      <c r="RNL104" s="122"/>
      <c r="RNM104" s="121"/>
      <c r="RNN104" s="121"/>
      <c r="RNO104" s="127"/>
      <c r="RNP104" s="127"/>
      <c r="RNQ104" s="120"/>
      <c r="RNR104" s="130"/>
      <c r="RNS104" s="130"/>
      <c r="RNT104" s="139"/>
      <c r="RNU104" s="130"/>
      <c r="RNV104" s="130"/>
      <c r="RNW104" s="130"/>
      <c r="RNX104" s="130"/>
      <c r="RNY104" s="130"/>
      <c r="RNZ104" s="140"/>
      <c r="ROA104" s="140"/>
      <c r="ROB104" s="140"/>
      <c r="ROC104" s="141"/>
      <c r="ROD104" s="119"/>
      <c r="ROE104" s="128"/>
      <c r="ROF104" s="119"/>
      <c r="ROG104" s="141"/>
      <c r="ROH104" s="141"/>
      <c r="ROI104" s="132"/>
      <c r="ROJ104" s="121"/>
      <c r="ROK104" s="121"/>
      <c r="ROL104" s="121"/>
      <c r="ROM104" s="128"/>
      <c r="RON104" s="128"/>
      <c r="ROO104" s="128"/>
      <c r="ROP104" s="128"/>
      <c r="ROQ104" s="121"/>
      <c r="ROR104" s="121"/>
      <c r="ROS104" s="121"/>
      <c r="ROT104" s="132"/>
      <c r="ROU104" s="132"/>
      <c r="ROV104" s="129"/>
      <c r="ROW104" s="130"/>
      <c r="ROX104" s="121"/>
      <c r="ROY104" s="121"/>
      <c r="ROZ104" s="121"/>
      <c r="RPA104" s="130"/>
      <c r="RPB104" s="121"/>
      <c r="RPC104" s="130"/>
      <c r="RPD104" s="122"/>
      <c r="RPE104" s="121"/>
      <c r="RPF104" s="121"/>
      <c r="RPG104" s="127"/>
      <c r="RPH104" s="127"/>
      <c r="RPI104" s="120"/>
      <c r="RPJ104" s="130"/>
      <c r="RPK104" s="130"/>
      <c r="RPL104" s="139"/>
      <c r="RPM104" s="130"/>
      <c r="RPN104" s="130"/>
      <c r="RPO104" s="130"/>
      <c r="RPP104" s="130"/>
      <c r="RPQ104" s="130"/>
      <c r="RPR104" s="140"/>
      <c r="RPS104" s="140"/>
      <c r="RPT104" s="140"/>
      <c r="RPU104" s="141"/>
      <c r="RPV104" s="119"/>
      <c r="RPW104" s="128"/>
      <c r="RPX104" s="119"/>
      <c r="RPY104" s="141"/>
      <c r="RPZ104" s="141"/>
      <c r="RQA104" s="132"/>
      <c r="RQB104" s="121"/>
      <c r="RQC104" s="121"/>
      <c r="RQD104" s="121"/>
      <c r="RQE104" s="128"/>
      <c r="RQF104" s="128"/>
      <c r="RQG104" s="128"/>
      <c r="RQH104" s="128"/>
      <c r="RQI104" s="121"/>
      <c r="RQJ104" s="121"/>
      <c r="RQK104" s="121"/>
      <c r="RQL104" s="132"/>
      <c r="RQM104" s="132"/>
      <c r="RQN104" s="129"/>
      <c r="RQO104" s="130"/>
      <c r="RQP104" s="121"/>
      <c r="RQQ104" s="121"/>
      <c r="RQR104" s="121"/>
      <c r="RQS104" s="130"/>
      <c r="RQT104" s="121"/>
      <c r="RQU104" s="130"/>
      <c r="RQV104" s="122"/>
      <c r="RQW104" s="121"/>
      <c r="RQX104" s="121"/>
      <c r="RQY104" s="127"/>
      <c r="RQZ104" s="127"/>
      <c r="RRA104" s="120"/>
      <c r="RRB104" s="130"/>
      <c r="RRC104" s="130"/>
      <c r="RRD104" s="139"/>
      <c r="RRE104" s="130"/>
      <c r="RRF104" s="130"/>
      <c r="RRG104" s="130"/>
      <c r="RRH104" s="130"/>
      <c r="RRI104" s="130"/>
      <c r="RRJ104" s="140"/>
      <c r="RRK104" s="140"/>
      <c r="RRL104" s="140"/>
      <c r="RRM104" s="141"/>
      <c r="RRN104" s="119"/>
      <c r="RRO104" s="128"/>
      <c r="RRP104" s="119"/>
      <c r="RRQ104" s="141"/>
      <c r="RRR104" s="141"/>
      <c r="RRS104" s="132"/>
      <c r="RRT104" s="121"/>
      <c r="RRU104" s="121"/>
      <c r="RRV104" s="121"/>
      <c r="RRW104" s="128"/>
      <c r="RRX104" s="128"/>
      <c r="RRY104" s="128"/>
      <c r="RRZ104" s="128"/>
      <c r="RSA104" s="121"/>
      <c r="RSB104" s="121"/>
      <c r="RSC104" s="121"/>
      <c r="RSD104" s="132"/>
      <c r="RSE104" s="132"/>
      <c r="RSF104" s="129"/>
      <c r="RSG104" s="130"/>
      <c r="RSH104" s="121"/>
      <c r="RSI104" s="121"/>
      <c r="RSJ104" s="121"/>
      <c r="RSK104" s="130"/>
      <c r="RSL104" s="121"/>
      <c r="RSM104" s="130"/>
      <c r="RSN104" s="122"/>
      <c r="RSO104" s="121"/>
      <c r="RSP104" s="121"/>
      <c r="RSQ104" s="127"/>
      <c r="RSR104" s="127"/>
      <c r="RSS104" s="120"/>
      <c r="RST104" s="130"/>
      <c r="RSU104" s="130"/>
      <c r="RSV104" s="139"/>
      <c r="RSW104" s="130"/>
      <c r="RSX104" s="130"/>
      <c r="RSY104" s="130"/>
      <c r="RSZ104" s="130"/>
      <c r="RTA104" s="130"/>
      <c r="RTB104" s="140"/>
      <c r="RTC104" s="140"/>
      <c r="RTD104" s="140"/>
      <c r="RTE104" s="141"/>
      <c r="RTF104" s="119"/>
      <c r="RTG104" s="128"/>
      <c r="RTH104" s="119"/>
      <c r="RTI104" s="141"/>
      <c r="RTJ104" s="141"/>
      <c r="RTK104" s="132"/>
      <c r="RTL104" s="121"/>
      <c r="RTM104" s="121"/>
      <c r="RTN104" s="121"/>
      <c r="RTO104" s="128"/>
      <c r="RTP104" s="128"/>
      <c r="RTQ104" s="128"/>
      <c r="RTR104" s="128"/>
      <c r="RTS104" s="121"/>
      <c r="RTT104" s="121"/>
      <c r="RTU104" s="121"/>
      <c r="RTV104" s="132"/>
      <c r="RTW104" s="132"/>
      <c r="RTX104" s="129"/>
      <c r="RTY104" s="130"/>
      <c r="RTZ104" s="121"/>
      <c r="RUA104" s="121"/>
      <c r="RUB104" s="121"/>
      <c r="RUC104" s="130"/>
      <c r="RUD104" s="121"/>
      <c r="RUE104" s="130"/>
      <c r="RUF104" s="122"/>
      <c r="RUG104" s="121"/>
      <c r="RUH104" s="121"/>
      <c r="RUI104" s="127"/>
      <c r="RUJ104" s="127"/>
      <c r="RUK104" s="120"/>
      <c r="RUL104" s="130"/>
      <c r="RUM104" s="130"/>
      <c r="RUN104" s="139"/>
      <c r="RUO104" s="130"/>
      <c r="RUP104" s="130"/>
      <c r="RUQ104" s="130"/>
      <c r="RUR104" s="130"/>
      <c r="RUS104" s="130"/>
      <c r="RUT104" s="140"/>
      <c r="RUU104" s="140"/>
      <c r="RUV104" s="140"/>
      <c r="RUW104" s="141"/>
      <c r="RUX104" s="119"/>
      <c r="RUY104" s="128"/>
      <c r="RUZ104" s="119"/>
      <c r="RVA104" s="141"/>
      <c r="RVB104" s="141"/>
      <c r="RVC104" s="132"/>
      <c r="RVD104" s="121"/>
      <c r="RVE104" s="121"/>
      <c r="RVF104" s="121"/>
      <c r="RVG104" s="128"/>
      <c r="RVH104" s="128"/>
      <c r="RVI104" s="128"/>
      <c r="RVJ104" s="128"/>
      <c r="RVK104" s="121"/>
      <c r="RVL104" s="121"/>
      <c r="RVM104" s="121"/>
      <c r="RVN104" s="132"/>
      <c r="RVO104" s="132"/>
      <c r="RVP104" s="129"/>
      <c r="RVQ104" s="130"/>
      <c r="RVR104" s="121"/>
      <c r="RVS104" s="121"/>
      <c r="RVT104" s="121"/>
      <c r="RVU104" s="130"/>
      <c r="RVV104" s="121"/>
      <c r="RVW104" s="130"/>
      <c r="RVX104" s="122"/>
      <c r="RVY104" s="121"/>
      <c r="RVZ104" s="121"/>
      <c r="RWA104" s="127"/>
      <c r="RWB104" s="127"/>
      <c r="RWC104" s="120"/>
      <c r="RWD104" s="130"/>
      <c r="RWE104" s="130"/>
      <c r="RWF104" s="139"/>
      <c r="RWG104" s="130"/>
      <c r="RWH104" s="130"/>
      <c r="RWI104" s="130"/>
      <c r="RWJ104" s="130"/>
      <c r="RWK104" s="130"/>
      <c r="RWL104" s="140"/>
      <c r="RWM104" s="140"/>
      <c r="RWN104" s="140"/>
      <c r="RWO104" s="141"/>
      <c r="RWP104" s="119"/>
      <c r="RWQ104" s="128"/>
      <c r="RWR104" s="119"/>
      <c r="RWS104" s="141"/>
      <c r="RWT104" s="141"/>
      <c r="RWU104" s="132"/>
      <c r="RWV104" s="121"/>
      <c r="RWW104" s="121"/>
      <c r="RWX104" s="121"/>
      <c r="RWY104" s="128"/>
      <c r="RWZ104" s="128"/>
      <c r="RXA104" s="128"/>
      <c r="RXB104" s="128"/>
      <c r="RXC104" s="121"/>
      <c r="RXD104" s="121"/>
      <c r="RXE104" s="121"/>
      <c r="RXF104" s="132"/>
      <c r="RXG104" s="132"/>
      <c r="RXH104" s="129"/>
      <c r="RXI104" s="130"/>
      <c r="RXJ104" s="121"/>
      <c r="RXK104" s="121"/>
      <c r="RXL104" s="121"/>
      <c r="RXM104" s="130"/>
      <c r="RXN104" s="121"/>
      <c r="RXO104" s="130"/>
      <c r="RXP104" s="122"/>
      <c r="RXQ104" s="121"/>
      <c r="RXR104" s="121"/>
      <c r="RXS104" s="127"/>
      <c r="RXT104" s="127"/>
      <c r="RXU104" s="120"/>
      <c r="RXV104" s="130"/>
      <c r="RXW104" s="130"/>
      <c r="RXX104" s="139"/>
      <c r="RXY104" s="130"/>
      <c r="RXZ104" s="130"/>
      <c r="RYA104" s="130"/>
      <c r="RYB104" s="130"/>
      <c r="RYC104" s="130"/>
      <c r="RYD104" s="140"/>
      <c r="RYE104" s="140"/>
      <c r="RYF104" s="140"/>
      <c r="RYG104" s="141"/>
      <c r="RYH104" s="119"/>
      <c r="RYI104" s="128"/>
      <c r="RYJ104" s="119"/>
      <c r="RYK104" s="141"/>
      <c r="RYL104" s="141"/>
      <c r="RYM104" s="132"/>
      <c r="RYN104" s="121"/>
      <c r="RYO104" s="121"/>
      <c r="RYP104" s="121"/>
      <c r="RYQ104" s="128"/>
      <c r="RYR104" s="128"/>
      <c r="RYS104" s="128"/>
      <c r="RYT104" s="128"/>
      <c r="RYU104" s="121"/>
      <c r="RYV104" s="121"/>
      <c r="RYW104" s="121"/>
      <c r="RYX104" s="132"/>
      <c r="RYY104" s="132"/>
      <c r="RYZ104" s="129"/>
      <c r="RZA104" s="130"/>
      <c r="RZB104" s="121"/>
      <c r="RZC104" s="121"/>
      <c r="RZD104" s="121"/>
      <c r="RZE104" s="130"/>
      <c r="RZF104" s="121"/>
      <c r="RZG104" s="130"/>
      <c r="RZH104" s="122"/>
      <c r="RZI104" s="121"/>
      <c r="RZJ104" s="121"/>
      <c r="RZK104" s="127"/>
      <c r="RZL104" s="127"/>
      <c r="RZM104" s="120"/>
      <c r="RZN104" s="130"/>
      <c r="RZO104" s="130"/>
      <c r="RZP104" s="139"/>
      <c r="RZQ104" s="130"/>
      <c r="RZR104" s="130"/>
      <c r="RZS104" s="130"/>
      <c r="RZT104" s="130"/>
      <c r="RZU104" s="130"/>
      <c r="RZV104" s="140"/>
      <c r="RZW104" s="140"/>
      <c r="RZX104" s="140"/>
      <c r="RZY104" s="141"/>
      <c r="RZZ104" s="119"/>
      <c r="SAA104" s="128"/>
      <c r="SAB104" s="119"/>
      <c r="SAC104" s="141"/>
      <c r="SAD104" s="141"/>
      <c r="SAE104" s="132"/>
      <c r="SAF104" s="121"/>
      <c r="SAG104" s="121"/>
      <c r="SAH104" s="121"/>
      <c r="SAI104" s="128"/>
      <c r="SAJ104" s="128"/>
      <c r="SAK104" s="128"/>
      <c r="SAL104" s="128"/>
      <c r="SAM104" s="121"/>
      <c r="SAN104" s="121"/>
      <c r="SAO104" s="121"/>
      <c r="SAP104" s="132"/>
      <c r="SAQ104" s="132"/>
      <c r="SAR104" s="129"/>
      <c r="SAS104" s="130"/>
      <c r="SAT104" s="121"/>
      <c r="SAU104" s="121"/>
      <c r="SAV104" s="121"/>
      <c r="SAW104" s="130"/>
      <c r="SAX104" s="121"/>
      <c r="SAY104" s="130"/>
      <c r="SAZ104" s="122"/>
      <c r="SBA104" s="121"/>
      <c r="SBB104" s="121"/>
      <c r="SBC104" s="127"/>
      <c r="SBD104" s="127"/>
      <c r="SBE104" s="120"/>
      <c r="SBF104" s="130"/>
      <c r="SBG104" s="130"/>
      <c r="SBH104" s="139"/>
      <c r="SBI104" s="130"/>
      <c r="SBJ104" s="130"/>
      <c r="SBK104" s="130"/>
      <c r="SBL104" s="130"/>
      <c r="SBM104" s="130"/>
      <c r="SBN104" s="140"/>
      <c r="SBO104" s="140"/>
      <c r="SBP104" s="140"/>
      <c r="SBQ104" s="141"/>
      <c r="SBR104" s="119"/>
      <c r="SBS104" s="128"/>
      <c r="SBT104" s="119"/>
      <c r="SBU104" s="141"/>
      <c r="SBV104" s="141"/>
      <c r="SBW104" s="132"/>
      <c r="SBX104" s="121"/>
      <c r="SBY104" s="121"/>
      <c r="SBZ104" s="121"/>
      <c r="SCA104" s="128"/>
      <c r="SCB104" s="128"/>
      <c r="SCC104" s="128"/>
      <c r="SCD104" s="128"/>
      <c r="SCE104" s="121"/>
      <c r="SCF104" s="121"/>
      <c r="SCG104" s="121"/>
      <c r="SCH104" s="132"/>
      <c r="SCI104" s="132"/>
      <c r="SCJ104" s="129"/>
      <c r="SCK104" s="130"/>
      <c r="SCL104" s="121"/>
      <c r="SCM104" s="121"/>
      <c r="SCN104" s="121"/>
      <c r="SCO104" s="130"/>
      <c r="SCP104" s="121"/>
      <c r="SCQ104" s="130"/>
      <c r="SCR104" s="122"/>
      <c r="SCS104" s="121"/>
      <c r="SCT104" s="121"/>
      <c r="SCU104" s="127"/>
      <c r="SCV104" s="127"/>
      <c r="SCW104" s="120"/>
      <c r="SCX104" s="130"/>
      <c r="SCY104" s="130"/>
      <c r="SCZ104" s="139"/>
      <c r="SDA104" s="130"/>
      <c r="SDB104" s="130"/>
      <c r="SDC104" s="130"/>
      <c r="SDD104" s="130"/>
      <c r="SDE104" s="130"/>
      <c r="SDF104" s="140"/>
      <c r="SDG104" s="140"/>
      <c r="SDH104" s="140"/>
      <c r="SDI104" s="141"/>
      <c r="SDJ104" s="119"/>
      <c r="SDK104" s="128"/>
      <c r="SDL104" s="119"/>
      <c r="SDM104" s="141"/>
      <c r="SDN104" s="141"/>
      <c r="SDO104" s="132"/>
      <c r="SDP104" s="121"/>
      <c r="SDQ104" s="121"/>
      <c r="SDR104" s="121"/>
      <c r="SDS104" s="128"/>
      <c r="SDT104" s="128"/>
      <c r="SDU104" s="128"/>
      <c r="SDV104" s="128"/>
      <c r="SDW104" s="121"/>
      <c r="SDX104" s="121"/>
      <c r="SDY104" s="121"/>
      <c r="SDZ104" s="132"/>
      <c r="SEA104" s="132"/>
      <c r="SEB104" s="129"/>
      <c r="SEC104" s="130"/>
      <c r="SED104" s="121"/>
      <c r="SEE104" s="121"/>
      <c r="SEF104" s="121"/>
      <c r="SEG104" s="130"/>
      <c r="SEH104" s="121"/>
      <c r="SEI104" s="130"/>
      <c r="SEJ104" s="122"/>
      <c r="SEK104" s="121"/>
      <c r="SEL104" s="121"/>
      <c r="SEM104" s="127"/>
      <c r="SEN104" s="127"/>
      <c r="SEO104" s="120"/>
      <c r="SEP104" s="130"/>
      <c r="SEQ104" s="130"/>
      <c r="SER104" s="139"/>
      <c r="SES104" s="130"/>
      <c r="SET104" s="130"/>
      <c r="SEU104" s="130"/>
      <c r="SEV104" s="130"/>
      <c r="SEW104" s="130"/>
      <c r="SEX104" s="140"/>
      <c r="SEY104" s="140"/>
      <c r="SEZ104" s="140"/>
      <c r="SFA104" s="141"/>
      <c r="SFB104" s="119"/>
      <c r="SFC104" s="128"/>
      <c r="SFD104" s="119"/>
      <c r="SFE104" s="141"/>
      <c r="SFF104" s="141"/>
      <c r="SFG104" s="132"/>
      <c r="SFH104" s="121"/>
      <c r="SFI104" s="121"/>
      <c r="SFJ104" s="121"/>
      <c r="SFK104" s="128"/>
      <c r="SFL104" s="128"/>
      <c r="SFM104" s="128"/>
      <c r="SFN104" s="128"/>
      <c r="SFO104" s="121"/>
      <c r="SFP104" s="121"/>
      <c r="SFQ104" s="121"/>
      <c r="SFR104" s="132"/>
      <c r="SFS104" s="132"/>
      <c r="SFT104" s="129"/>
      <c r="SFU104" s="130"/>
      <c r="SFV104" s="121"/>
      <c r="SFW104" s="121"/>
      <c r="SFX104" s="121"/>
      <c r="SFY104" s="130"/>
      <c r="SFZ104" s="121"/>
      <c r="SGA104" s="130"/>
      <c r="SGB104" s="122"/>
      <c r="SGC104" s="121"/>
      <c r="SGD104" s="121"/>
      <c r="SGE104" s="127"/>
      <c r="SGF104" s="127"/>
      <c r="SGG104" s="120"/>
      <c r="SGH104" s="130"/>
      <c r="SGI104" s="130"/>
      <c r="SGJ104" s="139"/>
      <c r="SGK104" s="130"/>
      <c r="SGL104" s="130"/>
      <c r="SGM104" s="130"/>
      <c r="SGN104" s="130"/>
      <c r="SGO104" s="130"/>
      <c r="SGP104" s="140"/>
      <c r="SGQ104" s="140"/>
      <c r="SGR104" s="140"/>
      <c r="SGS104" s="141"/>
      <c r="SGT104" s="119"/>
      <c r="SGU104" s="128"/>
      <c r="SGV104" s="119"/>
      <c r="SGW104" s="141"/>
      <c r="SGX104" s="141"/>
      <c r="SGY104" s="132"/>
      <c r="SGZ104" s="121"/>
      <c r="SHA104" s="121"/>
      <c r="SHB104" s="121"/>
      <c r="SHC104" s="128"/>
      <c r="SHD104" s="128"/>
      <c r="SHE104" s="128"/>
      <c r="SHF104" s="128"/>
      <c r="SHG104" s="121"/>
      <c r="SHH104" s="121"/>
      <c r="SHI104" s="121"/>
      <c r="SHJ104" s="132"/>
      <c r="SHK104" s="132"/>
      <c r="SHL104" s="129"/>
      <c r="SHM104" s="130"/>
      <c r="SHN104" s="121"/>
      <c r="SHO104" s="121"/>
      <c r="SHP104" s="121"/>
      <c r="SHQ104" s="130"/>
      <c r="SHR104" s="121"/>
      <c r="SHS104" s="130"/>
      <c r="SHT104" s="122"/>
      <c r="SHU104" s="121"/>
      <c r="SHV104" s="121"/>
      <c r="SHW104" s="127"/>
      <c r="SHX104" s="127"/>
      <c r="SHY104" s="120"/>
      <c r="SHZ104" s="130"/>
      <c r="SIA104" s="130"/>
      <c r="SIB104" s="139"/>
      <c r="SIC104" s="130"/>
      <c r="SID104" s="130"/>
      <c r="SIE104" s="130"/>
      <c r="SIF104" s="130"/>
      <c r="SIG104" s="130"/>
      <c r="SIH104" s="140"/>
      <c r="SII104" s="140"/>
      <c r="SIJ104" s="140"/>
      <c r="SIK104" s="141"/>
      <c r="SIL104" s="119"/>
      <c r="SIM104" s="128"/>
      <c r="SIN104" s="119"/>
      <c r="SIO104" s="141"/>
      <c r="SIP104" s="141"/>
      <c r="SIQ104" s="132"/>
      <c r="SIR104" s="121"/>
      <c r="SIS104" s="121"/>
      <c r="SIT104" s="121"/>
      <c r="SIU104" s="128"/>
      <c r="SIV104" s="128"/>
      <c r="SIW104" s="128"/>
      <c r="SIX104" s="128"/>
      <c r="SIY104" s="121"/>
      <c r="SIZ104" s="121"/>
      <c r="SJA104" s="121"/>
      <c r="SJB104" s="132"/>
      <c r="SJC104" s="132"/>
      <c r="SJD104" s="129"/>
      <c r="SJE104" s="130"/>
      <c r="SJF104" s="121"/>
      <c r="SJG104" s="121"/>
      <c r="SJH104" s="121"/>
      <c r="SJI104" s="130"/>
      <c r="SJJ104" s="121"/>
      <c r="SJK104" s="130"/>
      <c r="SJL104" s="122"/>
      <c r="SJM104" s="121"/>
      <c r="SJN104" s="121"/>
      <c r="SJO104" s="127"/>
      <c r="SJP104" s="127"/>
      <c r="SJQ104" s="120"/>
      <c r="SJR104" s="130"/>
      <c r="SJS104" s="130"/>
      <c r="SJT104" s="139"/>
      <c r="SJU104" s="130"/>
      <c r="SJV104" s="130"/>
      <c r="SJW104" s="130"/>
      <c r="SJX104" s="130"/>
      <c r="SJY104" s="130"/>
      <c r="SJZ104" s="140"/>
      <c r="SKA104" s="140"/>
      <c r="SKB104" s="140"/>
      <c r="SKC104" s="141"/>
      <c r="SKD104" s="119"/>
      <c r="SKE104" s="128"/>
      <c r="SKF104" s="119"/>
      <c r="SKG104" s="141"/>
      <c r="SKH104" s="141"/>
      <c r="SKI104" s="132"/>
      <c r="SKJ104" s="121"/>
      <c r="SKK104" s="121"/>
      <c r="SKL104" s="121"/>
      <c r="SKM104" s="128"/>
      <c r="SKN104" s="128"/>
      <c r="SKO104" s="128"/>
      <c r="SKP104" s="128"/>
      <c r="SKQ104" s="121"/>
      <c r="SKR104" s="121"/>
      <c r="SKS104" s="121"/>
      <c r="SKT104" s="132"/>
      <c r="SKU104" s="132"/>
      <c r="SKV104" s="129"/>
      <c r="SKW104" s="130"/>
      <c r="SKX104" s="121"/>
      <c r="SKY104" s="121"/>
      <c r="SKZ104" s="121"/>
      <c r="SLA104" s="130"/>
      <c r="SLB104" s="121"/>
      <c r="SLC104" s="130"/>
      <c r="SLD104" s="122"/>
      <c r="SLE104" s="121"/>
      <c r="SLF104" s="121"/>
      <c r="SLG104" s="127"/>
      <c r="SLH104" s="127"/>
      <c r="SLI104" s="120"/>
      <c r="SLJ104" s="130"/>
      <c r="SLK104" s="130"/>
      <c r="SLL104" s="139"/>
      <c r="SLM104" s="130"/>
      <c r="SLN104" s="130"/>
      <c r="SLO104" s="130"/>
      <c r="SLP104" s="130"/>
      <c r="SLQ104" s="130"/>
      <c r="SLR104" s="140"/>
      <c r="SLS104" s="140"/>
      <c r="SLT104" s="140"/>
      <c r="SLU104" s="141"/>
      <c r="SLV104" s="119"/>
      <c r="SLW104" s="128"/>
      <c r="SLX104" s="119"/>
      <c r="SLY104" s="141"/>
      <c r="SLZ104" s="141"/>
      <c r="SMA104" s="132"/>
      <c r="SMB104" s="121"/>
      <c r="SMC104" s="121"/>
      <c r="SMD104" s="121"/>
      <c r="SME104" s="128"/>
      <c r="SMF104" s="128"/>
      <c r="SMG104" s="128"/>
      <c r="SMH104" s="128"/>
      <c r="SMI104" s="121"/>
      <c r="SMJ104" s="121"/>
      <c r="SMK104" s="121"/>
      <c r="SML104" s="132"/>
      <c r="SMM104" s="132"/>
      <c r="SMN104" s="129"/>
      <c r="SMO104" s="130"/>
      <c r="SMP104" s="121"/>
      <c r="SMQ104" s="121"/>
      <c r="SMR104" s="121"/>
      <c r="SMS104" s="130"/>
      <c r="SMT104" s="121"/>
      <c r="SMU104" s="130"/>
      <c r="SMV104" s="122"/>
      <c r="SMW104" s="121"/>
      <c r="SMX104" s="121"/>
      <c r="SMY104" s="127"/>
      <c r="SMZ104" s="127"/>
      <c r="SNA104" s="120"/>
      <c r="SNB104" s="130"/>
      <c r="SNC104" s="130"/>
      <c r="SND104" s="139"/>
      <c r="SNE104" s="130"/>
      <c r="SNF104" s="130"/>
      <c r="SNG104" s="130"/>
      <c r="SNH104" s="130"/>
      <c r="SNI104" s="130"/>
      <c r="SNJ104" s="140"/>
      <c r="SNK104" s="140"/>
      <c r="SNL104" s="140"/>
      <c r="SNM104" s="141"/>
      <c r="SNN104" s="119"/>
      <c r="SNO104" s="128"/>
      <c r="SNP104" s="119"/>
      <c r="SNQ104" s="141"/>
      <c r="SNR104" s="141"/>
      <c r="SNS104" s="132"/>
      <c r="SNT104" s="121"/>
      <c r="SNU104" s="121"/>
      <c r="SNV104" s="121"/>
      <c r="SNW104" s="128"/>
      <c r="SNX104" s="128"/>
      <c r="SNY104" s="128"/>
      <c r="SNZ104" s="128"/>
      <c r="SOA104" s="121"/>
      <c r="SOB104" s="121"/>
      <c r="SOC104" s="121"/>
      <c r="SOD104" s="132"/>
      <c r="SOE104" s="132"/>
      <c r="SOF104" s="129"/>
      <c r="SOG104" s="130"/>
      <c r="SOH104" s="121"/>
      <c r="SOI104" s="121"/>
      <c r="SOJ104" s="121"/>
      <c r="SOK104" s="130"/>
      <c r="SOL104" s="121"/>
      <c r="SOM104" s="130"/>
      <c r="SON104" s="122"/>
      <c r="SOO104" s="121"/>
      <c r="SOP104" s="121"/>
      <c r="SOQ104" s="127"/>
      <c r="SOR104" s="127"/>
      <c r="SOS104" s="120"/>
      <c r="SOT104" s="130"/>
      <c r="SOU104" s="130"/>
      <c r="SOV104" s="139"/>
      <c r="SOW104" s="130"/>
      <c r="SOX104" s="130"/>
      <c r="SOY104" s="130"/>
      <c r="SOZ104" s="130"/>
      <c r="SPA104" s="130"/>
      <c r="SPB104" s="140"/>
      <c r="SPC104" s="140"/>
      <c r="SPD104" s="140"/>
      <c r="SPE104" s="141"/>
      <c r="SPF104" s="119"/>
      <c r="SPG104" s="128"/>
      <c r="SPH104" s="119"/>
      <c r="SPI104" s="141"/>
      <c r="SPJ104" s="141"/>
      <c r="SPK104" s="132"/>
      <c r="SPL104" s="121"/>
      <c r="SPM104" s="121"/>
      <c r="SPN104" s="121"/>
      <c r="SPO104" s="128"/>
      <c r="SPP104" s="128"/>
      <c r="SPQ104" s="128"/>
      <c r="SPR104" s="128"/>
      <c r="SPS104" s="121"/>
      <c r="SPT104" s="121"/>
      <c r="SPU104" s="121"/>
      <c r="SPV104" s="132"/>
      <c r="SPW104" s="132"/>
      <c r="SPX104" s="129"/>
      <c r="SPY104" s="130"/>
      <c r="SPZ104" s="121"/>
      <c r="SQA104" s="121"/>
      <c r="SQB104" s="121"/>
      <c r="SQC104" s="130"/>
      <c r="SQD104" s="121"/>
      <c r="SQE104" s="130"/>
      <c r="SQF104" s="122"/>
      <c r="SQG104" s="121"/>
      <c r="SQH104" s="121"/>
      <c r="SQI104" s="127"/>
      <c r="SQJ104" s="127"/>
      <c r="SQK104" s="120"/>
      <c r="SQL104" s="130"/>
      <c r="SQM104" s="130"/>
      <c r="SQN104" s="139"/>
      <c r="SQO104" s="130"/>
      <c r="SQP104" s="130"/>
      <c r="SQQ104" s="130"/>
      <c r="SQR104" s="130"/>
      <c r="SQS104" s="130"/>
      <c r="SQT104" s="140"/>
      <c r="SQU104" s="140"/>
      <c r="SQV104" s="140"/>
      <c r="SQW104" s="141"/>
      <c r="SQX104" s="119"/>
      <c r="SQY104" s="128"/>
      <c r="SQZ104" s="119"/>
      <c r="SRA104" s="141"/>
      <c r="SRB104" s="141"/>
      <c r="SRC104" s="132"/>
      <c r="SRD104" s="121"/>
      <c r="SRE104" s="121"/>
      <c r="SRF104" s="121"/>
      <c r="SRG104" s="128"/>
      <c r="SRH104" s="128"/>
      <c r="SRI104" s="128"/>
      <c r="SRJ104" s="128"/>
      <c r="SRK104" s="121"/>
      <c r="SRL104" s="121"/>
      <c r="SRM104" s="121"/>
      <c r="SRN104" s="132"/>
      <c r="SRO104" s="132"/>
      <c r="SRP104" s="129"/>
      <c r="SRQ104" s="130"/>
      <c r="SRR104" s="121"/>
      <c r="SRS104" s="121"/>
      <c r="SRT104" s="121"/>
      <c r="SRU104" s="130"/>
      <c r="SRV104" s="121"/>
      <c r="SRW104" s="130"/>
      <c r="SRX104" s="122"/>
      <c r="SRY104" s="121"/>
      <c r="SRZ104" s="121"/>
      <c r="SSA104" s="127"/>
      <c r="SSB104" s="127"/>
      <c r="SSC104" s="120"/>
      <c r="SSD104" s="130"/>
      <c r="SSE104" s="130"/>
      <c r="SSF104" s="139"/>
      <c r="SSG104" s="130"/>
      <c r="SSH104" s="130"/>
      <c r="SSI104" s="130"/>
      <c r="SSJ104" s="130"/>
      <c r="SSK104" s="130"/>
      <c r="SSL104" s="140"/>
      <c r="SSM104" s="140"/>
      <c r="SSN104" s="140"/>
      <c r="SSO104" s="141"/>
      <c r="SSP104" s="119"/>
      <c r="SSQ104" s="128"/>
      <c r="SSR104" s="119"/>
      <c r="SSS104" s="141"/>
      <c r="SST104" s="141"/>
      <c r="SSU104" s="132"/>
      <c r="SSV104" s="121"/>
      <c r="SSW104" s="121"/>
      <c r="SSX104" s="121"/>
      <c r="SSY104" s="128"/>
      <c r="SSZ104" s="128"/>
      <c r="STA104" s="128"/>
      <c r="STB104" s="128"/>
      <c r="STC104" s="121"/>
      <c r="STD104" s="121"/>
      <c r="STE104" s="121"/>
      <c r="STF104" s="132"/>
      <c r="STG104" s="132"/>
      <c r="STH104" s="129"/>
      <c r="STI104" s="130"/>
      <c r="STJ104" s="121"/>
      <c r="STK104" s="121"/>
      <c r="STL104" s="121"/>
      <c r="STM104" s="130"/>
      <c r="STN104" s="121"/>
      <c r="STO104" s="130"/>
      <c r="STP104" s="122"/>
      <c r="STQ104" s="121"/>
      <c r="STR104" s="121"/>
      <c r="STS104" s="127"/>
      <c r="STT104" s="127"/>
      <c r="STU104" s="120"/>
      <c r="STV104" s="130"/>
      <c r="STW104" s="130"/>
      <c r="STX104" s="139"/>
      <c r="STY104" s="130"/>
      <c r="STZ104" s="130"/>
      <c r="SUA104" s="130"/>
      <c r="SUB104" s="130"/>
      <c r="SUC104" s="130"/>
      <c r="SUD104" s="140"/>
      <c r="SUE104" s="140"/>
      <c r="SUF104" s="140"/>
      <c r="SUG104" s="141"/>
      <c r="SUH104" s="119"/>
      <c r="SUI104" s="128"/>
      <c r="SUJ104" s="119"/>
      <c r="SUK104" s="141"/>
      <c r="SUL104" s="141"/>
      <c r="SUM104" s="132"/>
      <c r="SUN104" s="121"/>
      <c r="SUO104" s="121"/>
      <c r="SUP104" s="121"/>
      <c r="SUQ104" s="128"/>
      <c r="SUR104" s="128"/>
      <c r="SUS104" s="128"/>
      <c r="SUT104" s="128"/>
      <c r="SUU104" s="121"/>
      <c r="SUV104" s="121"/>
      <c r="SUW104" s="121"/>
      <c r="SUX104" s="132"/>
      <c r="SUY104" s="132"/>
      <c r="SUZ104" s="129"/>
      <c r="SVA104" s="130"/>
      <c r="SVB104" s="121"/>
      <c r="SVC104" s="121"/>
      <c r="SVD104" s="121"/>
      <c r="SVE104" s="130"/>
      <c r="SVF104" s="121"/>
      <c r="SVG104" s="130"/>
      <c r="SVH104" s="122"/>
      <c r="SVI104" s="121"/>
      <c r="SVJ104" s="121"/>
      <c r="SVK104" s="127"/>
      <c r="SVL104" s="127"/>
      <c r="SVM104" s="120"/>
      <c r="SVN104" s="130"/>
      <c r="SVO104" s="130"/>
      <c r="SVP104" s="139"/>
      <c r="SVQ104" s="130"/>
      <c r="SVR104" s="130"/>
      <c r="SVS104" s="130"/>
      <c r="SVT104" s="130"/>
      <c r="SVU104" s="130"/>
      <c r="SVV104" s="140"/>
      <c r="SVW104" s="140"/>
      <c r="SVX104" s="140"/>
      <c r="SVY104" s="141"/>
      <c r="SVZ104" s="119"/>
      <c r="SWA104" s="128"/>
      <c r="SWB104" s="119"/>
      <c r="SWC104" s="141"/>
      <c r="SWD104" s="141"/>
      <c r="SWE104" s="132"/>
      <c r="SWF104" s="121"/>
      <c r="SWG104" s="121"/>
      <c r="SWH104" s="121"/>
      <c r="SWI104" s="128"/>
      <c r="SWJ104" s="128"/>
      <c r="SWK104" s="128"/>
      <c r="SWL104" s="128"/>
      <c r="SWM104" s="121"/>
      <c r="SWN104" s="121"/>
      <c r="SWO104" s="121"/>
      <c r="SWP104" s="132"/>
      <c r="SWQ104" s="132"/>
      <c r="SWR104" s="129"/>
      <c r="SWS104" s="130"/>
      <c r="SWT104" s="121"/>
      <c r="SWU104" s="121"/>
      <c r="SWV104" s="121"/>
      <c r="SWW104" s="130"/>
      <c r="SWX104" s="121"/>
      <c r="SWY104" s="130"/>
      <c r="SWZ104" s="122"/>
      <c r="SXA104" s="121"/>
      <c r="SXB104" s="121"/>
      <c r="SXC104" s="127"/>
      <c r="SXD104" s="127"/>
      <c r="SXE104" s="120"/>
      <c r="SXF104" s="130"/>
      <c r="SXG104" s="130"/>
      <c r="SXH104" s="139"/>
      <c r="SXI104" s="130"/>
      <c r="SXJ104" s="130"/>
      <c r="SXK104" s="130"/>
      <c r="SXL104" s="130"/>
      <c r="SXM104" s="130"/>
      <c r="SXN104" s="140"/>
      <c r="SXO104" s="140"/>
      <c r="SXP104" s="140"/>
      <c r="SXQ104" s="141"/>
      <c r="SXR104" s="119"/>
      <c r="SXS104" s="128"/>
      <c r="SXT104" s="119"/>
      <c r="SXU104" s="141"/>
      <c r="SXV104" s="141"/>
      <c r="SXW104" s="132"/>
      <c r="SXX104" s="121"/>
      <c r="SXY104" s="121"/>
      <c r="SXZ104" s="121"/>
      <c r="SYA104" s="128"/>
      <c r="SYB104" s="128"/>
      <c r="SYC104" s="128"/>
      <c r="SYD104" s="128"/>
      <c r="SYE104" s="121"/>
      <c r="SYF104" s="121"/>
      <c r="SYG104" s="121"/>
      <c r="SYH104" s="132"/>
      <c r="SYI104" s="132"/>
      <c r="SYJ104" s="129"/>
      <c r="SYK104" s="130"/>
      <c r="SYL104" s="121"/>
      <c r="SYM104" s="121"/>
      <c r="SYN104" s="121"/>
      <c r="SYO104" s="130"/>
      <c r="SYP104" s="121"/>
      <c r="SYQ104" s="130"/>
      <c r="SYR104" s="122"/>
      <c r="SYS104" s="121"/>
      <c r="SYT104" s="121"/>
      <c r="SYU104" s="127"/>
      <c r="SYV104" s="127"/>
      <c r="SYW104" s="120"/>
      <c r="SYX104" s="130"/>
      <c r="SYY104" s="130"/>
      <c r="SYZ104" s="139"/>
      <c r="SZA104" s="130"/>
      <c r="SZB104" s="130"/>
      <c r="SZC104" s="130"/>
      <c r="SZD104" s="130"/>
      <c r="SZE104" s="130"/>
      <c r="SZF104" s="140"/>
      <c r="SZG104" s="140"/>
      <c r="SZH104" s="140"/>
      <c r="SZI104" s="141"/>
      <c r="SZJ104" s="119"/>
      <c r="SZK104" s="128"/>
      <c r="SZL104" s="119"/>
      <c r="SZM104" s="141"/>
      <c r="SZN104" s="141"/>
      <c r="SZO104" s="132"/>
      <c r="SZP104" s="121"/>
      <c r="SZQ104" s="121"/>
      <c r="SZR104" s="121"/>
      <c r="SZS104" s="128"/>
      <c r="SZT104" s="128"/>
      <c r="SZU104" s="128"/>
      <c r="SZV104" s="128"/>
      <c r="SZW104" s="121"/>
      <c r="SZX104" s="121"/>
      <c r="SZY104" s="121"/>
      <c r="SZZ104" s="132"/>
      <c r="TAA104" s="132"/>
      <c r="TAB104" s="129"/>
      <c r="TAC104" s="130"/>
      <c r="TAD104" s="121"/>
      <c r="TAE104" s="121"/>
      <c r="TAF104" s="121"/>
      <c r="TAG104" s="130"/>
      <c r="TAH104" s="121"/>
      <c r="TAI104" s="130"/>
      <c r="TAJ104" s="122"/>
      <c r="TAK104" s="121"/>
      <c r="TAL104" s="121"/>
      <c r="TAM104" s="127"/>
      <c r="TAN104" s="127"/>
      <c r="TAO104" s="120"/>
      <c r="TAP104" s="130"/>
      <c r="TAQ104" s="130"/>
      <c r="TAR104" s="139"/>
      <c r="TAS104" s="130"/>
      <c r="TAT104" s="130"/>
      <c r="TAU104" s="130"/>
      <c r="TAV104" s="130"/>
      <c r="TAW104" s="130"/>
      <c r="TAX104" s="140"/>
      <c r="TAY104" s="140"/>
      <c r="TAZ104" s="140"/>
      <c r="TBA104" s="141"/>
      <c r="TBB104" s="119"/>
      <c r="TBC104" s="128"/>
      <c r="TBD104" s="119"/>
      <c r="TBE104" s="141"/>
      <c r="TBF104" s="141"/>
      <c r="TBG104" s="132"/>
      <c r="TBH104" s="121"/>
      <c r="TBI104" s="121"/>
      <c r="TBJ104" s="121"/>
      <c r="TBK104" s="128"/>
      <c r="TBL104" s="128"/>
      <c r="TBM104" s="128"/>
      <c r="TBN104" s="128"/>
      <c r="TBO104" s="121"/>
      <c r="TBP104" s="121"/>
      <c r="TBQ104" s="121"/>
      <c r="TBR104" s="132"/>
      <c r="TBS104" s="132"/>
      <c r="TBT104" s="129"/>
      <c r="TBU104" s="130"/>
      <c r="TBV104" s="121"/>
      <c r="TBW104" s="121"/>
      <c r="TBX104" s="121"/>
      <c r="TBY104" s="130"/>
      <c r="TBZ104" s="121"/>
      <c r="TCA104" s="130"/>
      <c r="TCB104" s="122"/>
      <c r="TCC104" s="121"/>
      <c r="TCD104" s="121"/>
      <c r="TCE104" s="127"/>
      <c r="TCF104" s="127"/>
      <c r="TCG104" s="120"/>
      <c r="TCH104" s="130"/>
      <c r="TCI104" s="130"/>
      <c r="TCJ104" s="139"/>
      <c r="TCK104" s="130"/>
      <c r="TCL104" s="130"/>
      <c r="TCM104" s="130"/>
      <c r="TCN104" s="130"/>
      <c r="TCO104" s="130"/>
      <c r="TCP104" s="140"/>
      <c r="TCQ104" s="140"/>
      <c r="TCR104" s="140"/>
      <c r="TCS104" s="141"/>
      <c r="TCT104" s="119"/>
      <c r="TCU104" s="128"/>
      <c r="TCV104" s="119"/>
      <c r="TCW104" s="141"/>
      <c r="TCX104" s="141"/>
      <c r="TCY104" s="132"/>
      <c r="TCZ104" s="121"/>
      <c r="TDA104" s="121"/>
      <c r="TDB104" s="121"/>
      <c r="TDC104" s="128"/>
      <c r="TDD104" s="128"/>
      <c r="TDE104" s="128"/>
      <c r="TDF104" s="128"/>
      <c r="TDG104" s="121"/>
      <c r="TDH104" s="121"/>
      <c r="TDI104" s="121"/>
      <c r="TDJ104" s="132"/>
      <c r="TDK104" s="132"/>
      <c r="TDL104" s="129"/>
      <c r="TDM104" s="130"/>
      <c r="TDN104" s="121"/>
      <c r="TDO104" s="121"/>
      <c r="TDP104" s="121"/>
      <c r="TDQ104" s="130"/>
      <c r="TDR104" s="121"/>
      <c r="TDS104" s="130"/>
      <c r="TDT104" s="122"/>
      <c r="TDU104" s="121"/>
      <c r="TDV104" s="121"/>
      <c r="TDW104" s="127"/>
      <c r="TDX104" s="127"/>
      <c r="TDY104" s="120"/>
      <c r="TDZ104" s="130"/>
      <c r="TEA104" s="130"/>
      <c r="TEB104" s="139"/>
      <c r="TEC104" s="130"/>
      <c r="TED104" s="130"/>
      <c r="TEE104" s="130"/>
      <c r="TEF104" s="130"/>
      <c r="TEG104" s="130"/>
      <c r="TEH104" s="140"/>
      <c r="TEI104" s="140"/>
      <c r="TEJ104" s="140"/>
      <c r="TEK104" s="141"/>
      <c r="TEL104" s="119"/>
      <c r="TEM104" s="128"/>
      <c r="TEN104" s="119"/>
      <c r="TEO104" s="141"/>
      <c r="TEP104" s="141"/>
      <c r="TEQ104" s="132"/>
      <c r="TER104" s="121"/>
      <c r="TES104" s="121"/>
      <c r="TET104" s="121"/>
      <c r="TEU104" s="128"/>
      <c r="TEV104" s="128"/>
      <c r="TEW104" s="128"/>
      <c r="TEX104" s="128"/>
      <c r="TEY104" s="121"/>
      <c r="TEZ104" s="121"/>
      <c r="TFA104" s="121"/>
      <c r="TFB104" s="132"/>
      <c r="TFC104" s="132"/>
      <c r="TFD104" s="129"/>
      <c r="TFE104" s="130"/>
      <c r="TFF104" s="121"/>
      <c r="TFG104" s="121"/>
      <c r="TFH104" s="121"/>
      <c r="TFI104" s="130"/>
      <c r="TFJ104" s="121"/>
      <c r="TFK104" s="130"/>
      <c r="TFL104" s="122"/>
      <c r="TFM104" s="121"/>
      <c r="TFN104" s="121"/>
      <c r="TFO104" s="127"/>
      <c r="TFP104" s="127"/>
      <c r="TFQ104" s="120"/>
      <c r="TFR104" s="130"/>
      <c r="TFS104" s="130"/>
      <c r="TFT104" s="139"/>
      <c r="TFU104" s="130"/>
      <c r="TFV104" s="130"/>
      <c r="TFW104" s="130"/>
      <c r="TFX104" s="130"/>
      <c r="TFY104" s="130"/>
      <c r="TFZ104" s="140"/>
      <c r="TGA104" s="140"/>
      <c r="TGB104" s="140"/>
      <c r="TGC104" s="141"/>
      <c r="TGD104" s="119"/>
      <c r="TGE104" s="128"/>
      <c r="TGF104" s="119"/>
      <c r="TGG104" s="141"/>
      <c r="TGH104" s="141"/>
      <c r="TGI104" s="132"/>
      <c r="TGJ104" s="121"/>
      <c r="TGK104" s="121"/>
      <c r="TGL104" s="121"/>
      <c r="TGM104" s="128"/>
      <c r="TGN104" s="128"/>
      <c r="TGO104" s="128"/>
      <c r="TGP104" s="128"/>
      <c r="TGQ104" s="121"/>
      <c r="TGR104" s="121"/>
      <c r="TGS104" s="121"/>
      <c r="TGT104" s="132"/>
      <c r="TGU104" s="132"/>
      <c r="TGV104" s="129"/>
      <c r="TGW104" s="130"/>
      <c r="TGX104" s="121"/>
      <c r="TGY104" s="121"/>
      <c r="TGZ104" s="121"/>
      <c r="THA104" s="130"/>
      <c r="THB104" s="121"/>
      <c r="THC104" s="130"/>
      <c r="THD104" s="122"/>
      <c r="THE104" s="121"/>
      <c r="THF104" s="121"/>
      <c r="THG104" s="127"/>
      <c r="THH104" s="127"/>
      <c r="THI104" s="120"/>
      <c r="THJ104" s="130"/>
      <c r="THK104" s="130"/>
      <c r="THL104" s="139"/>
      <c r="THM104" s="130"/>
      <c r="THN104" s="130"/>
      <c r="THO104" s="130"/>
      <c r="THP104" s="130"/>
      <c r="THQ104" s="130"/>
      <c r="THR104" s="140"/>
      <c r="THS104" s="140"/>
      <c r="THT104" s="140"/>
      <c r="THU104" s="141"/>
      <c r="THV104" s="119"/>
      <c r="THW104" s="128"/>
      <c r="THX104" s="119"/>
      <c r="THY104" s="141"/>
      <c r="THZ104" s="141"/>
      <c r="TIA104" s="132"/>
      <c r="TIB104" s="121"/>
      <c r="TIC104" s="121"/>
      <c r="TID104" s="121"/>
      <c r="TIE104" s="128"/>
      <c r="TIF104" s="128"/>
      <c r="TIG104" s="128"/>
      <c r="TIH104" s="128"/>
      <c r="TII104" s="121"/>
      <c r="TIJ104" s="121"/>
      <c r="TIK104" s="121"/>
      <c r="TIL104" s="132"/>
      <c r="TIM104" s="132"/>
      <c r="TIN104" s="129"/>
      <c r="TIO104" s="130"/>
      <c r="TIP104" s="121"/>
      <c r="TIQ104" s="121"/>
      <c r="TIR104" s="121"/>
      <c r="TIS104" s="130"/>
      <c r="TIT104" s="121"/>
      <c r="TIU104" s="130"/>
      <c r="TIV104" s="122"/>
      <c r="TIW104" s="121"/>
      <c r="TIX104" s="121"/>
      <c r="TIY104" s="127"/>
      <c r="TIZ104" s="127"/>
      <c r="TJA104" s="120"/>
      <c r="TJB104" s="130"/>
      <c r="TJC104" s="130"/>
      <c r="TJD104" s="139"/>
      <c r="TJE104" s="130"/>
      <c r="TJF104" s="130"/>
      <c r="TJG104" s="130"/>
      <c r="TJH104" s="130"/>
      <c r="TJI104" s="130"/>
      <c r="TJJ104" s="140"/>
      <c r="TJK104" s="140"/>
      <c r="TJL104" s="140"/>
      <c r="TJM104" s="141"/>
      <c r="TJN104" s="119"/>
      <c r="TJO104" s="128"/>
      <c r="TJP104" s="119"/>
      <c r="TJQ104" s="141"/>
      <c r="TJR104" s="141"/>
      <c r="TJS104" s="132"/>
      <c r="TJT104" s="121"/>
      <c r="TJU104" s="121"/>
      <c r="TJV104" s="121"/>
      <c r="TJW104" s="128"/>
      <c r="TJX104" s="128"/>
      <c r="TJY104" s="128"/>
      <c r="TJZ104" s="128"/>
      <c r="TKA104" s="121"/>
      <c r="TKB104" s="121"/>
      <c r="TKC104" s="121"/>
      <c r="TKD104" s="132"/>
      <c r="TKE104" s="132"/>
      <c r="TKF104" s="129"/>
      <c r="TKG104" s="130"/>
      <c r="TKH104" s="121"/>
      <c r="TKI104" s="121"/>
      <c r="TKJ104" s="121"/>
      <c r="TKK104" s="130"/>
      <c r="TKL104" s="121"/>
      <c r="TKM104" s="130"/>
      <c r="TKN104" s="122"/>
      <c r="TKO104" s="121"/>
      <c r="TKP104" s="121"/>
      <c r="TKQ104" s="127"/>
      <c r="TKR104" s="127"/>
      <c r="TKS104" s="120"/>
      <c r="TKT104" s="130"/>
      <c r="TKU104" s="130"/>
      <c r="TKV104" s="139"/>
      <c r="TKW104" s="130"/>
      <c r="TKX104" s="130"/>
      <c r="TKY104" s="130"/>
      <c r="TKZ104" s="130"/>
      <c r="TLA104" s="130"/>
      <c r="TLB104" s="140"/>
      <c r="TLC104" s="140"/>
      <c r="TLD104" s="140"/>
      <c r="TLE104" s="141"/>
      <c r="TLF104" s="119"/>
      <c r="TLG104" s="128"/>
      <c r="TLH104" s="119"/>
      <c r="TLI104" s="141"/>
      <c r="TLJ104" s="141"/>
      <c r="TLK104" s="132"/>
      <c r="TLL104" s="121"/>
      <c r="TLM104" s="121"/>
      <c r="TLN104" s="121"/>
      <c r="TLO104" s="128"/>
      <c r="TLP104" s="128"/>
      <c r="TLQ104" s="128"/>
      <c r="TLR104" s="128"/>
      <c r="TLS104" s="121"/>
      <c r="TLT104" s="121"/>
      <c r="TLU104" s="121"/>
      <c r="TLV104" s="132"/>
      <c r="TLW104" s="132"/>
      <c r="TLX104" s="129"/>
      <c r="TLY104" s="130"/>
      <c r="TLZ104" s="121"/>
      <c r="TMA104" s="121"/>
      <c r="TMB104" s="121"/>
      <c r="TMC104" s="130"/>
      <c r="TMD104" s="121"/>
      <c r="TME104" s="130"/>
      <c r="TMF104" s="122"/>
      <c r="TMG104" s="121"/>
      <c r="TMH104" s="121"/>
      <c r="TMI104" s="127"/>
      <c r="TMJ104" s="127"/>
      <c r="TMK104" s="120"/>
      <c r="TML104" s="130"/>
      <c r="TMM104" s="130"/>
      <c r="TMN104" s="139"/>
      <c r="TMO104" s="130"/>
      <c r="TMP104" s="130"/>
      <c r="TMQ104" s="130"/>
      <c r="TMR104" s="130"/>
      <c r="TMS104" s="130"/>
      <c r="TMT104" s="140"/>
      <c r="TMU104" s="140"/>
      <c r="TMV104" s="140"/>
      <c r="TMW104" s="141"/>
      <c r="TMX104" s="119"/>
      <c r="TMY104" s="128"/>
      <c r="TMZ104" s="119"/>
      <c r="TNA104" s="141"/>
      <c r="TNB104" s="141"/>
      <c r="TNC104" s="132"/>
      <c r="TND104" s="121"/>
      <c r="TNE104" s="121"/>
      <c r="TNF104" s="121"/>
      <c r="TNG104" s="128"/>
      <c r="TNH104" s="128"/>
      <c r="TNI104" s="128"/>
      <c r="TNJ104" s="128"/>
      <c r="TNK104" s="121"/>
      <c r="TNL104" s="121"/>
      <c r="TNM104" s="121"/>
      <c r="TNN104" s="132"/>
      <c r="TNO104" s="132"/>
      <c r="TNP104" s="129"/>
      <c r="TNQ104" s="130"/>
      <c r="TNR104" s="121"/>
      <c r="TNS104" s="121"/>
      <c r="TNT104" s="121"/>
      <c r="TNU104" s="130"/>
      <c r="TNV104" s="121"/>
      <c r="TNW104" s="130"/>
      <c r="TNX104" s="122"/>
      <c r="TNY104" s="121"/>
      <c r="TNZ104" s="121"/>
      <c r="TOA104" s="127"/>
      <c r="TOB104" s="127"/>
      <c r="TOC104" s="120"/>
      <c r="TOD104" s="130"/>
      <c r="TOE104" s="130"/>
      <c r="TOF104" s="139"/>
      <c r="TOG104" s="130"/>
      <c r="TOH104" s="130"/>
      <c r="TOI104" s="130"/>
      <c r="TOJ104" s="130"/>
      <c r="TOK104" s="130"/>
      <c r="TOL104" s="140"/>
      <c r="TOM104" s="140"/>
      <c r="TON104" s="140"/>
      <c r="TOO104" s="141"/>
      <c r="TOP104" s="119"/>
      <c r="TOQ104" s="128"/>
      <c r="TOR104" s="119"/>
      <c r="TOS104" s="141"/>
      <c r="TOT104" s="141"/>
      <c r="TOU104" s="132"/>
      <c r="TOV104" s="121"/>
      <c r="TOW104" s="121"/>
      <c r="TOX104" s="121"/>
      <c r="TOY104" s="128"/>
      <c r="TOZ104" s="128"/>
      <c r="TPA104" s="128"/>
      <c r="TPB104" s="128"/>
      <c r="TPC104" s="121"/>
      <c r="TPD104" s="121"/>
      <c r="TPE104" s="121"/>
      <c r="TPF104" s="132"/>
      <c r="TPG104" s="132"/>
      <c r="TPH104" s="129"/>
      <c r="TPI104" s="130"/>
      <c r="TPJ104" s="121"/>
      <c r="TPK104" s="121"/>
      <c r="TPL104" s="121"/>
      <c r="TPM104" s="130"/>
      <c r="TPN104" s="121"/>
      <c r="TPO104" s="130"/>
      <c r="TPP104" s="122"/>
      <c r="TPQ104" s="121"/>
      <c r="TPR104" s="121"/>
      <c r="TPS104" s="127"/>
      <c r="TPT104" s="127"/>
      <c r="TPU104" s="120"/>
      <c r="TPV104" s="130"/>
      <c r="TPW104" s="130"/>
      <c r="TPX104" s="139"/>
      <c r="TPY104" s="130"/>
      <c r="TPZ104" s="130"/>
      <c r="TQA104" s="130"/>
      <c r="TQB104" s="130"/>
      <c r="TQC104" s="130"/>
      <c r="TQD104" s="140"/>
      <c r="TQE104" s="140"/>
      <c r="TQF104" s="140"/>
      <c r="TQG104" s="141"/>
      <c r="TQH104" s="119"/>
      <c r="TQI104" s="128"/>
      <c r="TQJ104" s="119"/>
      <c r="TQK104" s="141"/>
      <c r="TQL104" s="141"/>
      <c r="TQM104" s="132"/>
      <c r="TQN104" s="121"/>
      <c r="TQO104" s="121"/>
      <c r="TQP104" s="121"/>
      <c r="TQQ104" s="128"/>
      <c r="TQR104" s="128"/>
      <c r="TQS104" s="128"/>
      <c r="TQT104" s="128"/>
      <c r="TQU104" s="121"/>
      <c r="TQV104" s="121"/>
      <c r="TQW104" s="121"/>
      <c r="TQX104" s="132"/>
      <c r="TQY104" s="132"/>
      <c r="TQZ104" s="129"/>
      <c r="TRA104" s="130"/>
      <c r="TRB104" s="121"/>
      <c r="TRC104" s="121"/>
      <c r="TRD104" s="121"/>
      <c r="TRE104" s="130"/>
      <c r="TRF104" s="121"/>
      <c r="TRG104" s="130"/>
      <c r="TRH104" s="122"/>
      <c r="TRI104" s="121"/>
      <c r="TRJ104" s="121"/>
      <c r="TRK104" s="127"/>
      <c r="TRL104" s="127"/>
      <c r="TRM104" s="120"/>
      <c r="TRN104" s="130"/>
      <c r="TRO104" s="130"/>
      <c r="TRP104" s="139"/>
      <c r="TRQ104" s="130"/>
      <c r="TRR104" s="130"/>
      <c r="TRS104" s="130"/>
      <c r="TRT104" s="130"/>
      <c r="TRU104" s="130"/>
      <c r="TRV104" s="140"/>
      <c r="TRW104" s="140"/>
      <c r="TRX104" s="140"/>
      <c r="TRY104" s="141"/>
      <c r="TRZ104" s="119"/>
      <c r="TSA104" s="128"/>
      <c r="TSB104" s="119"/>
      <c r="TSC104" s="141"/>
      <c r="TSD104" s="141"/>
      <c r="TSE104" s="132"/>
      <c r="TSF104" s="121"/>
      <c r="TSG104" s="121"/>
      <c r="TSH104" s="121"/>
      <c r="TSI104" s="128"/>
      <c r="TSJ104" s="128"/>
      <c r="TSK104" s="128"/>
      <c r="TSL104" s="128"/>
      <c r="TSM104" s="121"/>
      <c r="TSN104" s="121"/>
      <c r="TSO104" s="121"/>
      <c r="TSP104" s="132"/>
      <c r="TSQ104" s="132"/>
      <c r="TSR104" s="129"/>
      <c r="TSS104" s="130"/>
      <c r="TST104" s="121"/>
      <c r="TSU104" s="121"/>
      <c r="TSV104" s="121"/>
      <c r="TSW104" s="130"/>
      <c r="TSX104" s="121"/>
      <c r="TSY104" s="130"/>
      <c r="TSZ104" s="122"/>
      <c r="TTA104" s="121"/>
      <c r="TTB104" s="121"/>
      <c r="TTC104" s="127"/>
      <c r="TTD104" s="127"/>
      <c r="TTE104" s="120"/>
      <c r="TTF104" s="130"/>
      <c r="TTG104" s="130"/>
      <c r="TTH104" s="139"/>
      <c r="TTI104" s="130"/>
      <c r="TTJ104" s="130"/>
      <c r="TTK104" s="130"/>
      <c r="TTL104" s="130"/>
      <c r="TTM104" s="130"/>
      <c r="TTN104" s="140"/>
      <c r="TTO104" s="140"/>
      <c r="TTP104" s="140"/>
      <c r="TTQ104" s="141"/>
      <c r="TTR104" s="119"/>
      <c r="TTS104" s="128"/>
      <c r="TTT104" s="119"/>
      <c r="TTU104" s="141"/>
      <c r="TTV104" s="141"/>
      <c r="TTW104" s="132"/>
      <c r="TTX104" s="121"/>
      <c r="TTY104" s="121"/>
      <c r="TTZ104" s="121"/>
      <c r="TUA104" s="128"/>
      <c r="TUB104" s="128"/>
      <c r="TUC104" s="128"/>
      <c r="TUD104" s="128"/>
      <c r="TUE104" s="121"/>
      <c r="TUF104" s="121"/>
      <c r="TUG104" s="121"/>
      <c r="TUH104" s="132"/>
      <c r="TUI104" s="132"/>
      <c r="TUJ104" s="129"/>
      <c r="TUK104" s="130"/>
      <c r="TUL104" s="121"/>
      <c r="TUM104" s="121"/>
      <c r="TUN104" s="121"/>
      <c r="TUO104" s="130"/>
      <c r="TUP104" s="121"/>
      <c r="TUQ104" s="130"/>
      <c r="TUR104" s="122"/>
      <c r="TUS104" s="121"/>
      <c r="TUT104" s="121"/>
      <c r="TUU104" s="127"/>
      <c r="TUV104" s="127"/>
      <c r="TUW104" s="120"/>
      <c r="TUX104" s="130"/>
      <c r="TUY104" s="130"/>
      <c r="TUZ104" s="139"/>
      <c r="TVA104" s="130"/>
      <c r="TVB104" s="130"/>
      <c r="TVC104" s="130"/>
      <c r="TVD104" s="130"/>
      <c r="TVE104" s="130"/>
      <c r="TVF104" s="140"/>
      <c r="TVG104" s="140"/>
      <c r="TVH104" s="140"/>
      <c r="TVI104" s="141"/>
      <c r="TVJ104" s="119"/>
      <c r="TVK104" s="128"/>
      <c r="TVL104" s="119"/>
      <c r="TVM104" s="141"/>
      <c r="TVN104" s="141"/>
      <c r="TVO104" s="132"/>
      <c r="TVP104" s="121"/>
      <c r="TVQ104" s="121"/>
      <c r="TVR104" s="121"/>
      <c r="TVS104" s="128"/>
      <c r="TVT104" s="128"/>
      <c r="TVU104" s="128"/>
      <c r="TVV104" s="128"/>
      <c r="TVW104" s="121"/>
      <c r="TVX104" s="121"/>
      <c r="TVY104" s="121"/>
      <c r="TVZ104" s="132"/>
      <c r="TWA104" s="132"/>
      <c r="TWB104" s="129"/>
      <c r="TWC104" s="130"/>
      <c r="TWD104" s="121"/>
      <c r="TWE104" s="121"/>
      <c r="TWF104" s="121"/>
      <c r="TWG104" s="130"/>
      <c r="TWH104" s="121"/>
      <c r="TWI104" s="130"/>
      <c r="TWJ104" s="122"/>
      <c r="TWK104" s="121"/>
      <c r="TWL104" s="121"/>
      <c r="TWM104" s="127"/>
      <c r="TWN104" s="127"/>
      <c r="TWO104" s="120"/>
      <c r="TWP104" s="130"/>
      <c r="TWQ104" s="130"/>
      <c r="TWR104" s="139"/>
      <c r="TWS104" s="130"/>
      <c r="TWT104" s="130"/>
      <c r="TWU104" s="130"/>
      <c r="TWV104" s="130"/>
      <c r="TWW104" s="130"/>
      <c r="TWX104" s="140"/>
      <c r="TWY104" s="140"/>
      <c r="TWZ104" s="140"/>
      <c r="TXA104" s="141"/>
      <c r="TXB104" s="119"/>
      <c r="TXC104" s="128"/>
      <c r="TXD104" s="119"/>
      <c r="TXE104" s="141"/>
      <c r="TXF104" s="141"/>
      <c r="TXG104" s="132"/>
      <c r="TXH104" s="121"/>
      <c r="TXI104" s="121"/>
      <c r="TXJ104" s="121"/>
      <c r="TXK104" s="128"/>
      <c r="TXL104" s="128"/>
      <c r="TXM104" s="128"/>
      <c r="TXN104" s="128"/>
      <c r="TXO104" s="121"/>
      <c r="TXP104" s="121"/>
      <c r="TXQ104" s="121"/>
      <c r="TXR104" s="132"/>
      <c r="TXS104" s="132"/>
      <c r="TXT104" s="129"/>
      <c r="TXU104" s="130"/>
      <c r="TXV104" s="121"/>
      <c r="TXW104" s="121"/>
      <c r="TXX104" s="121"/>
      <c r="TXY104" s="130"/>
      <c r="TXZ104" s="121"/>
      <c r="TYA104" s="130"/>
      <c r="TYB104" s="122"/>
      <c r="TYC104" s="121"/>
      <c r="TYD104" s="121"/>
      <c r="TYE104" s="127"/>
      <c r="TYF104" s="127"/>
      <c r="TYG104" s="120"/>
      <c r="TYH104" s="130"/>
      <c r="TYI104" s="130"/>
      <c r="TYJ104" s="139"/>
      <c r="TYK104" s="130"/>
      <c r="TYL104" s="130"/>
      <c r="TYM104" s="130"/>
      <c r="TYN104" s="130"/>
      <c r="TYO104" s="130"/>
      <c r="TYP104" s="140"/>
      <c r="TYQ104" s="140"/>
      <c r="TYR104" s="140"/>
      <c r="TYS104" s="141"/>
      <c r="TYT104" s="119"/>
      <c r="TYU104" s="128"/>
      <c r="TYV104" s="119"/>
      <c r="TYW104" s="141"/>
      <c r="TYX104" s="141"/>
      <c r="TYY104" s="132"/>
      <c r="TYZ104" s="121"/>
      <c r="TZA104" s="121"/>
      <c r="TZB104" s="121"/>
      <c r="TZC104" s="128"/>
      <c r="TZD104" s="128"/>
      <c r="TZE104" s="128"/>
      <c r="TZF104" s="128"/>
      <c r="TZG104" s="121"/>
      <c r="TZH104" s="121"/>
      <c r="TZI104" s="121"/>
      <c r="TZJ104" s="132"/>
      <c r="TZK104" s="132"/>
      <c r="TZL104" s="129"/>
      <c r="TZM104" s="130"/>
      <c r="TZN104" s="121"/>
      <c r="TZO104" s="121"/>
      <c r="TZP104" s="121"/>
      <c r="TZQ104" s="130"/>
      <c r="TZR104" s="121"/>
      <c r="TZS104" s="130"/>
      <c r="TZT104" s="122"/>
      <c r="TZU104" s="121"/>
      <c r="TZV104" s="121"/>
      <c r="TZW104" s="127"/>
      <c r="TZX104" s="127"/>
      <c r="TZY104" s="120"/>
      <c r="TZZ104" s="130"/>
      <c r="UAA104" s="130"/>
      <c r="UAB104" s="139"/>
      <c r="UAC104" s="130"/>
      <c r="UAD104" s="130"/>
      <c r="UAE104" s="130"/>
      <c r="UAF104" s="130"/>
      <c r="UAG104" s="130"/>
      <c r="UAH104" s="140"/>
      <c r="UAI104" s="140"/>
      <c r="UAJ104" s="140"/>
      <c r="UAK104" s="141"/>
      <c r="UAL104" s="119"/>
      <c r="UAM104" s="128"/>
      <c r="UAN104" s="119"/>
      <c r="UAO104" s="141"/>
      <c r="UAP104" s="141"/>
      <c r="UAQ104" s="132"/>
      <c r="UAR104" s="121"/>
      <c r="UAS104" s="121"/>
      <c r="UAT104" s="121"/>
      <c r="UAU104" s="128"/>
      <c r="UAV104" s="128"/>
      <c r="UAW104" s="128"/>
      <c r="UAX104" s="128"/>
      <c r="UAY104" s="121"/>
      <c r="UAZ104" s="121"/>
      <c r="UBA104" s="121"/>
      <c r="UBB104" s="132"/>
      <c r="UBC104" s="132"/>
      <c r="UBD104" s="129"/>
      <c r="UBE104" s="130"/>
      <c r="UBF104" s="121"/>
      <c r="UBG104" s="121"/>
      <c r="UBH104" s="121"/>
      <c r="UBI104" s="130"/>
      <c r="UBJ104" s="121"/>
      <c r="UBK104" s="130"/>
      <c r="UBL104" s="122"/>
      <c r="UBM104" s="121"/>
      <c r="UBN104" s="121"/>
      <c r="UBO104" s="127"/>
      <c r="UBP104" s="127"/>
      <c r="UBQ104" s="120"/>
      <c r="UBR104" s="130"/>
      <c r="UBS104" s="130"/>
      <c r="UBT104" s="139"/>
      <c r="UBU104" s="130"/>
      <c r="UBV104" s="130"/>
      <c r="UBW104" s="130"/>
      <c r="UBX104" s="130"/>
      <c r="UBY104" s="130"/>
      <c r="UBZ104" s="140"/>
      <c r="UCA104" s="140"/>
      <c r="UCB104" s="140"/>
      <c r="UCC104" s="141"/>
      <c r="UCD104" s="119"/>
      <c r="UCE104" s="128"/>
      <c r="UCF104" s="119"/>
      <c r="UCG104" s="141"/>
      <c r="UCH104" s="141"/>
      <c r="UCI104" s="132"/>
      <c r="UCJ104" s="121"/>
      <c r="UCK104" s="121"/>
      <c r="UCL104" s="121"/>
      <c r="UCM104" s="128"/>
      <c r="UCN104" s="128"/>
      <c r="UCO104" s="128"/>
      <c r="UCP104" s="128"/>
      <c r="UCQ104" s="121"/>
      <c r="UCR104" s="121"/>
      <c r="UCS104" s="121"/>
      <c r="UCT104" s="132"/>
      <c r="UCU104" s="132"/>
      <c r="UCV104" s="129"/>
      <c r="UCW104" s="130"/>
      <c r="UCX104" s="121"/>
      <c r="UCY104" s="121"/>
      <c r="UCZ104" s="121"/>
      <c r="UDA104" s="130"/>
      <c r="UDB104" s="121"/>
      <c r="UDC104" s="130"/>
      <c r="UDD104" s="122"/>
      <c r="UDE104" s="121"/>
      <c r="UDF104" s="121"/>
      <c r="UDG104" s="127"/>
      <c r="UDH104" s="127"/>
      <c r="UDI104" s="120"/>
      <c r="UDJ104" s="130"/>
      <c r="UDK104" s="130"/>
      <c r="UDL104" s="139"/>
      <c r="UDM104" s="130"/>
      <c r="UDN104" s="130"/>
      <c r="UDO104" s="130"/>
      <c r="UDP104" s="130"/>
      <c r="UDQ104" s="130"/>
      <c r="UDR104" s="140"/>
      <c r="UDS104" s="140"/>
      <c r="UDT104" s="140"/>
      <c r="UDU104" s="141"/>
      <c r="UDV104" s="119"/>
      <c r="UDW104" s="128"/>
      <c r="UDX104" s="119"/>
      <c r="UDY104" s="141"/>
      <c r="UDZ104" s="141"/>
      <c r="UEA104" s="132"/>
      <c r="UEB104" s="121"/>
      <c r="UEC104" s="121"/>
      <c r="UED104" s="121"/>
      <c r="UEE104" s="128"/>
      <c r="UEF104" s="128"/>
      <c r="UEG104" s="128"/>
      <c r="UEH104" s="128"/>
      <c r="UEI104" s="121"/>
      <c r="UEJ104" s="121"/>
      <c r="UEK104" s="121"/>
      <c r="UEL104" s="132"/>
      <c r="UEM104" s="132"/>
      <c r="UEN104" s="129"/>
      <c r="UEO104" s="130"/>
      <c r="UEP104" s="121"/>
      <c r="UEQ104" s="121"/>
      <c r="UER104" s="121"/>
      <c r="UES104" s="130"/>
      <c r="UET104" s="121"/>
      <c r="UEU104" s="130"/>
      <c r="UEV104" s="122"/>
      <c r="UEW104" s="121"/>
      <c r="UEX104" s="121"/>
      <c r="UEY104" s="127"/>
      <c r="UEZ104" s="127"/>
      <c r="UFA104" s="120"/>
      <c r="UFB104" s="130"/>
      <c r="UFC104" s="130"/>
      <c r="UFD104" s="139"/>
      <c r="UFE104" s="130"/>
      <c r="UFF104" s="130"/>
      <c r="UFG104" s="130"/>
      <c r="UFH104" s="130"/>
      <c r="UFI104" s="130"/>
      <c r="UFJ104" s="140"/>
      <c r="UFK104" s="140"/>
      <c r="UFL104" s="140"/>
      <c r="UFM104" s="141"/>
      <c r="UFN104" s="119"/>
      <c r="UFO104" s="128"/>
      <c r="UFP104" s="119"/>
      <c r="UFQ104" s="141"/>
      <c r="UFR104" s="141"/>
      <c r="UFS104" s="132"/>
      <c r="UFT104" s="121"/>
      <c r="UFU104" s="121"/>
      <c r="UFV104" s="121"/>
      <c r="UFW104" s="128"/>
      <c r="UFX104" s="128"/>
      <c r="UFY104" s="128"/>
      <c r="UFZ104" s="128"/>
      <c r="UGA104" s="121"/>
      <c r="UGB104" s="121"/>
      <c r="UGC104" s="121"/>
      <c r="UGD104" s="132"/>
      <c r="UGE104" s="132"/>
      <c r="UGF104" s="129"/>
      <c r="UGG104" s="130"/>
      <c r="UGH104" s="121"/>
      <c r="UGI104" s="121"/>
      <c r="UGJ104" s="121"/>
      <c r="UGK104" s="130"/>
      <c r="UGL104" s="121"/>
      <c r="UGM104" s="130"/>
      <c r="UGN104" s="122"/>
      <c r="UGO104" s="121"/>
      <c r="UGP104" s="121"/>
      <c r="UGQ104" s="127"/>
      <c r="UGR104" s="127"/>
      <c r="UGS104" s="120"/>
      <c r="UGT104" s="130"/>
      <c r="UGU104" s="130"/>
      <c r="UGV104" s="139"/>
      <c r="UGW104" s="130"/>
      <c r="UGX104" s="130"/>
      <c r="UGY104" s="130"/>
      <c r="UGZ104" s="130"/>
      <c r="UHA104" s="130"/>
      <c r="UHB104" s="140"/>
      <c r="UHC104" s="140"/>
      <c r="UHD104" s="140"/>
      <c r="UHE104" s="141"/>
      <c r="UHF104" s="119"/>
      <c r="UHG104" s="128"/>
      <c r="UHH104" s="119"/>
      <c r="UHI104" s="141"/>
      <c r="UHJ104" s="141"/>
      <c r="UHK104" s="132"/>
      <c r="UHL104" s="121"/>
      <c r="UHM104" s="121"/>
      <c r="UHN104" s="121"/>
      <c r="UHO104" s="128"/>
      <c r="UHP104" s="128"/>
      <c r="UHQ104" s="128"/>
      <c r="UHR104" s="128"/>
      <c r="UHS104" s="121"/>
      <c r="UHT104" s="121"/>
      <c r="UHU104" s="121"/>
      <c r="UHV104" s="132"/>
      <c r="UHW104" s="132"/>
      <c r="UHX104" s="129"/>
      <c r="UHY104" s="130"/>
      <c r="UHZ104" s="121"/>
      <c r="UIA104" s="121"/>
      <c r="UIB104" s="121"/>
      <c r="UIC104" s="130"/>
      <c r="UID104" s="121"/>
      <c r="UIE104" s="130"/>
      <c r="UIF104" s="122"/>
      <c r="UIG104" s="121"/>
      <c r="UIH104" s="121"/>
      <c r="UII104" s="127"/>
      <c r="UIJ104" s="127"/>
      <c r="UIK104" s="120"/>
      <c r="UIL104" s="130"/>
      <c r="UIM104" s="130"/>
      <c r="UIN104" s="139"/>
      <c r="UIO104" s="130"/>
      <c r="UIP104" s="130"/>
      <c r="UIQ104" s="130"/>
      <c r="UIR104" s="130"/>
      <c r="UIS104" s="130"/>
      <c r="UIT104" s="140"/>
      <c r="UIU104" s="140"/>
      <c r="UIV104" s="140"/>
      <c r="UIW104" s="141"/>
      <c r="UIX104" s="119"/>
      <c r="UIY104" s="128"/>
      <c r="UIZ104" s="119"/>
      <c r="UJA104" s="141"/>
      <c r="UJB104" s="141"/>
      <c r="UJC104" s="132"/>
      <c r="UJD104" s="121"/>
      <c r="UJE104" s="121"/>
      <c r="UJF104" s="121"/>
      <c r="UJG104" s="128"/>
      <c r="UJH104" s="128"/>
      <c r="UJI104" s="128"/>
      <c r="UJJ104" s="128"/>
      <c r="UJK104" s="121"/>
      <c r="UJL104" s="121"/>
      <c r="UJM104" s="121"/>
      <c r="UJN104" s="132"/>
      <c r="UJO104" s="132"/>
      <c r="UJP104" s="129"/>
      <c r="UJQ104" s="130"/>
      <c r="UJR104" s="121"/>
      <c r="UJS104" s="121"/>
      <c r="UJT104" s="121"/>
      <c r="UJU104" s="130"/>
      <c r="UJV104" s="121"/>
      <c r="UJW104" s="130"/>
      <c r="UJX104" s="122"/>
      <c r="UJY104" s="121"/>
      <c r="UJZ104" s="121"/>
      <c r="UKA104" s="127"/>
      <c r="UKB104" s="127"/>
      <c r="UKC104" s="120"/>
      <c r="UKD104" s="130"/>
      <c r="UKE104" s="130"/>
      <c r="UKF104" s="139"/>
      <c r="UKG104" s="130"/>
      <c r="UKH104" s="130"/>
      <c r="UKI104" s="130"/>
      <c r="UKJ104" s="130"/>
      <c r="UKK104" s="130"/>
      <c r="UKL104" s="140"/>
      <c r="UKM104" s="140"/>
      <c r="UKN104" s="140"/>
      <c r="UKO104" s="141"/>
      <c r="UKP104" s="119"/>
      <c r="UKQ104" s="128"/>
      <c r="UKR104" s="119"/>
      <c r="UKS104" s="141"/>
      <c r="UKT104" s="141"/>
      <c r="UKU104" s="132"/>
      <c r="UKV104" s="121"/>
      <c r="UKW104" s="121"/>
      <c r="UKX104" s="121"/>
      <c r="UKY104" s="128"/>
      <c r="UKZ104" s="128"/>
      <c r="ULA104" s="128"/>
      <c r="ULB104" s="128"/>
      <c r="ULC104" s="121"/>
      <c r="ULD104" s="121"/>
      <c r="ULE104" s="121"/>
      <c r="ULF104" s="132"/>
      <c r="ULG104" s="132"/>
      <c r="ULH104" s="129"/>
      <c r="ULI104" s="130"/>
      <c r="ULJ104" s="121"/>
      <c r="ULK104" s="121"/>
      <c r="ULL104" s="121"/>
      <c r="ULM104" s="130"/>
      <c r="ULN104" s="121"/>
      <c r="ULO104" s="130"/>
      <c r="ULP104" s="122"/>
      <c r="ULQ104" s="121"/>
      <c r="ULR104" s="121"/>
      <c r="ULS104" s="127"/>
      <c r="ULT104" s="127"/>
      <c r="ULU104" s="120"/>
      <c r="ULV104" s="130"/>
      <c r="ULW104" s="130"/>
      <c r="ULX104" s="139"/>
      <c r="ULY104" s="130"/>
      <c r="ULZ104" s="130"/>
      <c r="UMA104" s="130"/>
      <c r="UMB104" s="130"/>
      <c r="UMC104" s="130"/>
      <c r="UMD104" s="140"/>
      <c r="UME104" s="140"/>
      <c r="UMF104" s="140"/>
      <c r="UMG104" s="141"/>
      <c r="UMH104" s="119"/>
      <c r="UMI104" s="128"/>
      <c r="UMJ104" s="119"/>
      <c r="UMK104" s="141"/>
      <c r="UML104" s="141"/>
      <c r="UMM104" s="132"/>
      <c r="UMN104" s="121"/>
      <c r="UMO104" s="121"/>
      <c r="UMP104" s="121"/>
      <c r="UMQ104" s="128"/>
      <c r="UMR104" s="128"/>
      <c r="UMS104" s="128"/>
      <c r="UMT104" s="128"/>
      <c r="UMU104" s="121"/>
      <c r="UMV104" s="121"/>
      <c r="UMW104" s="121"/>
      <c r="UMX104" s="132"/>
      <c r="UMY104" s="132"/>
      <c r="UMZ104" s="129"/>
      <c r="UNA104" s="130"/>
      <c r="UNB104" s="121"/>
      <c r="UNC104" s="121"/>
      <c r="UND104" s="121"/>
      <c r="UNE104" s="130"/>
      <c r="UNF104" s="121"/>
      <c r="UNG104" s="130"/>
      <c r="UNH104" s="122"/>
      <c r="UNI104" s="121"/>
      <c r="UNJ104" s="121"/>
      <c r="UNK104" s="127"/>
      <c r="UNL104" s="127"/>
      <c r="UNM104" s="120"/>
      <c r="UNN104" s="130"/>
      <c r="UNO104" s="130"/>
      <c r="UNP104" s="139"/>
      <c r="UNQ104" s="130"/>
      <c r="UNR104" s="130"/>
      <c r="UNS104" s="130"/>
      <c r="UNT104" s="130"/>
      <c r="UNU104" s="130"/>
      <c r="UNV104" s="140"/>
      <c r="UNW104" s="140"/>
      <c r="UNX104" s="140"/>
      <c r="UNY104" s="141"/>
      <c r="UNZ104" s="119"/>
      <c r="UOA104" s="128"/>
      <c r="UOB104" s="119"/>
      <c r="UOC104" s="141"/>
      <c r="UOD104" s="141"/>
      <c r="UOE104" s="132"/>
      <c r="UOF104" s="121"/>
      <c r="UOG104" s="121"/>
      <c r="UOH104" s="121"/>
      <c r="UOI104" s="128"/>
      <c r="UOJ104" s="128"/>
      <c r="UOK104" s="128"/>
      <c r="UOL104" s="128"/>
      <c r="UOM104" s="121"/>
      <c r="UON104" s="121"/>
      <c r="UOO104" s="121"/>
      <c r="UOP104" s="132"/>
      <c r="UOQ104" s="132"/>
      <c r="UOR104" s="129"/>
      <c r="UOS104" s="130"/>
      <c r="UOT104" s="121"/>
      <c r="UOU104" s="121"/>
      <c r="UOV104" s="121"/>
      <c r="UOW104" s="130"/>
      <c r="UOX104" s="121"/>
      <c r="UOY104" s="130"/>
      <c r="UOZ104" s="122"/>
      <c r="UPA104" s="121"/>
      <c r="UPB104" s="121"/>
      <c r="UPC104" s="127"/>
      <c r="UPD104" s="127"/>
      <c r="UPE104" s="120"/>
      <c r="UPF104" s="130"/>
      <c r="UPG104" s="130"/>
      <c r="UPH104" s="139"/>
      <c r="UPI104" s="130"/>
      <c r="UPJ104" s="130"/>
      <c r="UPK104" s="130"/>
      <c r="UPL104" s="130"/>
      <c r="UPM104" s="130"/>
      <c r="UPN104" s="140"/>
      <c r="UPO104" s="140"/>
      <c r="UPP104" s="140"/>
      <c r="UPQ104" s="141"/>
      <c r="UPR104" s="119"/>
      <c r="UPS104" s="128"/>
      <c r="UPT104" s="119"/>
      <c r="UPU104" s="141"/>
      <c r="UPV104" s="141"/>
      <c r="UPW104" s="132"/>
      <c r="UPX104" s="121"/>
      <c r="UPY104" s="121"/>
      <c r="UPZ104" s="121"/>
      <c r="UQA104" s="128"/>
      <c r="UQB104" s="128"/>
      <c r="UQC104" s="128"/>
      <c r="UQD104" s="128"/>
      <c r="UQE104" s="121"/>
      <c r="UQF104" s="121"/>
      <c r="UQG104" s="121"/>
      <c r="UQH104" s="132"/>
      <c r="UQI104" s="132"/>
      <c r="UQJ104" s="129"/>
      <c r="UQK104" s="130"/>
      <c r="UQL104" s="121"/>
      <c r="UQM104" s="121"/>
      <c r="UQN104" s="121"/>
      <c r="UQO104" s="130"/>
      <c r="UQP104" s="121"/>
      <c r="UQQ104" s="130"/>
      <c r="UQR104" s="122"/>
      <c r="UQS104" s="121"/>
      <c r="UQT104" s="121"/>
      <c r="UQU104" s="127"/>
      <c r="UQV104" s="127"/>
      <c r="UQW104" s="120"/>
      <c r="UQX104" s="130"/>
      <c r="UQY104" s="130"/>
      <c r="UQZ104" s="139"/>
      <c r="URA104" s="130"/>
      <c r="URB104" s="130"/>
      <c r="URC104" s="130"/>
      <c r="URD104" s="130"/>
      <c r="URE104" s="130"/>
      <c r="URF104" s="140"/>
      <c r="URG104" s="140"/>
      <c r="URH104" s="140"/>
      <c r="URI104" s="141"/>
      <c r="URJ104" s="119"/>
      <c r="URK104" s="128"/>
      <c r="URL104" s="119"/>
      <c r="URM104" s="141"/>
      <c r="URN104" s="141"/>
      <c r="URO104" s="132"/>
      <c r="URP104" s="121"/>
      <c r="URQ104" s="121"/>
      <c r="URR104" s="121"/>
      <c r="URS104" s="128"/>
      <c r="URT104" s="128"/>
      <c r="URU104" s="128"/>
      <c r="URV104" s="128"/>
      <c r="URW104" s="121"/>
      <c r="URX104" s="121"/>
      <c r="URY104" s="121"/>
      <c r="URZ104" s="132"/>
      <c r="USA104" s="132"/>
      <c r="USB104" s="129"/>
      <c r="USC104" s="130"/>
      <c r="USD104" s="121"/>
      <c r="USE104" s="121"/>
      <c r="USF104" s="121"/>
      <c r="USG104" s="130"/>
      <c r="USH104" s="121"/>
      <c r="USI104" s="130"/>
      <c r="USJ104" s="122"/>
      <c r="USK104" s="121"/>
      <c r="USL104" s="121"/>
      <c r="USM104" s="127"/>
      <c r="USN104" s="127"/>
      <c r="USO104" s="120"/>
      <c r="USP104" s="130"/>
      <c r="USQ104" s="130"/>
      <c r="USR104" s="139"/>
      <c r="USS104" s="130"/>
      <c r="UST104" s="130"/>
      <c r="USU104" s="130"/>
      <c r="USV104" s="130"/>
      <c r="USW104" s="130"/>
      <c r="USX104" s="140"/>
      <c r="USY104" s="140"/>
      <c r="USZ104" s="140"/>
      <c r="UTA104" s="141"/>
      <c r="UTB104" s="119"/>
      <c r="UTC104" s="128"/>
      <c r="UTD104" s="119"/>
      <c r="UTE104" s="141"/>
      <c r="UTF104" s="141"/>
      <c r="UTG104" s="132"/>
      <c r="UTH104" s="121"/>
      <c r="UTI104" s="121"/>
      <c r="UTJ104" s="121"/>
      <c r="UTK104" s="128"/>
      <c r="UTL104" s="128"/>
      <c r="UTM104" s="128"/>
      <c r="UTN104" s="128"/>
      <c r="UTO104" s="121"/>
      <c r="UTP104" s="121"/>
      <c r="UTQ104" s="121"/>
      <c r="UTR104" s="132"/>
      <c r="UTS104" s="132"/>
      <c r="UTT104" s="129"/>
      <c r="UTU104" s="130"/>
      <c r="UTV104" s="121"/>
      <c r="UTW104" s="121"/>
      <c r="UTX104" s="121"/>
      <c r="UTY104" s="130"/>
      <c r="UTZ104" s="121"/>
      <c r="UUA104" s="130"/>
      <c r="UUB104" s="122"/>
      <c r="UUC104" s="121"/>
      <c r="UUD104" s="121"/>
      <c r="UUE104" s="127"/>
      <c r="UUF104" s="127"/>
      <c r="UUG104" s="120"/>
      <c r="UUH104" s="130"/>
      <c r="UUI104" s="130"/>
      <c r="UUJ104" s="139"/>
      <c r="UUK104" s="130"/>
      <c r="UUL104" s="130"/>
      <c r="UUM104" s="130"/>
      <c r="UUN104" s="130"/>
      <c r="UUO104" s="130"/>
      <c r="UUP104" s="140"/>
      <c r="UUQ104" s="140"/>
      <c r="UUR104" s="140"/>
      <c r="UUS104" s="141"/>
      <c r="UUT104" s="119"/>
      <c r="UUU104" s="128"/>
      <c r="UUV104" s="119"/>
      <c r="UUW104" s="141"/>
      <c r="UUX104" s="141"/>
      <c r="UUY104" s="132"/>
      <c r="UUZ104" s="121"/>
      <c r="UVA104" s="121"/>
      <c r="UVB104" s="121"/>
      <c r="UVC104" s="128"/>
      <c r="UVD104" s="128"/>
      <c r="UVE104" s="128"/>
      <c r="UVF104" s="128"/>
      <c r="UVG104" s="121"/>
      <c r="UVH104" s="121"/>
      <c r="UVI104" s="121"/>
      <c r="UVJ104" s="132"/>
      <c r="UVK104" s="132"/>
      <c r="UVL104" s="129"/>
      <c r="UVM104" s="130"/>
      <c r="UVN104" s="121"/>
      <c r="UVO104" s="121"/>
      <c r="UVP104" s="121"/>
      <c r="UVQ104" s="130"/>
      <c r="UVR104" s="121"/>
      <c r="UVS104" s="130"/>
      <c r="UVT104" s="122"/>
      <c r="UVU104" s="121"/>
      <c r="UVV104" s="121"/>
      <c r="UVW104" s="127"/>
      <c r="UVX104" s="127"/>
      <c r="UVY104" s="120"/>
      <c r="UVZ104" s="130"/>
      <c r="UWA104" s="130"/>
      <c r="UWB104" s="139"/>
      <c r="UWC104" s="130"/>
      <c r="UWD104" s="130"/>
      <c r="UWE104" s="130"/>
      <c r="UWF104" s="130"/>
      <c r="UWG104" s="130"/>
      <c r="UWH104" s="140"/>
      <c r="UWI104" s="140"/>
      <c r="UWJ104" s="140"/>
      <c r="UWK104" s="141"/>
      <c r="UWL104" s="119"/>
      <c r="UWM104" s="128"/>
      <c r="UWN104" s="119"/>
      <c r="UWO104" s="141"/>
      <c r="UWP104" s="141"/>
      <c r="UWQ104" s="132"/>
      <c r="UWR104" s="121"/>
      <c r="UWS104" s="121"/>
      <c r="UWT104" s="121"/>
      <c r="UWU104" s="128"/>
      <c r="UWV104" s="128"/>
      <c r="UWW104" s="128"/>
      <c r="UWX104" s="128"/>
      <c r="UWY104" s="121"/>
      <c r="UWZ104" s="121"/>
      <c r="UXA104" s="121"/>
      <c r="UXB104" s="132"/>
      <c r="UXC104" s="132"/>
      <c r="UXD104" s="129"/>
      <c r="UXE104" s="130"/>
      <c r="UXF104" s="121"/>
      <c r="UXG104" s="121"/>
      <c r="UXH104" s="121"/>
      <c r="UXI104" s="130"/>
      <c r="UXJ104" s="121"/>
      <c r="UXK104" s="130"/>
      <c r="UXL104" s="122"/>
      <c r="UXM104" s="121"/>
      <c r="UXN104" s="121"/>
      <c r="UXO104" s="127"/>
      <c r="UXP104" s="127"/>
      <c r="UXQ104" s="120"/>
      <c r="UXR104" s="130"/>
      <c r="UXS104" s="130"/>
      <c r="UXT104" s="139"/>
      <c r="UXU104" s="130"/>
      <c r="UXV104" s="130"/>
      <c r="UXW104" s="130"/>
      <c r="UXX104" s="130"/>
      <c r="UXY104" s="130"/>
      <c r="UXZ104" s="140"/>
      <c r="UYA104" s="140"/>
      <c r="UYB104" s="140"/>
      <c r="UYC104" s="141"/>
      <c r="UYD104" s="119"/>
      <c r="UYE104" s="128"/>
      <c r="UYF104" s="119"/>
      <c r="UYG104" s="141"/>
      <c r="UYH104" s="141"/>
      <c r="UYI104" s="132"/>
      <c r="UYJ104" s="121"/>
      <c r="UYK104" s="121"/>
      <c r="UYL104" s="121"/>
      <c r="UYM104" s="128"/>
      <c r="UYN104" s="128"/>
      <c r="UYO104" s="128"/>
      <c r="UYP104" s="128"/>
      <c r="UYQ104" s="121"/>
      <c r="UYR104" s="121"/>
      <c r="UYS104" s="121"/>
      <c r="UYT104" s="132"/>
      <c r="UYU104" s="132"/>
      <c r="UYV104" s="129"/>
      <c r="UYW104" s="130"/>
      <c r="UYX104" s="121"/>
      <c r="UYY104" s="121"/>
      <c r="UYZ104" s="121"/>
      <c r="UZA104" s="130"/>
      <c r="UZB104" s="121"/>
      <c r="UZC104" s="130"/>
      <c r="UZD104" s="122"/>
      <c r="UZE104" s="121"/>
      <c r="UZF104" s="121"/>
      <c r="UZG104" s="127"/>
      <c r="UZH104" s="127"/>
      <c r="UZI104" s="120"/>
      <c r="UZJ104" s="130"/>
      <c r="UZK104" s="130"/>
      <c r="UZL104" s="139"/>
      <c r="UZM104" s="130"/>
      <c r="UZN104" s="130"/>
      <c r="UZO104" s="130"/>
      <c r="UZP104" s="130"/>
      <c r="UZQ104" s="130"/>
      <c r="UZR104" s="140"/>
      <c r="UZS104" s="140"/>
      <c r="UZT104" s="140"/>
      <c r="UZU104" s="141"/>
      <c r="UZV104" s="119"/>
      <c r="UZW104" s="128"/>
      <c r="UZX104" s="119"/>
      <c r="UZY104" s="141"/>
      <c r="UZZ104" s="141"/>
      <c r="VAA104" s="132"/>
      <c r="VAB104" s="121"/>
      <c r="VAC104" s="121"/>
      <c r="VAD104" s="121"/>
      <c r="VAE104" s="128"/>
      <c r="VAF104" s="128"/>
      <c r="VAG104" s="128"/>
      <c r="VAH104" s="128"/>
      <c r="VAI104" s="121"/>
      <c r="VAJ104" s="121"/>
      <c r="VAK104" s="121"/>
      <c r="VAL104" s="132"/>
      <c r="VAM104" s="132"/>
      <c r="VAN104" s="129"/>
      <c r="VAO104" s="130"/>
      <c r="VAP104" s="121"/>
      <c r="VAQ104" s="121"/>
      <c r="VAR104" s="121"/>
      <c r="VAS104" s="130"/>
      <c r="VAT104" s="121"/>
      <c r="VAU104" s="130"/>
      <c r="VAV104" s="122"/>
      <c r="VAW104" s="121"/>
      <c r="VAX104" s="121"/>
      <c r="VAY104" s="127"/>
      <c r="VAZ104" s="127"/>
      <c r="VBA104" s="120"/>
      <c r="VBB104" s="130"/>
      <c r="VBC104" s="130"/>
      <c r="VBD104" s="139"/>
      <c r="VBE104" s="130"/>
      <c r="VBF104" s="130"/>
      <c r="VBG104" s="130"/>
      <c r="VBH104" s="130"/>
      <c r="VBI104" s="130"/>
      <c r="VBJ104" s="140"/>
      <c r="VBK104" s="140"/>
      <c r="VBL104" s="140"/>
      <c r="VBM104" s="141"/>
      <c r="VBN104" s="119"/>
      <c r="VBO104" s="128"/>
      <c r="VBP104" s="119"/>
      <c r="VBQ104" s="141"/>
      <c r="VBR104" s="141"/>
      <c r="VBS104" s="132"/>
      <c r="VBT104" s="121"/>
      <c r="VBU104" s="121"/>
      <c r="VBV104" s="121"/>
      <c r="VBW104" s="128"/>
      <c r="VBX104" s="128"/>
      <c r="VBY104" s="128"/>
      <c r="VBZ104" s="128"/>
      <c r="VCA104" s="121"/>
      <c r="VCB104" s="121"/>
      <c r="VCC104" s="121"/>
      <c r="VCD104" s="132"/>
      <c r="VCE104" s="132"/>
      <c r="VCF104" s="129"/>
      <c r="VCG104" s="130"/>
      <c r="VCH104" s="121"/>
      <c r="VCI104" s="121"/>
      <c r="VCJ104" s="121"/>
      <c r="VCK104" s="130"/>
      <c r="VCL104" s="121"/>
      <c r="VCM104" s="130"/>
      <c r="VCN104" s="122"/>
      <c r="VCO104" s="121"/>
      <c r="VCP104" s="121"/>
      <c r="VCQ104" s="127"/>
      <c r="VCR104" s="127"/>
      <c r="VCS104" s="120"/>
      <c r="VCT104" s="130"/>
      <c r="VCU104" s="130"/>
      <c r="VCV104" s="139"/>
      <c r="VCW104" s="130"/>
      <c r="VCX104" s="130"/>
      <c r="VCY104" s="130"/>
      <c r="VCZ104" s="130"/>
      <c r="VDA104" s="130"/>
      <c r="VDB104" s="140"/>
      <c r="VDC104" s="140"/>
      <c r="VDD104" s="140"/>
      <c r="VDE104" s="141"/>
      <c r="VDF104" s="119"/>
      <c r="VDG104" s="128"/>
      <c r="VDH104" s="119"/>
      <c r="VDI104" s="141"/>
      <c r="VDJ104" s="141"/>
      <c r="VDK104" s="132"/>
      <c r="VDL104" s="121"/>
      <c r="VDM104" s="121"/>
      <c r="VDN104" s="121"/>
      <c r="VDO104" s="128"/>
      <c r="VDP104" s="128"/>
      <c r="VDQ104" s="128"/>
      <c r="VDR104" s="128"/>
      <c r="VDS104" s="121"/>
      <c r="VDT104" s="121"/>
      <c r="VDU104" s="121"/>
      <c r="VDV104" s="132"/>
      <c r="VDW104" s="132"/>
      <c r="VDX104" s="129"/>
      <c r="VDY104" s="130"/>
      <c r="VDZ104" s="121"/>
      <c r="VEA104" s="121"/>
      <c r="VEB104" s="121"/>
      <c r="VEC104" s="130"/>
      <c r="VED104" s="121"/>
      <c r="VEE104" s="130"/>
      <c r="VEF104" s="122"/>
      <c r="VEG104" s="121"/>
      <c r="VEH104" s="121"/>
      <c r="VEI104" s="127"/>
      <c r="VEJ104" s="127"/>
      <c r="VEK104" s="120"/>
      <c r="VEL104" s="130"/>
      <c r="VEM104" s="130"/>
      <c r="VEN104" s="139"/>
      <c r="VEO104" s="130"/>
      <c r="VEP104" s="130"/>
      <c r="VEQ104" s="130"/>
      <c r="VER104" s="130"/>
      <c r="VES104" s="130"/>
      <c r="VET104" s="140"/>
      <c r="VEU104" s="140"/>
      <c r="VEV104" s="140"/>
      <c r="VEW104" s="141"/>
      <c r="VEX104" s="119"/>
      <c r="VEY104" s="128"/>
      <c r="VEZ104" s="119"/>
      <c r="VFA104" s="141"/>
      <c r="VFB104" s="141"/>
      <c r="VFC104" s="132"/>
      <c r="VFD104" s="121"/>
      <c r="VFE104" s="121"/>
      <c r="VFF104" s="121"/>
      <c r="VFG104" s="128"/>
      <c r="VFH104" s="128"/>
      <c r="VFI104" s="128"/>
      <c r="VFJ104" s="128"/>
      <c r="VFK104" s="121"/>
      <c r="VFL104" s="121"/>
      <c r="VFM104" s="121"/>
      <c r="VFN104" s="132"/>
      <c r="VFO104" s="132"/>
      <c r="VFP104" s="129"/>
      <c r="VFQ104" s="130"/>
      <c r="VFR104" s="121"/>
      <c r="VFS104" s="121"/>
      <c r="VFT104" s="121"/>
      <c r="VFU104" s="130"/>
      <c r="VFV104" s="121"/>
      <c r="VFW104" s="130"/>
      <c r="VFX104" s="122"/>
      <c r="VFY104" s="121"/>
      <c r="VFZ104" s="121"/>
      <c r="VGA104" s="127"/>
      <c r="VGB104" s="127"/>
      <c r="VGC104" s="120"/>
      <c r="VGD104" s="130"/>
      <c r="VGE104" s="130"/>
      <c r="VGF104" s="139"/>
      <c r="VGG104" s="130"/>
      <c r="VGH104" s="130"/>
      <c r="VGI104" s="130"/>
      <c r="VGJ104" s="130"/>
      <c r="VGK104" s="130"/>
      <c r="VGL104" s="140"/>
      <c r="VGM104" s="140"/>
      <c r="VGN104" s="140"/>
      <c r="VGO104" s="141"/>
      <c r="VGP104" s="119"/>
      <c r="VGQ104" s="128"/>
      <c r="VGR104" s="119"/>
      <c r="VGS104" s="141"/>
      <c r="VGT104" s="141"/>
      <c r="VGU104" s="132"/>
      <c r="VGV104" s="121"/>
      <c r="VGW104" s="121"/>
      <c r="VGX104" s="121"/>
      <c r="VGY104" s="128"/>
      <c r="VGZ104" s="128"/>
      <c r="VHA104" s="128"/>
      <c r="VHB104" s="128"/>
      <c r="VHC104" s="121"/>
      <c r="VHD104" s="121"/>
      <c r="VHE104" s="121"/>
      <c r="VHF104" s="132"/>
      <c r="VHG104" s="132"/>
      <c r="VHH104" s="129"/>
      <c r="VHI104" s="130"/>
      <c r="VHJ104" s="121"/>
      <c r="VHK104" s="121"/>
      <c r="VHL104" s="121"/>
      <c r="VHM104" s="130"/>
      <c r="VHN104" s="121"/>
      <c r="VHO104" s="130"/>
      <c r="VHP104" s="122"/>
      <c r="VHQ104" s="121"/>
      <c r="VHR104" s="121"/>
      <c r="VHS104" s="127"/>
      <c r="VHT104" s="127"/>
      <c r="VHU104" s="120"/>
      <c r="VHV104" s="130"/>
      <c r="VHW104" s="130"/>
      <c r="VHX104" s="139"/>
      <c r="VHY104" s="130"/>
      <c r="VHZ104" s="130"/>
      <c r="VIA104" s="130"/>
      <c r="VIB104" s="130"/>
      <c r="VIC104" s="130"/>
      <c r="VID104" s="140"/>
      <c r="VIE104" s="140"/>
      <c r="VIF104" s="140"/>
      <c r="VIG104" s="141"/>
      <c r="VIH104" s="119"/>
      <c r="VII104" s="128"/>
      <c r="VIJ104" s="119"/>
      <c r="VIK104" s="141"/>
      <c r="VIL104" s="141"/>
      <c r="VIM104" s="132"/>
      <c r="VIN104" s="121"/>
      <c r="VIO104" s="121"/>
      <c r="VIP104" s="121"/>
      <c r="VIQ104" s="128"/>
      <c r="VIR104" s="128"/>
      <c r="VIS104" s="128"/>
      <c r="VIT104" s="128"/>
      <c r="VIU104" s="121"/>
      <c r="VIV104" s="121"/>
      <c r="VIW104" s="121"/>
      <c r="VIX104" s="132"/>
      <c r="VIY104" s="132"/>
      <c r="VIZ104" s="129"/>
      <c r="VJA104" s="130"/>
      <c r="VJB104" s="121"/>
      <c r="VJC104" s="121"/>
      <c r="VJD104" s="121"/>
      <c r="VJE104" s="130"/>
      <c r="VJF104" s="121"/>
      <c r="VJG104" s="130"/>
      <c r="VJH104" s="122"/>
      <c r="VJI104" s="121"/>
      <c r="VJJ104" s="121"/>
      <c r="VJK104" s="127"/>
      <c r="VJL104" s="127"/>
      <c r="VJM104" s="120"/>
      <c r="VJN104" s="130"/>
      <c r="VJO104" s="130"/>
      <c r="VJP104" s="139"/>
      <c r="VJQ104" s="130"/>
      <c r="VJR104" s="130"/>
      <c r="VJS104" s="130"/>
      <c r="VJT104" s="130"/>
      <c r="VJU104" s="130"/>
      <c r="VJV104" s="140"/>
      <c r="VJW104" s="140"/>
      <c r="VJX104" s="140"/>
      <c r="VJY104" s="141"/>
      <c r="VJZ104" s="119"/>
      <c r="VKA104" s="128"/>
      <c r="VKB104" s="119"/>
      <c r="VKC104" s="141"/>
      <c r="VKD104" s="141"/>
      <c r="VKE104" s="132"/>
      <c r="VKF104" s="121"/>
      <c r="VKG104" s="121"/>
      <c r="VKH104" s="121"/>
      <c r="VKI104" s="128"/>
      <c r="VKJ104" s="128"/>
      <c r="VKK104" s="128"/>
      <c r="VKL104" s="128"/>
      <c r="VKM104" s="121"/>
      <c r="VKN104" s="121"/>
      <c r="VKO104" s="121"/>
      <c r="VKP104" s="132"/>
      <c r="VKQ104" s="132"/>
      <c r="VKR104" s="129"/>
      <c r="VKS104" s="130"/>
      <c r="VKT104" s="121"/>
      <c r="VKU104" s="121"/>
      <c r="VKV104" s="121"/>
      <c r="VKW104" s="130"/>
      <c r="VKX104" s="121"/>
      <c r="VKY104" s="130"/>
      <c r="VKZ104" s="122"/>
      <c r="VLA104" s="121"/>
      <c r="VLB104" s="121"/>
      <c r="VLC104" s="127"/>
      <c r="VLD104" s="127"/>
      <c r="VLE104" s="120"/>
      <c r="VLF104" s="130"/>
      <c r="VLG104" s="130"/>
      <c r="VLH104" s="139"/>
      <c r="VLI104" s="130"/>
      <c r="VLJ104" s="130"/>
      <c r="VLK104" s="130"/>
      <c r="VLL104" s="130"/>
      <c r="VLM104" s="130"/>
      <c r="VLN104" s="140"/>
      <c r="VLO104" s="140"/>
      <c r="VLP104" s="140"/>
      <c r="VLQ104" s="141"/>
      <c r="VLR104" s="119"/>
      <c r="VLS104" s="128"/>
      <c r="VLT104" s="119"/>
      <c r="VLU104" s="141"/>
      <c r="VLV104" s="141"/>
      <c r="VLW104" s="132"/>
      <c r="VLX104" s="121"/>
      <c r="VLY104" s="121"/>
      <c r="VLZ104" s="121"/>
      <c r="VMA104" s="128"/>
      <c r="VMB104" s="128"/>
      <c r="VMC104" s="128"/>
      <c r="VMD104" s="128"/>
      <c r="VME104" s="121"/>
      <c r="VMF104" s="121"/>
      <c r="VMG104" s="121"/>
      <c r="VMH104" s="132"/>
      <c r="VMI104" s="132"/>
      <c r="VMJ104" s="129"/>
      <c r="VMK104" s="130"/>
      <c r="VML104" s="121"/>
      <c r="VMM104" s="121"/>
      <c r="VMN104" s="121"/>
      <c r="VMO104" s="130"/>
      <c r="VMP104" s="121"/>
      <c r="VMQ104" s="130"/>
      <c r="VMR104" s="122"/>
      <c r="VMS104" s="121"/>
      <c r="VMT104" s="121"/>
      <c r="VMU104" s="127"/>
      <c r="VMV104" s="127"/>
      <c r="VMW104" s="120"/>
      <c r="VMX104" s="130"/>
      <c r="VMY104" s="130"/>
      <c r="VMZ104" s="139"/>
      <c r="VNA104" s="130"/>
      <c r="VNB104" s="130"/>
      <c r="VNC104" s="130"/>
      <c r="VND104" s="130"/>
      <c r="VNE104" s="130"/>
      <c r="VNF104" s="140"/>
      <c r="VNG104" s="140"/>
      <c r="VNH104" s="140"/>
      <c r="VNI104" s="141"/>
      <c r="VNJ104" s="119"/>
      <c r="VNK104" s="128"/>
      <c r="VNL104" s="119"/>
      <c r="VNM104" s="141"/>
      <c r="VNN104" s="141"/>
      <c r="VNO104" s="132"/>
      <c r="VNP104" s="121"/>
      <c r="VNQ104" s="121"/>
      <c r="VNR104" s="121"/>
      <c r="VNS104" s="128"/>
      <c r="VNT104" s="128"/>
      <c r="VNU104" s="128"/>
      <c r="VNV104" s="128"/>
      <c r="VNW104" s="121"/>
      <c r="VNX104" s="121"/>
      <c r="VNY104" s="121"/>
      <c r="VNZ104" s="132"/>
      <c r="VOA104" s="132"/>
      <c r="VOB104" s="129"/>
      <c r="VOC104" s="130"/>
      <c r="VOD104" s="121"/>
      <c r="VOE104" s="121"/>
      <c r="VOF104" s="121"/>
      <c r="VOG104" s="130"/>
      <c r="VOH104" s="121"/>
      <c r="VOI104" s="130"/>
      <c r="VOJ104" s="122"/>
      <c r="VOK104" s="121"/>
      <c r="VOL104" s="121"/>
      <c r="VOM104" s="127"/>
      <c r="VON104" s="127"/>
      <c r="VOO104" s="120"/>
      <c r="VOP104" s="130"/>
      <c r="VOQ104" s="130"/>
      <c r="VOR104" s="139"/>
      <c r="VOS104" s="130"/>
      <c r="VOT104" s="130"/>
      <c r="VOU104" s="130"/>
      <c r="VOV104" s="130"/>
      <c r="VOW104" s="130"/>
      <c r="VOX104" s="140"/>
      <c r="VOY104" s="140"/>
      <c r="VOZ104" s="140"/>
      <c r="VPA104" s="141"/>
      <c r="VPB104" s="119"/>
      <c r="VPC104" s="128"/>
      <c r="VPD104" s="119"/>
      <c r="VPE104" s="141"/>
      <c r="VPF104" s="141"/>
      <c r="VPG104" s="132"/>
      <c r="VPH104" s="121"/>
      <c r="VPI104" s="121"/>
      <c r="VPJ104" s="121"/>
      <c r="VPK104" s="128"/>
      <c r="VPL104" s="128"/>
      <c r="VPM104" s="128"/>
      <c r="VPN104" s="128"/>
      <c r="VPO104" s="121"/>
      <c r="VPP104" s="121"/>
      <c r="VPQ104" s="121"/>
      <c r="VPR104" s="132"/>
      <c r="VPS104" s="132"/>
      <c r="VPT104" s="129"/>
      <c r="VPU104" s="130"/>
      <c r="VPV104" s="121"/>
      <c r="VPW104" s="121"/>
      <c r="VPX104" s="121"/>
      <c r="VPY104" s="130"/>
      <c r="VPZ104" s="121"/>
      <c r="VQA104" s="130"/>
      <c r="VQB104" s="122"/>
      <c r="VQC104" s="121"/>
      <c r="VQD104" s="121"/>
      <c r="VQE104" s="127"/>
      <c r="VQF104" s="127"/>
      <c r="VQG104" s="120"/>
      <c r="VQH104" s="130"/>
      <c r="VQI104" s="130"/>
      <c r="VQJ104" s="139"/>
      <c r="VQK104" s="130"/>
      <c r="VQL104" s="130"/>
      <c r="VQM104" s="130"/>
      <c r="VQN104" s="130"/>
      <c r="VQO104" s="130"/>
      <c r="VQP104" s="140"/>
      <c r="VQQ104" s="140"/>
      <c r="VQR104" s="140"/>
      <c r="VQS104" s="141"/>
      <c r="VQT104" s="119"/>
      <c r="VQU104" s="128"/>
      <c r="VQV104" s="119"/>
      <c r="VQW104" s="141"/>
      <c r="VQX104" s="141"/>
      <c r="VQY104" s="132"/>
      <c r="VQZ104" s="121"/>
      <c r="VRA104" s="121"/>
      <c r="VRB104" s="121"/>
      <c r="VRC104" s="128"/>
      <c r="VRD104" s="128"/>
      <c r="VRE104" s="128"/>
      <c r="VRF104" s="128"/>
      <c r="VRG104" s="121"/>
      <c r="VRH104" s="121"/>
      <c r="VRI104" s="121"/>
      <c r="VRJ104" s="132"/>
      <c r="VRK104" s="132"/>
      <c r="VRL104" s="129"/>
      <c r="VRM104" s="130"/>
      <c r="VRN104" s="121"/>
      <c r="VRO104" s="121"/>
      <c r="VRP104" s="121"/>
      <c r="VRQ104" s="130"/>
      <c r="VRR104" s="121"/>
      <c r="VRS104" s="130"/>
      <c r="VRT104" s="122"/>
      <c r="VRU104" s="121"/>
      <c r="VRV104" s="121"/>
      <c r="VRW104" s="127"/>
      <c r="VRX104" s="127"/>
      <c r="VRY104" s="120"/>
      <c r="VRZ104" s="130"/>
      <c r="VSA104" s="130"/>
      <c r="VSB104" s="139"/>
      <c r="VSC104" s="130"/>
      <c r="VSD104" s="130"/>
      <c r="VSE104" s="130"/>
      <c r="VSF104" s="130"/>
      <c r="VSG104" s="130"/>
      <c r="VSH104" s="140"/>
      <c r="VSI104" s="140"/>
      <c r="VSJ104" s="140"/>
      <c r="VSK104" s="141"/>
      <c r="VSL104" s="119"/>
      <c r="VSM104" s="128"/>
      <c r="VSN104" s="119"/>
      <c r="VSO104" s="141"/>
      <c r="VSP104" s="141"/>
      <c r="VSQ104" s="132"/>
      <c r="VSR104" s="121"/>
      <c r="VSS104" s="121"/>
      <c r="VST104" s="121"/>
      <c r="VSU104" s="128"/>
      <c r="VSV104" s="128"/>
      <c r="VSW104" s="128"/>
      <c r="VSX104" s="128"/>
      <c r="VSY104" s="121"/>
      <c r="VSZ104" s="121"/>
      <c r="VTA104" s="121"/>
      <c r="VTB104" s="132"/>
      <c r="VTC104" s="132"/>
      <c r="VTD104" s="129"/>
      <c r="VTE104" s="130"/>
      <c r="VTF104" s="121"/>
      <c r="VTG104" s="121"/>
      <c r="VTH104" s="121"/>
      <c r="VTI104" s="130"/>
      <c r="VTJ104" s="121"/>
      <c r="VTK104" s="130"/>
      <c r="VTL104" s="122"/>
      <c r="VTM104" s="121"/>
      <c r="VTN104" s="121"/>
      <c r="VTO104" s="127"/>
      <c r="VTP104" s="127"/>
      <c r="VTQ104" s="120"/>
      <c r="VTR104" s="130"/>
      <c r="VTS104" s="130"/>
      <c r="VTT104" s="139"/>
      <c r="VTU104" s="130"/>
      <c r="VTV104" s="130"/>
      <c r="VTW104" s="130"/>
      <c r="VTX104" s="130"/>
      <c r="VTY104" s="130"/>
      <c r="VTZ104" s="140"/>
      <c r="VUA104" s="140"/>
      <c r="VUB104" s="140"/>
      <c r="VUC104" s="141"/>
      <c r="VUD104" s="119"/>
      <c r="VUE104" s="128"/>
      <c r="VUF104" s="119"/>
      <c r="VUG104" s="141"/>
      <c r="VUH104" s="141"/>
      <c r="VUI104" s="132"/>
      <c r="VUJ104" s="121"/>
      <c r="VUK104" s="121"/>
      <c r="VUL104" s="121"/>
      <c r="VUM104" s="128"/>
      <c r="VUN104" s="128"/>
      <c r="VUO104" s="128"/>
      <c r="VUP104" s="128"/>
      <c r="VUQ104" s="121"/>
      <c r="VUR104" s="121"/>
      <c r="VUS104" s="121"/>
      <c r="VUT104" s="132"/>
      <c r="VUU104" s="132"/>
      <c r="VUV104" s="129"/>
      <c r="VUW104" s="130"/>
      <c r="VUX104" s="121"/>
      <c r="VUY104" s="121"/>
      <c r="VUZ104" s="121"/>
      <c r="VVA104" s="130"/>
      <c r="VVB104" s="121"/>
      <c r="VVC104" s="130"/>
      <c r="VVD104" s="122"/>
      <c r="VVE104" s="121"/>
      <c r="VVF104" s="121"/>
      <c r="VVG104" s="127"/>
      <c r="VVH104" s="127"/>
      <c r="VVI104" s="120"/>
      <c r="VVJ104" s="130"/>
      <c r="VVK104" s="130"/>
      <c r="VVL104" s="139"/>
      <c r="VVM104" s="130"/>
      <c r="VVN104" s="130"/>
      <c r="VVO104" s="130"/>
      <c r="VVP104" s="130"/>
      <c r="VVQ104" s="130"/>
      <c r="VVR104" s="140"/>
      <c r="VVS104" s="140"/>
      <c r="VVT104" s="140"/>
      <c r="VVU104" s="141"/>
      <c r="VVV104" s="119"/>
      <c r="VVW104" s="128"/>
      <c r="VVX104" s="119"/>
      <c r="VVY104" s="141"/>
      <c r="VVZ104" s="141"/>
      <c r="VWA104" s="132"/>
      <c r="VWB104" s="121"/>
      <c r="VWC104" s="121"/>
      <c r="VWD104" s="121"/>
      <c r="VWE104" s="128"/>
      <c r="VWF104" s="128"/>
      <c r="VWG104" s="128"/>
      <c r="VWH104" s="128"/>
      <c r="VWI104" s="121"/>
      <c r="VWJ104" s="121"/>
      <c r="VWK104" s="121"/>
      <c r="VWL104" s="132"/>
      <c r="VWM104" s="132"/>
      <c r="VWN104" s="129"/>
      <c r="VWO104" s="130"/>
      <c r="VWP104" s="121"/>
      <c r="VWQ104" s="121"/>
      <c r="VWR104" s="121"/>
      <c r="VWS104" s="130"/>
      <c r="VWT104" s="121"/>
      <c r="VWU104" s="130"/>
      <c r="VWV104" s="122"/>
      <c r="VWW104" s="121"/>
      <c r="VWX104" s="121"/>
      <c r="VWY104" s="127"/>
      <c r="VWZ104" s="127"/>
      <c r="VXA104" s="120"/>
      <c r="VXB104" s="130"/>
      <c r="VXC104" s="130"/>
      <c r="VXD104" s="139"/>
      <c r="VXE104" s="130"/>
      <c r="VXF104" s="130"/>
      <c r="VXG104" s="130"/>
      <c r="VXH104" s="130"/>
      <c r="VXI104" s="130"/>
      <c r="VXJ104" s="140"/>
      <c r="VXK104" s="140"/>
      <c r="VXL104" s="140"/>
      <c r="VXM104" s="141"/>
      <c r="VXN104" s="119"/>
      <c r="VXO104" s="128"/>
      <c r="VXP104" s="119"/>
      <c r="VXQ104" s="141"/>
      <c r="VXR104" s="141"/>
      <c r="VXS104" s="132"/>
      <c r="VXT104" s="121"/>
      <c r="VXU104" s="121"/>
      <c r="VXV104" s="121"/>
      <c r="VXW104" s="128"/>
      <c r="VXX104" s="128"/>
      <c r="VXY104" s="128"/>
      <c r="VXZ104" s="128"/>
      <c r="VYA104" s="121"/>
      <c r="VYB104" s="121"/>
      <c r="VYC104" s="121"/>
      <c r="VYD104" s="132"/>
      <c r="VYE104" s="132"/>
      <c r="VYF104" s="129"/>
      <c r="VYG104" s="130"/>
      <c r="VYH104" s="121"/>
      <c r="VYI104" s="121"/>
      <c r="VYJ104" s="121"/>
      <c r="VYK104" s="130"/>
      <c r="VYL104" s="121"/>
      <c r="VYM104" s="130"/>
      <c r="VYN104" s="122"/>
      <c r="VYO104" s="121"/>
      <c r="VYP104" s="121"/>
      <c r="VYQ104" s="127"/>
      <c r="VYR104" s="127"/>
      <c r="VYS104" s="120"/>
      <c r="VYT104" s="130"/>
      <c r="VYU104" s="130"/>
      <c r="VYV104" s="139"/>
      <c r="VYW104" s="130"/>
      <c r="VYX104" s="130"/>
      <c r="VYY104" s="130"/>
      <c r="VYZ104" s="130"/>
      <c r="VZA104" s="130"/>
      <c r="VZB104" s="140"/>
      <c r="VZC104" s="140"/>
      <c r="VZD104" s="140"/>
      <c r="VZE104" s="141"/>
      <c r="VZF104" s="119"/>
      <c r="VZG104" s="128"/>
      <c r="VZH104" s="119"/>
      <c r="VZI104" s="141"/>
      <c r="VZJ104" s="141"/>
      <c r="VZK104" s="132"/>
      <c r="VZL104" s="121"/>
      <c r="VZM104" s="121"/>
      <c r="VZN104" s="121"/>
      <c r="VZO104" s="128"/>
      <c r="VZP104" s="128"/>
      <c r="VZQ104" s="128"/>
      <c r="VZR104" s="128"/>
      <c r="VZS104" s="121"/>
      <c r="VZT104" s="121"/>
      <c r="VZU104" s="121"/>
      <c r="VZV104" s="132"/>
      <c r="VZW104" s="132"/>
      <c r="VZX104" s="129"/>
      <c r="VZY104" s="130"/>
      <c r="VZZ104" s="121"/>
      <c r="WAA104" s="121"/>
      <c r="WAB104" s="121"/>
      <c r="WAC104" s="130"/>
      <c r="WAD104" s="121"/>
      <c r="WAE104" s="130"/>
      <c r="WAF104" s="122"/>
      <c r="WAG104" s="121"/>
      <c r="WAH104" s="121"/>
      <c r="WAI104" s="127"/>
      <c r="WAJ104" s="127"/>
      <c r="WAK104" s="120"/>
      <c r="WAL104" s="130"/>
      <c r="WAM104" s="130"/>
      <c r="WAN104" s="139"/>
      <c r="WAO104" s="130"/>
      <c r="WAP104" s="130"/>
      <c r="WAQ104" s="130"/>
      <c r="WAR104" s="130"/>
      <c r="WAS104" s="130"/>
      <c r="WAT104" s="140"/>
      <c r="WAU104" s="140"/>
      <c r="WAV104" s="140"/>
      <c r="WAW104" s="141"/>
      <c r="WAX104" s="119"/>
      <c r="WAY104" s="128"/>
      <c r="WAZ104" s="119"/>
      <c r="WBA104" s="141"/>
      <c r="WBB104" s="141"/>
      <c r="WBC104" s="132"/>
      <c r="WBD104" s="121"/>
      <c r="WBE104" s="121"/>
      <c r="WBF104" s="121"/>
      <c r="WBG104" s="128"/>
      <c r="WBH104" s="128"/>
      <c r="WBI104" s="128"/>
      <c r="WBJ104" s="128"/>
      <c r="WBK104" s="121"/>
      <c r="WBL104" s="121"/>
      <c r="WBM104" s="121"/>
      <c r="WBN104" s="132"/>
      <c r="WBO104" s="132"/>
      <c r="WBP104" s="129"/>
      <c r="WBQ104" s="130"/>
      <c r="WBR104" s="121"/>
      <c r="WBS104" s="121"/>
      <c r="WBT104" s="121"/>
      <c r="WBU104" s="130"/>
      <c r="WBV104" s="121"/>
      <c r="WBW104" s="130"/>
      <c r="WBX104" s="122"/>
      <c r="WBY104" s="121"/>
      <c r="WBZ104" s="121"/>
      <c r="WCA104" s="127"/>
      <c r="WCB104" s="127"/>
      <c r="WCC104" s="120"/>
      <c r="WCD104" s="130"/>
      <c r="WCE104" s="130"/>
      <c r="WCF104" s="139"/>
      <c r="WCG104" s="130"/>
      <c r="WCH104" s="130"/>
      <c r="WCI104" s="130"/>
      <c r="WCJ104" s="130"/>
      <c r="WCK104" s="130"/>
      <c r="WCL104" s="140"/>
      <c r="WCM104" s="140"/>
      <c r="WCN104" s="140"/>
      <c r="WCO104" s="141"/>
      <c r="WCP104" s="119"/>
      <c r="WCQ104" s="128"/>
      <c r="WCR104" s="119"/>
      <c r="WCS104" s="141"/>
      <c r="WCT104" s="141"/>
      <c r="WCU104" s="132"/>
      <c r="WCV104" s="121"/>
      <c r="WCW104" s="121"/>
      <c r="WCX104" s="121"/>
      <c r="WCY104" s="128"/>
      <c r="WCZ104" s="128"/>
      <c r="WDA104" s="128"/>
      <c r="WDB104" s="128"/>
      <c r="WDC104" s="121"/>
      <c r="WDD104" s="121"/>
      <c r="WDE104" s="121"/>
      <c r="WDF104" s="132"/>
      <c r="WDG104" s="132"/>
      <c r="WDH104" s="129"/>
      <c r="WDI104" s="130"/>
      <c r="WDJ104" s="121"/>
      <c r="WDK104" s="121"/>
      <c r="WDL104" s="121"/>
      <c r="WDM104" s="130"/>
      <c r="WDN104" s="121"/>
      <c r="WDO104" s="130"/>
      <c r="WDP104" s="122"/>
      <c r="WDQ104" s="121"/>
      <c r="WDR104" s="121"/>
      <c r="WDS104" s="127"/>
      <c r="WDT104" s="127"/>
      <c r="WDU104" s="120"/>
      <c r="WDV104" s="130"/>
      <c r="WDW104" s="130"/>
      <c r="WDX104" s="139"/>
      <c r="WDY104" s="130"/>
      <c r="WDZ104" s="130"/>
      <c r="WEA104" s="130"/>
      <c r="WEB104" s="130"/>
      <c r="WEC104" s="130"/>
      <c r="WED104" s="140"/>
      <c r="WEE104" s="140"/>
      <c r="WEF104" s="140"/>
      <c r="WEG104" s="141"/>
      <c r="WEH104" s="119"/>
      <c r="WEI104" s="128"/>
      <c r="WEJ104" s="119"/>
      <c r="WEK104" s="141"/>
      <c r="WEL104" s="141"/>
      <c r="WEM104" s="132"/>
      <c r="WEN104" s="121"/>
      <c r="WEO104" s="121"/>
      <c r="WEP104" s="121"/>
      <c r="WEQ104" s="128"/>
      <c r="WER104" s="128"/>
      <c r="WES104" s="128"/>
      <c r="WET104" s="128"/>
      <c r="WEU104" s="121"/>
      <c r="WEV104" s="121"/>
      <c r="WEW104" s="121"/>
      <c r="WEX104" s="132"/>
      <c r="WEY104" s="132"/>
      <c r="WEZ104" s="129"/>
      <c r="WFA104" s="130"/>
      <c r="WFB104" s="121"/>
      <c r="WFC104" s="121"/>
      <c r="WFD104" s="121"/>
      <c r="WFE104" s="130"/>
      <c r="WFF104" s="121"/>
      <c r="WFG104" s="130"/>
      <c r="WFH104" s="122"/>
      <c r="WFI104" s="121"/>
      <c r="WFJ104" s="121"/>
      <c r="WFK104" s="127"/>
      <c r="WFL104" s="127"/>
      <c r="WFM104" s="120"/>
      <c r="WFN104" s="130"/>
      <c r="WFO104" s="130"/>
      <c r="WFP104" s="139"/>
      <c r="WFQ104" s="130"/>
      <c r="WFR104" s="130"/>
      <c r="WFS104" s="130"/>
      <c r="WFT104" s="130"/>
      <c r="WFU104" s="130"/>
      <c r="WFV104" s="140"/>
      <c r="WFW104" s="140"/>
      <c r="WFX104" s="140"/>
      <c r="WFY104" s="141"/>
      <c r="WFZ104" s="119"/>
      <c r="WGA104" s="128"/>
      <c r="WGB104" s="119"/>
      <c r="WGC104" s="141"/>
      <c r="WGD104" s="141"/>
      <c r="WGE104" s="132"/>
      <c r="WGF104" s="121"/>
      <c r="WGG104" s="121"/>
      <c r="WGH104" s="121"/>
      <c r="WGI104" s="128"/>
      <c r="WGJ104" s="128"/>
      <c r="WGK104" s="128"/>
      <c r="WGL104" s="128"/>
      <c r="WGM104" s="121"/>
      <c r="WGN104" s="121"/>
      <c r="WGO104" s="121"/>
      <c r="WGP104" s="132"/>
      <c r="WGQ104" s="132"/>
      <c r="WGR104" s="129"/>
      <c r="WGS104" s="130"/>
      <c r="WGT104" s="121"/>
      <c r="WGU104" s="121"/>
      <c r="WGV104" s="121"/>
      <c r="WGW104" s="130"/>
      <c r="WGX104" s="121"/>
      <c r="WGY104" s="130"/>
      <c r="WGZ104" s="122"/>
      <c r="WHA104" s="121"/>
      <c r="WHB104" s="121"/>
      <c r="WHC104" s="127"/>
      <c r="WHD104" s="127"/>
      <c r="WHE104" s="120"/>
      <c r="WHF104" s="130"/>
      <c r="WHG104" s="130"/>
      <c r="WHH104" s="139"/>
      <c r="WHI104" s="130"/>
      <c r="WHJ104" s="130"/>
      <c r="WHK104" s="130"/>
      <c r="WHL104" s="130"/>
      <c r="WHM104" s="130"/>
      <c r="WHN104" s="140"/>
      <c r="WHO104" s="140"/>
      <c r="WHP104" s="140"/>
      <c r="WHQ104" s="141"/>
      <c r="WHR104" s="119"/>
      <c r="WHS104" s="128"/>
      <c r="WHT104" s="119"/>
      <c r="WHU104" s="141"/>
      <c r="WHV104" s="141"/>
      <c r="WHW104" s="132"/>
      <c r="WHX104" s="121"/>
      <c r="WHY104" s="121"/>
      <c r="WHZ104" s="121"/>
      <c r="WIA104" s="128"/>
      <c r="WIB104" s="128"/>
      <c r="WIC104" s="128"/>
      <c r="WID104" s="128"/>
      <c r="WIE104" s="121"/>
      <c r="WIF104" s="121"/>
      <c r="WIG104" s="121"/>
      <c r="WIH104" s="132"/>
      <c r="WII104" s="132"/>
      <c r="WIJ104" s="129"/>
      <c r="WIK104" s="130"/>
      <c r="WIL104" s="121"/>
      <c r="WIM104" s="121"/>
      <c r="WIN104" s="121"/>
      <c r="WIO104" s="130"/>
      <c r="WIP104" s="121"/>
      <c r="WIQ104" s="130"/>
      <c r="WIR104" s="122"/>
      <c r="WIS104" s="121"/>
      <c r="WIT104" s="121"/>
      <c r="WIU104" s="127"/>
      <c r="WIV104" s="127"/>
      <c r="WIW104" s="120"/>
      <c r="WIX104" s="130"/>
      <c r="WIY104" s="130"/>
      <c r="WIZ104" s="139"/>
      <c r="WJA104" s="130"/>
      <c r="WJB104" s="130"/>
      <c r="WJC104" s="130"/>
      <c r="WJD104" s="130"/>
      <c r="WJE104" s="130"/>
      <c r="WJF104" s="140"/>
      <c r="WJG104" s="140"/>
      <c r="WJH104" s="140"/>
      <c r="WJI104" s="141"/>
      <c r="WJJ104" s="119"/>
      <c r="WJK104" s="128"/>
      <c r="WJL104" s="119"/>
      <c r="WJM104" s="141"/>
      <c r="WJN104" s="141"/>
      <c r="WJO104" s="132"/>
      <c r="WJP104" s="121"/>
      <c r="WJQ104" s="121"/>
      <c r="WJR104" s="121"/>
      <c r="WJS104" s="128"/>
      <c r="WJT104" s="128"/>
      <c r="WJU104" s="128"/>
      <c r="WJV104" s="128"/>
      <c r="WJW104" s="121"/>
      <c r="WJX104" s="121"/>
      <c r="WJY104" s="121"/>
      <c r="WJZ104" s="132"/>
      <c r="WKA104" s="132"/>
      <c r="WKB104" s="129"/>
      <c r="WKC104" s="130"/>
      <c r="WKD104" s="121"/>
      <c r="WKE104" s="121"/>
      <c r="WKF104" s="121"/>
      <c r="WKG104" s="130"/>
      <c r="WKH104" s="121"/>
      <c r="WKI104" s="130"/>
      <c r="WKJ104" s="122"/>
      <c r="WKK104" s="121"/>
      <c r="WKL104" s="121"/>
      <c r="WKM104" s="127"/>
      <c r="WKN104" s="127"/>
      <c r="WKO104" s="120"/>
      <c r="WKP104" s="130"/>
      <c r="WKQ104" s="130"/>
      <c r="WKR104" s="139"/>
      <c r="WKS104" s="130"/>
      <c r="WKT104" s="130"/>
      <c r="WKU104" s="130"/>
      <c r="WKV104" s="130"/>
      <c r="WKW104" s="130"/>
      <c r="WKX104" s="140"/>
      <c r="WKY104" s="140"/>
      <c r="WKZ104" s="140"/>
      <c r="WLA104" s="141"/>
      <c r="WLB104" s="119"/>
      <c r="WLC104" s="128"/>
      <c r="WLD104" s="119"/>
      <c r="WLE104" s="141"/>
      <c r="WLF104" s="141"/>
      <c r="WLG104" s="132"/>
      <c r="WLH104" s="121"/>
      <c r="WLI104" s="121"/>
      <c r="WLJ104" s="121"/>
      <c r="WLK104" s="128"/>
      <c r="WLL104" s="128"/>
      <c r="WLM104" s="128"/>
      <c r="WLN104" s="128"/>
      <c r="WLO104" s="121"/>
      <c r="WLP104" s="121"/>
      <c r="WLQ104" s="121"/>
      <c r="WLR104" s="132"/>
      <c r="WLS104" s="132"/>
      <c r="WLT104" s="129"/>
      <c r="WLU104" s="130"/>
      <c r="WLV104" s="121"/>
      <c r="WLW104" s="121"/>
      <c r="WLX104" s="121"/>
      <c r="WLY104" s="130"/>
      <c r="WLZ104" s="121"/>
      <c r="WMA104" s="130"/>
      <c r="WMB104" s="122"/>
      <c r="WMC104" s="121"/>
      <c r="WMD104" s="121"/>
      <c r="WME104" s="127"/>
      <c r="WMF104" s="127"/>
      <c r="WMG104" s="120"/>
      <c r="WMH104" s="130"/>
      <c r="WMI104" s="130"/>
      <c r="WMJ104" s="139"/>
      <c r="WMK104" s="130"/>
      <c r="WML104" s="130"/>
      <c r="WMM104" s="130"/>
      <c r="WMN104" s="130"/>
      <c r="WMO104" s="130"/>
      <c r="WMP104" s="140"/>
      <c r="WMQ104" s="140"/>
      <c r="WMR104" s="140"/>
      <c r="WMS104" s="141"/>
      <c r="WMT104" s="119"/>
      <c r="WMU104" s="128"/>
      <c r="WMV104" s="119"/>
      <c r="WMW104" s="141"/>
      <c r="WMX104" s="141"/>
      <c r="WMY104" s="132"/>
      <c r="WMZ104" s="121"/>
      <c r="WNA104" s="121"/>
      <c r="WNB104" s="121"/>
      <c r="WNC104" s="128"/>
      <c r="WND104" s="128"/>
      <c r="WNE104" s="128"/>
      <c r="WNF104" s="128"/>
      <c r="WNG104" s="121"/>
      <c r="WNH104" s="121"/>
      <c r="WNI104" s="121"/>
      <c r="WNJ104" s="132"/>
      <c r="WNK104" s="132"/>
      <c r="WNL104" s="129"/>
      <c r="WNM104" s="130"/>
      <c r="WNN104" s="121"/>
      <c r="WNO104" s="121"/>
      <c r="WNP104" s="121"/>
      <c r="WNQ104" s="130"/>
      <c r="WNR104" s="121"/>
      <c r="WNS104" s="130"/>
      <c r="WNT104" s="122"/>
      <c r="WNU104" s="121"/>
      <c r="WNV104" s="121"/>
      <c r="WNW104" s="127"/>
      <c r="WNX104" s="127"/>
      <c r="WNY104" s="120"/>
      <c r="WNZ104" s="130"/>
      <c r="WOA104" s="130"/>
      <c r="WOB104" s="139"/>
      <c r="WOC104" s="130"/>
      <c r="WOD104" s="130"/>
      <c r="WOE104" s="130"/>
      <c r="WOF104" s="130"/>
      <c r="WOG104" s="130"/>
      <c r="WOH104" s="140"/>
      <c r="WOI104" s="140"/>
      <c r="WOJ104" s="140"/>
      <c r="WOK104" s="141"/>
      <c r="WOL104" s="119"/>
      <c r="WOM104" s="128"/>
      <c r="WON104" s="119"/>
      <c r="WOO104" s="141"/>
      <c r="WOP104" s="141"/>
      <c r="WOQ104" s="132"/>
      <c r="WOR104" s="121"/>
      <c r="WOS104" s="121"/>
      <c r="WOT104" s="121"/>
      <c r="WOU104" s="128"/>
      <c r="WOV104" s="128"/>
      <c r="WOW104" s="128"/>
      <c r="WOX104" s="128"/>
      <c r="WOY104" s="121"/>
      <c r="WOZ104" s="121"/>
      <c r="WPA104" s="121"/>
      <c r="WPB104" s="132"/>
      <c r="WPC104" s="132"/>
      <c r="WPD104" s="129"/>
      <c r="WPE104" s="130"/>
      <c r="WPF104" s="121"/>
      <c r="WPG104" s="121"/>
      <c r="WPH104" s="121"/>
      <c r="WPI104" s="130"/>
      <c r="WPJ104" s="121"/>
      <c r="WPK104" s="130"/>
      <c r="WPL104" s="122"/>
      <c r="WPM104" s="121"/>
      <c r="WPN104" s="121"/>
      <c r="WPO104" s="127"/>
      <c r="WPP104" s="127"/>
      <c r="WPQ104" s="120"/>
      <c r="WPR104" s="130"/>
      <c r="WPS104" s="130"/>
      <c r="WPT104" s="139"/>
      <c r="WPU104" s="130"/>
      <c r="WPV104" s="130"/>
      <c r="WPW104" s="130"/>
      <c r="WPX104" s="130"/>
      <c r="WPY104" s="130"/>
      <c r="WPZ104" s="140"/>
      <c r="WQA104" s="140"/>
      <c r="WQB104" s="140"/>
      <c r="WQC104" s="141"/>
      <c r="WQD104" s="119"/>
      <c r="WQE104" s="128"/>
      <c r="WQF104" s="119"/>
      <c r="WQG104" s="141"/>
      <c r="WQH104" s="141"/>
      <c r="WQI104" s="132"/>
      <c r="WQJ104" s="121"/>
      <c r="WQK104" s="121"/>
      <c r="WQL104" s="121"/>
      <c r="WQM104" s="128"/>
      <c r="WQN104" s="128"/>
      <c r="WQO104" s="128"/>
      <c r="WQP104" s="128"/>
      <c r="WQQ104" s="121"/>
      <c r="WQR104" s="121"/>
      <c r="WQS104" s="121"/>
      <c r="WQT104" s="132"/>
      <c r="WQU104" s="132"/>
      <c r="WQV104" s="129"/>
      <c r="WQW104" s="130"/>
      <c r="WQX104" s="121"/>
      <c r="WQY104" s="121"/>
      <c r="WQZ104" s="121"/>
      <c r="WRA104" s="130"/>
      <c r="WRB104" s="121"/>
      <c r="WRC104" s="130"/>
      <c r="WRD104" s="122"/>
      <c r="WRE104" s="121"/>
      <c r="WRF104" s="121"/>
      <c r="WRG104" s="127"/>
      <c r="WRH104" s="127"/>
      <c r="WRI104" s="120"/>
      <c r="WRJ104" s="130"/>
      <c r="WRK104" s="130"/>
      <c r="WRL104" s="139"/>
      <c r="WRM104" s="130"/>
      <c r="WRN104" s="130"/>
      <c r="WRO104" s="130"/>
      <c r="WRP104" s="130"/>
      <c r="WRQ104" s="130"/>
      <c r="WRR104" s="140"/>
      <c r="WRS104" s="140"/>
      <c r="WRT104" s="140"/>
      <c r="WRU104" s="141"/>
      <c r="WRV104" s="119"/>
      <c r="WRW104" s="128"/>
      <c r="WRX104" s="119"/>
      <c r="WRY104" s="141"/>
      <c r="WRZ104" s="141"/>
      <c r="WSA104" s="132"/>
      <c r="WSB104" s="121"/>
      <c r="WSC104" s="121"/>
      <c r="WSD104" s="121"/>
      <c r="WSE104" s="128"/>
      <c r="WSF104" s="128"/>
      <c r="WSG104" s="128"/>
      <c r="WSH104" s="128"/>
      <c r="WSI104" s="121"/>
      <c r="WSJ104" s="121"/>
      <c r="WSK104" s="121"/>
      <c r="WSL104" s="132"/>
      <c r="WSM104" s="132"/>
      <c r="WSN104" s="129"/>
      <c r="WSO104" s="130"/>
      <c r="WSP104" s="121"/>
      <c r="WSQ104" s="121"/>
      <c r="WSR104" s="121"/>
      <c r="WSS104" s="130"/>
      <c r="WST104" s="121"/>
      <c r="WSU104" s="130"/>
      <c r="WSV104" s="122"/>
      <c r="WSW104" s="121"/>
      <c r="WSX104" s="121"/>
      <c r="WSY104" s="127"/>
      <c r="WSZ104" s="127"/>
      <c r="WTA104" s="120"/>
      <c r="WTB104" s="130"/>
      <c r="WTC104" s="130"/>
      <c r="WTD104" s="139"/>
      <c r="WTE104" s="130"/>
      <c r="WTF104" s="130"/>
      <c r="WTG104" s="130"/>
      <c r="WTH104" s="130"/>
      <c r="WTI104" s="130"/>
      <c r="WTJ104" s="140"/>
      <c r="WTK104" s="140"/>
      <c r="WTL104" s="140"/>
      <c r="WTM104" s="141"/>
      <c r="WTN104" s="119"/>
      <c r="WTO104" s="128"/>
      <c r="WTP104" s="119"/>
      <c r="WTQ104" s="141"/>
      <c r="WTR104" s="141"/>
      <c r="WTS104" s="132"/>
      <c r="WTT104" s="121"/>
      <c r="WTU104" s="121"/>
      <c r="WTV104" s="121"/>
      <c r="WTW104" s="128"/>
      <c r="WTX104" s="128"/>
      <c r="WTY104" s="128"/>
      <c r="WTZ104" s="128"/>
      <c r="WUA104" s="121"/>
      <c r="WUB104" s="121"/>
      <c r="WUC104" s="121"/>
      <c r="WUD104" s="132"/>
      <c r="WUE104" s="132"/>
      <c r="WUF104" s="129"/>
      <c r="WUG104" s="130"/>
      <c r="WUH104" s="121"/>
      <c r="WUI104" s="121"/>
      <c r="WUJ104" s="121"/>
      <c r="WUK104" s="130"/>
      <c r="WUL104" s="121"/>
      <c r="WUM104" s="130"/>
      <c r="WUN104" s="122"/>
      <c r="WUO104" s="121"/>
      <c r="WUP104" s="121"/>
      <c r="WUQ104" s="127"/>
      <c r="WUR104" s="127"/>
      <c r="WUS104" s="120"/>
      <c r="WUT104" s="130"/>
      <c r="WUU104" s="130"/>
      <c r="WUV104" s="139"/>
      <c r="WUW104" s="130"/>
      <c r="WUX104" s="130"/>
      <c r="WUY104" s="130"/>
      <c r="WUZ104" s="130"/>
      <c r="WVA104" s="130"/>
      <c r="WVB104" s="140"/>
      <c r="WVC104" s="140"/>
      <c r="WVD104" s="140"/>
      <c r="WVE104" s="141"/>
      <c r="WVF104" s="119"/>
      <c r="WVG104" s="128"/>
      <c r="WVH104" s="119"/>
      <c r="WVI104" s="141"/>
      <c r="WVJ104" s="141"/>
      <c r="WVK104" s="132"/>
      <c r="WVL104" s="121"/>
      <c r="WVM104" s="121"/>
      <c r="WVN104" s="121"/>
      <c r="WVO104" s="128"/>
      <c r="WVP104" s="128"/>
      <c r="WVQ104" s="128"/>
      <c r="WVR104" s="128"/>
      <c r="WVS104" s="121"/>
      <c r="WVT104" s="121"/>
      <c r="WVU104" s="121"/>
      <c r="WVV104" s="132"/>
      <c r="WVW104" s="132"/>
      <c r="WVX104" s="129"/>
      <c r="WVY104" s="130"/>
      <c r="WVZ104" s="121"/>
      <c r="WWA104" s="121"/>
      <c r="WWB104" s="121"/>
      <c r="WWC104" s="130"/>
      <c r="WWD104" s="121"/>
      <c r="WWE104" s="130"/>
      <c r="WWF104" s="122"/>
      <c r="WWG104" s="121"/>
      <c r="WWH104" s="121"/>
      <c r="WWI104" s="127"/>
      <c r="WWJ104" s="127"/>
      <c r="WWK104" s="120"/>
      <c r="WWL104" s="130"/>
      <c r="WWM104" s="130"/>
      <c r="WWN104" s="139"/>
      <c r="WWO104" s="130"/>
      <c r="WWP104" s="130"/>
      <c r="WWQ104" s="130"/>
      <c r="WWR104" s="130"/>
      <c r="WWS104" s="130"/>
      <c r="WWT104" s="140"/>
      <c r="WWU104" s="140"/>
      <c r="WWV104" s="140"/>
      <c r="WWW104" s="141"/>
      <c r="WWX104" s="119"/>
      <c r="WWY104" s="128"/>
      <c r="WWZ104" s="119"/>
      <c r="WXA104" s="141"/>
      <c r="WXB104" s="141"/>
      <c r="WXC104" s="132"/>
      <c r="WXD104" s="121"/>
      <c r="WXE104" s="121"/>
      <c r="WXF104" s="121"/>
      <c r="WXG104" s="128"/>
      <c r="WXH104" s="128"/>
      <c r="WXI104" s="128"/>
      <c r="WXJ104" s="128"/>
      <c r="WXK104" s="121"/>
      <c r="WXL104" s="121"/>
      <c r="WXM104" s="121"/>
      <c r="WXN104" s="132"/>
      <c r="WXO104" s="132"/>
      <c r="WXP104" s="129"/>
      <c r="WXQ104" s="130"/>
      <c r="WXR104" s="121"/>
      <c r="WXS104" s="121"/>
      <c r="WXT104" s="121"/>
      <c r="WXU104" s="130"/>
      <c r="WXV104" s="121"/>
      <c r="WXW104" s="130"/>
      <c r="WXX104" s="122"/>
      <c r="WXY104" s="121"/>
      <c r="WXZ104" s="121"/>
      <c r="WYA104" s="127"/>
      <c r="WYB104" s="127"/>
      <c r="WYC104" s="120"/>
      <c r="WYD104" s="130"/>
      <c r="WYE104" s="130"/>
      <c r="WYF104" s="139"/>
      <c r="WYG104" s="130"/>
      <c r="WYH104" s="130"/>
      <c r="WYI104" s="130"/>
      <c r="WYJ104" s="130"/>
      <c r="WYK104" s="130"/>
      <c r="WYL104" s="140"/>
      <c r="WYM104" s="140"/>
      <c r="WYN104" s="140"/>
      <c r="WYO104" s="141"/>
      <c r="WYP104" s="119"/>
      <c r="WYQ104" s="128"/>
      <c r="WYR104" s="119"/>
      <c r="WYS104" s="141"/>
      <c r="WYT104" s="141"/>
      <c r="WYU104" s="132"/>
      <c r="WYV104" s="121"/>
      <c r="WYW104" s="121"/>
      <c r="WYX104" s="121"/>
      <c r="WYY104" s="128"/>
      <c r="WYZ104" s="128"/>
      <c r="WZA104" s="128"/>
      <c r="WZB104" s="128"/>
      <c r="WZC104" s="121"/>
      <c r="WZD104" s="121"/>
      <c r="WZE104" s="121"/>
      <c r="WZF104" s="132"/>
      <c r="WZG104" s="132"/>
      <c r="WZH104" s="129"/>
      <c r="WZI104" s="130"/>
      <c r="WZJ104" s="121"/>
      <c r="WZK104" s="121"/>
      <c r="WZL104" s="121"/>
      <c r="WZM104" s="130"/>
      <c r="WZN104" s="121"/>
      <c r="WZO104" s="130"/>
      <c r="WZP104" s="122"/>
      <c r="WZQ104" s="121"/>
      <c r="WZR104" s="121"/>
      <c r="WZS104" s="127"/>
      <c r="WZT104" s="127"/>
      <c r="WZU104" s="120"/>
      <c r="WZV104" s="130"/>
      <c r="WZW104" s="130"/>
      <c r="WZX104" s="139"/>
      <c r="WZY104" s="130"/>
      <c r="WZZ104" s="130"/>
      <c r="XAA104" s="130"/>
      <c r="XAB104" s="130"/>
      <c r="XAC104" s="130"/>
      <c r="XAD104" s="140"/>
      <c r="XAE104" s="140"/>
      <c r="XAF104" s="140"/>
      <c r="XAG104" s="141"/>
      <c r="XAH104" s="119"/>
      <c r="XAI104" s="128"/>
      <c r="XAJ104" s="119"/>
      <c r="XAK104" s="141"/>
      <c r="XAL104" s="141"/>
      <c r="XAM104" s="132"/>
      <c r="XAN104" s="121"/>
      <c r="XAO104" s="121"/>
      <c r="XAP104" s="121"/>
      <c r="XAQ104" s="128"/>
      <c r="XAR104" s="128"/>
      <c r="XAS104" s="128"/>
      <c r="XAT104" s="128"/>
      <c r="XAU104" s="121"/>
      <c r="XAV104" s="121"/>
      <c r="XAW104" s="121"/>
      <c r="XAX104" s="132"/>
      <c r="XAY104" s="132"/>
      <c r="XAZ104" s="129"/>
      <c r="XBA104" s="130"/>
      <c r="XBB104" s="121"/>
      <c r="XBC104" s="121"/>
      <c r="XBD104" s="121"/>
      <c r="XBE104" s="130"/>
      <c r="XBF104" s="121"/>
      <c r="XBG104" s="130"/>
      <c r="XBH104" s="122"/>
      <c r="XBI104" s="121"/>
      <c r="XBJ104" s="121"/>
      <c r="XBK104" s="127"/>
      <c r="XBL104" s="127"/>
      <c r="XBM104" s="120"/>
      <c r="XBN104" s="130"/>
      <c r="XBO104" s="130"/>
      <c r="XBP104" s="139"/>
      <c r="XBQ104" s="130"/>
      <c r="XBR104" s="130"/>
      <c r="XBS104" s="130"/>
      <c r="XBT104" s="130"/>
      <c r="XBU104" s="130"/>
      <c r="XBV104" s="140"/>
      <c r="XBW104" s="140"/>
      <c r="XBX104" s="140"/>
      <c r="XBY104" s="141"/>
      <c r="XBZ104" s="119"/>
      <c r="XCA104" s="128"/>
      <c r="XCB104" s="119"/>
      <c r="XCC104" s="141"/>
      <c r="XCD104" s="141"/>
      <c r="XCE104" s="132"/>
      <c r="XCF104" s="121"/>
      <c r="XCG104" s="121"/>
      <c r="XCH104" s="121"/>
      <c r="XCI104" s="128"/>
      <c r="XCJ104" s="128"/>
      <c r="XCK104" s="128"/>
      <c r="XCL104" s="128"/>
      <c r="XCM104" s="121"/>
      <c r="XCN104" s="121"/>
      <c r="XCO104" s="121"/>
      <c r="XCP104" s="132"/>
      <c r="XCQ104" s="132"/>
      <c r="XCR104" s="129"/>
      <c r="XCS104" s="130"/>
      <c r="XCT104" s="121"/>
      <c r="XCU104" s="121"/>
      <c r="XCV104" s="121"/>
      <c r="XCW104" s="130"/>
      <c r="XCX104" s="121"/>
      <c r="XCY104" s="130"/>
      <c r="XCZ104" s="121"/>
      <c r="XDA104" s="121"/>
      <c r="XDB104" s="127"/>
      <c r="XDC104" s="127"/>
      <c r="XDD104" s="120"/>
      <c r="XDE104" s="130"/>
      <c r="XDF104" s="130"/>
      <c r="XDG104" s="139"/>
      <c r="XDH104" s="130"/>
      <c r="XDI104" s="130"/>
      <c r="XDJ104" s="130"/>
      <c r="XDK104" s="130"/>
      <c r="XDL104" s="130"/>
      <c r="XDM104" s="140"/>
      <c r="XDN104" s="140"/>
      <c r="XDO104" s="140"/>
      <c r="XDP104" s="141"/>
      <c r="XDQ104" s="119"/>
    </row>
    <row r="105" spans="1:16345" s="119" customFormat="1" ht="15" x14ac:dyDescent="0.25">
      <c r="A105" s="118" t="s">
        <v>214</v>
      </c>
      <c r="B105" s="119" t="s">
        <v>211</v>
      </c>
      <c r="C105" s="120" t="s">
        <v>1095</v>
      </c>
      <c r="D105" s="119" t="s">
        <v>1264</v>
      </c>
      <c r="E105" s="121">
        <v>301767.99585132569</v>
      </c>
      <c r="F105" s="121">
        <v>271591.19626619312</v>
      </c>
      <c r="G105" s="121">
        <v>241414.39668106055</v>
      </c>
      <c r="H105" s="122">
        <v>0</v>
      </c>
      <c r="I105" s="123" t="b">
        <v>0</v>
      </c>
      <c r="J105" s="122">
        <v>0.1378057261390695</v>
      </c>
      <c r="K105" s="121">
        <v>0</v>
      </c>
    </row>
    <row r="106" spans="1:16345" s="119" customFormat="1" ht="15" x14ac:dyDescent="0.25">
      <c r="A106" s="118" t="s">
        <v>672</v>
      </c>
      <c r="B106" s="119" t="s">
        <v>670</v>
      </c>
      <c r="C106" s="120" t="s">
        <v>1169</v>
      </c>
      <c r="D106" s="119" t="s">
        <v>29</v>
      </c>
      <c r="E106" s="121">
        <v>194993.85624309702</v>
      </c>
      <c r="F106" s="121">
        <v>185244.16343094216</v>
      </c>
      <c r="G106" s="121">
        <v>185244.16343094216</v>
      </c>
      <c r="H106" s="122">
        <v>0</v>
      </c>
      <c r="I106" s="119" t="b">
        <v>1</v>
      </c>
      <c r="J106" s="122">
        <v>0.44287469644829425</v>
      </c>
      <c r="K106" s="121">
        <v>0</v>
      </c>
    </row>
    <row r="107" spans="1:16345" s="119" customFormat="1" ht="15" x14ac:dyDescent="0.25">
      <c r="A107" s="118" t="s">
        <v>418</v>
      </c>
      <c r="B107" s="119" t="s">
        <v>416</v>
      </c>
      <c r="C107" s="120" t="s">
        <v>1189</v>
      </c>
      <c r="D107" s="119" t="s">
        <v>96</v>
      </c>
      <c r="E107" s="121">
        <v>288122</v>
      </c>
      <c r="F107" s="121">
        <v>288122</v>
      </c>
      <c r="G107" s="121">
        <v>288122</v>
      </c>
      <c r="H107" s="122">
        <v>0</v>
      </c>
      <c r="I107" s="119" t="b">
        <v>0</v>
      </c>
      <c r="J107" s="122">
        <v>0.17680000000000001</v>
      </c>
      <c r="K107" s="121">
        <v>0</v>
      </c>
    </row>
    <row r="108" spans="1:16345" s="107" customFormat="1" x14ac:dyDescent="0.25">
      <c r="A108" s="108"/>
      <c r="E108" s="109"/>
      <c r="G108" s="109"/>
      <c r="H108" s="110"/>
      <c r="J108" s="110"/>
      <c r="K108" s="109"/>
    </row>
    <row r="109" spans="1:16345" s="107" customFormat="1" x14ac:dyDescent="0.25">
      <c r="A109" s="108"/>
      <c r="E109" s="109"/>
      <c r="G109" s="109"/>
      <c r="H109" s="110"/>
      <c r="J109" s="110"/>
      <c r="K109" s="109"/>
    </row>
    <row r="110" spans="1:16345" s="107" customFormat="1" x14ac:dyDescent="0.25">
      <c r="A110" s="108"/>
      <c r="E110" s="109"/>
      <c r="G110" s="109"/>
      <c r="H110" s="110"/>
      <c r="J110" s="110"/>
      <c r="K110" s="109"/>
    </row>
    <row r="111" spans="1:16345" s="107" customFormat="1" x14ac:dyDescent="0.25">
      <c r="A111" s="108"/>
      <c r="E111" s="109"/>
      <c r="G111" s="109"/>
      <c r="H111" s="110"/>
      <c r="J111" s="110"/>
      <c r="K111" s="109"/>
    </row>
    <row r="112" spans="1:16345" s="107" customFormat="1" x14ac:dyDescent="0.25">
      <c r="A112" s="108"/>
      <c r="E112" s="109"/>
      <c r="G112" s="109"/>
      <c r="H112" s="110"/>
      <c r="J112" s="110"/>
      <c r="K112" s="109"/>
    </row>
    <row r="113" spans="1:11" s="107" customFormat="1" x14ac:dyDescent="0.25">
      <c r="A113" s="108"/>
      <c r="E113" s="109"/>
      <c r="G113" s="109"/>
      <c r="H113" s="110"/>
      <c r="J113" s="110"/>
      <c r="K113" s="109"/>
    </row>
    <row r="114" spans="1:11" s="107" customFormat="1" x14ac:dyDescent="0.25">
      <c r="A114" s="108"/>
      <c r="E114" s="109"/>
      <c r="G114" s="109"/>
      <c r="H114" s="110"/>
      <c r="J114" s="110"/>
      <c r="K114" s="109"/>
    </row>
    <row r="115" spans="1:11" s="107" customFormat="1" x14ac:dyDescent="0.25">
      <c r="A115" s="108"/>
      <c r="E115" s="109"/>
      <c r="G115" s="109"/>
      <c r="H115" s="110"/>
      <c r="J115" s="110"/>
      <c r="K115" s="109"/>
    </row>
    <row r="116" spans="1:11" s="107" customFormat="1" x14ac:dyDescent="0.25">
      <c r="A116" s="108"/>
      <c r="E116" s="109"/>
      <c r="G116" s="109"/>
      <c r="H116" s="110"/>
      <c r="J116" s="110"/>
      <c r="K116" s="109"/>
    </row>
    <row r="117" spans="1:11" s="107" customFormat="1" x14ac:dyDescent="0.25">
      <c r="A117" s="108"/>
      <c r="E117" s="109"/>
      <c r="G117" s="109"/>
      <c r="H117" s="110"/>
      <c r="J117" s="110"/>
      <c r="K117" s="109"/>
    </row>
    <row r="118" spans="1:11" s="107" customFormat="1" x14ac:dyDescent="0.25">
      <c r="A118" s="108"/>
      <c r="E118" s="109"/>
      <c r="G118" s="109"/>
      <c r="H118" s="110"/>
      <c r="J118" s="110"/>
      <c r="K118" s="109"/>
    </row>
    <row r="119" spans="1:11" s="107" customFormat="1" x14ac:dyDescent="0.25">
      <c r="A119" s="108"/>
      <c r="E119" s="109"/>
      <c r="G119" s="109"/>
      <c r="H119" s="110"/>
      <c r="J119" s="110"/>
      <c r="K119" s="109"/>
    </row>
    <row r="120" spans="1:11" s="107" customFormat="1" x14ac:dyDescent="0.25">
      <c r="A120" s="108"/>
      <c r="E120" s="109"/>
      <c r="G120" s="109"/>
      <c r="H120" s="110"/>
      <c r="J120" s="110"/>
      <c r="K120" s="109"/>
    </row>
    <row r="121" spans="1:11" s="107" customFormat="1" x14ac:dyDescent="0.25">
      <c r="A121" s="108"/>
      <c r="E121" s="109"/>
      <c r="G121" s="109"/>
      <c r="H121" s="110"/>
      <c r="J121" s="110"/>
      <c r="K121" s="109"/>
    </row>
    <row r="122" spans="1:11" s="107" customFormat="1" x14ac:dyDescent="0.25">
      <c r="A122" s="108"/>
      <c r="E122" s="109"/>
      <c r="G122" s="109"/>
      <c r="H122" s="110"/>
      <c r="J122" s="110"/>
      <c r="K122" s="109"/>
    </row>
    <row r="123" spans="1:11" s="107" customFormat="1" x14ac:dyDescent="0.25">
      <c r="A123" s="108"/>
      <c r="E123" s="109"/>
      <c r="G123" s="109"/>
      <c r="H123" s="110"/>
      <c r="J123" s="110"/>
      <c r="K123" s="109"/>
    </row>
    <row r="124" spans="1:11" s="107" customFormat="1" x14ac:dyDescent="0.25">
      <c r="A124" s="108"/>
      <c r="E124" s="109"/>
      <c r="G124" s="109"/>
      <c r="H124" s="110"/>
      <c r="J124" s="110"/>
      <c r="K124" s="109"/>
    </row>
    <row r="125" spans="1:11" s="107" customFormat="1" x14ac:dyDescent="0.25">
      <c r="A125" s="108"/>
      <c r="E125" s="109"/>
      <c r="G125" s="109"/>
      <c r="H125" s="110"/>
      <c r="J125" s="110"/>
      <c r="K125" s="109"/>
    </row>
    <row r="126" spans="1:11" s="107" customFormat="1" x14ac:dyDescent="0.25">
      <c r="A126" s="108"/>
      <c r="E126" s="109"/>
      <c r="G126" s="109"/>
      <c r="H126" s="110"/>
      <c r="J126" s="110"/>
      <c r="K126" s="109"/>
    </row>
    <row r="127" spans="1:11" s="107" customFormat="1" x14ac:dyDescent="0.25">
      <c r="A127" s="108"/>
      <c r="E127" s="109"/>
      <c r="G127" s="109"/>
      <c r="H127" s="110"/>
      <c r="J127" s="110"/>
      <c r="K127" s="109"/>
    </row>
    <row r="128" spans="1:11" s="107" customFormat="1" x14ac:dyDescent="0.25">
      <c r="A128" s="108"/>
      <c r="E128" s="109"/>
      <c r="G128" s="109"/>
      <c r="H128" s="110"/>
      <c r="J128" s="110"/>
      <c r="K128" s="109"/>
    </row>
    <row r="129" spans="1:11" s="107" customFormat="1" x14ac:dyDescent="0.25">
      <c r="A129" s="108"/>
      <c r="E129" s="109"/>
      <c r="G129" s="109"/>
      <c r="H129" s="110"/>
      <c r="J129" s="110"/>
      <c r="K129" s="109"/>
    </row>
    <row r="130" spans="1:11" s="107" customFormat="1" x14ac:dyDescent="0.25">
      <c r="A130" s="108"/>
      <c r="E130" s="109"/>
      <c r="G130" s="109"/>
      <c r="H130" s="110"/>
      <c r="J130" s="110"/>
      <c r="K130" s="109"/>
    </row>
    <row r="131" spans="1:11" s="107" customFormat="1" x14ac:dyDescent="0.25">
      <c r="A131" s="108"/>
      <c r="E131" s="109"/>
      <c r="G131" s="109"/>
      <c r="H131" s="110"/>
      <c r="J131" s="110"/>
      <c r="K131" s="109"/>
    </row>
    <row r="132" spans="1:11" s="107" customFormat="1" x14ac:dyDescent="0.25">
      <c r="A132" s="108"/>
      <c r="E132" s="109"/>
      <c r="G132" s="109"/>
      <c r="H132" s="110"/>
      <c r="J132" s="110"/>
      <c r="K132" s="109"/>
    </row>
    <row r="133" spans="1:11" s="107" customFormat="1" x14ac:dyDescent="0.25">
      <c r="A133" s="108"/>
      <c r="E133" s="109"/>
      <c r="G133" s="109"/>
      <c r="H133" s="110"/>
      <c r="J133" s="110"/>
      <c r="K133" s="109"/>
    </row>
    <row r="134" spans="1:11" s="107" customFormat="1" x14ac:dyDescent="0.25">
      <c r="A134" s="108"/>
      <c r="E134" s="109"/>
      <c r="G134" s="109"/>
      <c r="H134" s="110"/>
      <c r="J134" s="110"/>
      <c r="K134" s="109"/>
    </row>
    <row r="135" spans="1:11" s="107" customFormat="1" x14ac:dyDescent="0.25">
      <c r="A135" s="108"/>
      <c r="E135" s="109"/>
      <c r="G135" s="109"/>
      <c r="H135" s="110"/>
      <c r="J135" s="110"/>
      <c r="K135" s="109"/>
    </row>
    <row r="136" spans="1:11" s="107" customFormat="1" x14ac:dyDescent="0.25">
      <c r="A136" s="108"/>
      <c r="E136" s="109"/>
      <c r="G136" s="109"/>
      <c r="H136" s="110"/>
      <c r="J136" s="110"/>
      <c r="K136" s="109"/>
    </row>
    <row r="137" spans="1:11" s="107" customFormat="1" x14ac:dyDescent="0.25">
      <c r="A137" s="108"/>
      <c r="E137" s="109"/>
      <c r="G137" s="109"/>
      <c r="H137" s="110"/>
      <c r="J137" s="110"/>
      <c r="K137" s="109"/>
    </row>
    <row r="138" spans="1:11" s="107" customFormat="1" x14ac:dyDescent="0.25">
      <c r="A138" s="108"/>
      <c r="E138" s="109"/>
      <c r="G138" s="109"/>
      <c r="H138" s="110"/>
      <c r="J138" s="110"/>
      <c r="K138" s="109"/>
    </row>
    <row r="139" spans="1:11" s="107" customFormat="1" x14ac:dyDescent="0.25">
      <c r="A139" s="108"/>
      <c r="E139" s="109"/>
      <c r="G139" s="109"/>
      <c r="H139" s="110"/>
      <c r="J139" s="110"/>
      <c r="K139" s="109"/>
    </row>
    <row r="140" spans="1:11" s="107" customFormat="1" x14ac:dyDescent="0.25">
      <c r="A140" s="108"/>
      <c r="E140" s="109"/>
      <c r="G140" s="109"/>
      <c r="H140" s="110"/>
      <c r="J140" s="110"/>
      <c r="K140" s="109"/>
    </row>
    <row r="141" spans="1:11" s="107" customFormat="1" x14ac:dyDescent="0.25">
      <c r="A141" s="108"/>
      <c r="E141" s="109"/>
      <c r="G141" s="109"/>
      <c r="H141" s="110"/>
      <c r="J141" s="110"/>
      <c r="K141" s="109"/>
    </row>
    <row r="142" spans="1:11" s="107" customFormat="1" x14ac:dyDescent="0.25">
      <c r="A142" s="108"/>
      <c r="E142" s="109"/>
      <c r="G142" s="109"/>
      <c r="H142" s="110"/>
      <c r="J142" s="110"/>
      <c r="K142" s="109"/>
    </row>
    <row r="143" spans="1:11" s="107" customFormat="1" x14ac:dyDescent="0.25">
      <c r="A143" s="108"/>
      <c r="E143" s="109"/>
      <c r="G143" s="109"/>
      <c r="H143" s="110"/>
      <c r="J143" s="110"/>
      <c r="K143" s="109"/>
    </row>
    <row r="144" spans="1:11" s="107" customFormat="1" x14ac:dyDescent="0.25">
      <c r="A144" s="108"/>
      <c r="E144" s="109"/>
      <c r="G144" s="109"/>
      <c r="H144" s="110"/>
      <c r="J144" s="110"/>
      <c r="K144" s="109"/>
    </row>
    <row r="145" spans="1:11" s="107" customFormat="1" x14ac:dyDescent="0.25">
      <c r="A145" s="108"/>
      <c r="E145" s="109"/>
      <c r="G145" s="109"/>
      <c r="H145" s="110"/>
      <c r="J145" s="110"/>
      <c r="K145" s="109"/>
    </row>
    <row r="146" spans="1:11" s="107" customFormat="1" x14ac:dyDescent="0.25">
      <c r="A146" s="108"/>
      <c r="E146" s="109"/>
      <c r="G146" s="109"/>
      <c r="H146" s="110"/>
      <c r="J146" s="110"/>
      <c r="K146" s="109"/>
    </row>
    <row r="147" spans="1:11" s="107" customFormat="1" x14ac:dyDescent="0.25">
      <c r="A147" s="108"/>
      <c r="E147" s="109"/>
      <c r="G147" s="109"/>
      <c r="H147" s="110"/>
      <c r="J147" s="110"/>
      <c r="K147" s="109"/>
    </row>
    <row r="148" spans="1:11" s="107" customFormat="1" x14ac:dyDescent="0.25">
      <c r="A148" s="108"/>
      <c r="E148" s="109"/>
      <c r="G148" s="109"/>
      <c r="H148" s="110"/>
      <c r="J148" s="110"/>
      <c r="K148" s="109"/>
    </row>
    <row r="149" spans="1:11" s="107" customFormat="1" x14ac:dyDescent="0.25">
      <c r="A149" s="108"/>
      <c r="E149" s="109"/>
      <c r="G149" s="109"/>
      <c r="H149" s="110"/>
      <c r="J149" s="110"/>
      <c r="K149" s="109"/>
    </row>
    <row r="150" spans="1:11" s="107" customFormat="1" x14ac:dyDescent="0.25">
      <c r="A150" s="108"/>
      <c r="E150" s="109"/>
      <c r="G150" s="109"/>
      <c r="H150" s="110"/>
      <c r="J150" s="110"/>
      <c r="K150" s="109"/>
    </row>
    <row r="151" spans="1:11" s="107" customFormat="1" x14ac:dyDescent="0.25">
      <c r="A151" s="108"/>
      <c r="E151" s="109"/>
      <c r="G151" s="109"/>
      <c r="H151" s="110"/>
      <c r="J151" s="110"/>
      <c r="K151" s="109"/>
    </row>
    <row r="152" spans="1:11" s="107" customFormat="1" x14ac:dyDescent="0.25">
      <c r="A152" s="108"/>
      <c r="E152" s="109"/>
      <c r="G152" s="109"/>
      <c r="H152" s="110"/>
      <c r="J152" s="110"/>
      <c r="K152" s="109"/>
    </row>
    <row r="153" spans="1:11" s="107" customFormat="1" x14ac:dyDescent="0.25">
      <c r="A153" s="108"/>
      <c r="E153" s="109"/>
      <c r="G153" s="109"/>
      <c r="H153" s="110"/>
      <c r="J153" s="110"/>
      <c r="K153" s="109"/>
    </row>
    <row r="154" spans="1:11" s="107" customFormat="1" x14ac:dyDescent="0.25">
      <c r="A154" s="108"/>
      <c r="E154" s="109"/>
      <c r="G154" s="109"/>
      <c r="H154" s="110"/>
      <c r="J154" s="110"/>
      <c r="K154" s="109"/>
    </row>
    <row r="155" spans="1:11" s="107" customFormat="1" x14ac:dyDescent="0.25">
      <c r="A155" s="108"/>
      <c r="E155" s="109"/>
      <c r="G155" s="109"/>
      <c r="H155" s="110"/>
      <c r="J155" s="110"/>
      <c r="K155" s="109"/>
    </row>
    <row r="156" spans="1:11" x14ac:dyDescent="0.25">
      <c r="A156" s="103"/>
      <c r="B156" s="104"/>
      <c r="C156" s="104"/>
      <c r="D156" s="104"/>
      <c r="E156" s="105"/>
      <c r="F156" s="104"/>
      <c r="G156" s="105"/>
      <c r="H156" s="106"/>
      <c r="I156" s="104"/>
      <c r="J156" s="106"/>
      <c r="K156" s="105"/>
    </row>
    <row r="157" spans="1:11" x14ac:dyDescent="0.25">
      <c r="A157" s="103"/>
      <c r="B157" s="104"/>
      <c r="C157" s="104"/>
      <c r="D157" s="104"/>
      <c r="E157" s="105"/>
      <c r="F157" s="104"/>
      <c r="G157" s="105"/>
      <c r="H157" s="106"/>
      <c r="I157" s="104"/>
      <c r="J157" s="106"/>
      <c r="K157" s="105"/>
    </row>
    <row r="158" spans="1:11" x14ac:dyDescent="0.25">
      <c r="A158" s="103"/>
      <c r="B158" s="104"/>
      <c r="C158" s="104"/>
      <c r="D158" s="104"/>
      <c r="E158" s="105"/>
      <c r="F158" s="104"/>
      <c r="G158" s="105"/>
      <c r="H158" s="106"/>
      <c r="I158" s="104"/>
      <c r="J158" s="106"/>
      <c r="K158" s="105"/>
    </row>
    <row r="159" spans="1:11" x14ac:dyDescent="0.25">
      <c r="A159" s="103"/>
      <c r="B159" s="104"/>
      <c r="C159" s="104"/>
      <c r="D159" s="104"/>
      <c r="E159" s="105"/>
      <c r="F159" s="104"/>
      <c r="G159" s="105"/>
      <c r="H159" s="106"/>
      <c r="I159" s="104"/>
      <c r="J159" s="106"/>
      <c r="K159" s="105"/>
    </row>
    <row r="160" spans="1:11" x14ac:dyDescent="0.25">
      <c r="A160" s="103"/>
      <c r="B160" s="104"/>
      <c r="C160" s="104"/>
      <c r="D160" s="104"/>
      <c r="E160" s="105"/>
      <c r="F160" s="104"/>
      <c r="G160" s="105"/>
      <c r="H160" s="106"/>
      <c r="I160" s="104"/>
      <c r="J160" s="106"/>
      <c r="K160" s="105"/>
    </row>
    <row r="161" spans="1:11" x14ac:dyDescent="0.25">
      <c r="A161" s="103"/>
      <c r="B161" s="104"/>
      <c r="C161" s="104"/>
      <c r="D161" s="104"/>
      <c r="E161" s="105"/>
      <c r="F161" s="104"/>
      <c r="G161" s="105"/>
      <c r="H161" s="106"/>
      <c r="I161" s="104"/>
      <c r="J161" s="106"/>
      <c r="K161" s="105"/>
    </row>
    <row r="162" spans="1:11" x14ac:dyDescent="0.25">
      <c r="A162" s="103"/>
      <c r="B162" s="104"/>
      <c r="C162" s="104"/>
      <c r="D162" s="104"/>
      <c r="E162" s="105"/>
      <c r="F162" s="104"/>
      <c r="G162" s="105"/>
      <c r="H162" s="106"/>
      <c r="I162" s="104"/>
      <c r="J162" s="106"/>
      <c r="K162" s="105"/>
    </row>
    <row r="163" spans="1:11" x14ac:dyDescent="0.25">
      <c r="A163" s="103"/>
      <c r="B163" s="104"/>
      <c r="C163" s="104"/>
      <c r="D163" s="104"/>
      <c r="E163" s="105"/>
      <c r="F163" s="104"/>
      <c r="G163" s="105"/>
      <c r="H163" s="106"/>
      <c r="I163" s="104"/>
      <c r="J163" s="106"/>
      <c r="K163" s="105"/>
    </row>
    <row r="164" spans="1:11" x14ac:dyDescent="0.25">
      <c r="A164" s="103"/>
      <c r="B164" s="104"/>
      <c r="C164" s="104"/>
      <c r="D164" s="104"/>
      <c r="E164" s="105"/>
      <c r="F164" s="104"/>
      <c r="G164" s="105"/>
      <c r="H164" s="106"/>
      <c r="I164" s="104"/>
      <c r="J164" s="106"/>
      <c r="K164" s="105"/>
    </row>
    <row r="165" spans="1:11" x14ac:dyDescent="0.25">
      <c r="A165" s="103"/>
      <c r="B165" s="104"/>
      <c r="C165" s="104"/>
      <c r="D165" s="104"/>
      <c r="E165" s="105"/>
      <c r="F165" s="104"/>
      <c r="G165" s="105"/>
      <c r="H165" s="106"/>
      <c r="I165" s="104"/>
      <c r="J165" s="106"/>
      <c r="K165" s="105"/>
    </row>
    <row r="166" spans="1:11" x14ac:dyDescent="0.25">
      <c r="A166" s="103"/>
      <c r="B166" s="104"/>
      <c r="C166" s="104"/>
      <c r="D166" s="104"/>
      <c r="E166" s="105"/>
      <c r="F166" s="104"/>
      <c r="G166" s="105"/>
      <c r="H166" s="106"/>
      <c r="I166" s="104"/>
      <c r="J166" s="106"/>
      <c r="K166" s="105"/>
    </row>
    <row r="167" spans="1:11" x14ac:dyDescent="0.25">
      <c r="A167" s="103"/>
      <c r="B167" s="104"/>
      <c r="C167" s="104"/>
      <c r="D167" s="104"/>
      <c r="E167" s="105"/>
      <c r="F167" s="104"/>
      <c r="G167" s="105"/>
      <c r="H167" s="106"/>
      <c r="I167" s="104"/>
      <c r="J167" s="106"/>
      <c r="K167" s="105"/>
    </row>
    <row r="168" spans="1:11" x14ac:dyDescent="0.25">
      <c r="A168" s="103"/>
      <c r="B168" s="104"/>
      <c r="C168" s="104"/>
      <c r="D168" s="104"/>
      <c r="E168" s="105"/>
      <c r="F168" s="104"/>
      <c r="G168" s="105"/>
      <c r="H168" s="106"/>
      <c r="I168" s="104"/>
      <c r="J168" s="106"/>
      <c r="K168" s="105"/>
    </row>
    <row r="169" spans="1:11" x14ac:dyDescent="0.25">
      <c r="A169" s="103"/>
      <c r="B169" s="104"/>
      <c r="C169" s="104"/>
      <c r="D169" s="104"/>
      <c r="E169" s="105"/>
      <c r="F169" s="104"/>
      <c r="G169" s="105"/>
      <c r="H169" s="106"/>
      <c r="I169" s="104"/>
      <c r="J169" s="106"/>
      <c r="K169" s="105"/>
    </row>
    <row r="170" spans="1:11" x14ac:dyDescent="0.25">
      <c r="A170" s="103"/>
      <c r="B170" s="104"/>
      <c r="C170" s="104"/>
      <c r="D170" s="104"/>
      <c r="E170" s="105"/>
      <c r="F170" s="104"/>
      <c r="G170" s="105"/>
      <c r="H170" s="106"/>
      <c r="I170" s="104"/>
      <c r="J170" s="106"/>
      <c r="K170" s="105"/>
    </row>
    <row r="171" spans="1:11" x14ac:dyDescent="0.25">
      <c r="A171" s="103"/>
      <c r="B171" s="104"/>
      <c r="C171" s="104"/>
      <c r="D171" s="104"/>
      <c r="E171" s="105"/>
      <c r="F171" s="104"/>
      <c r="G171" s="105"/>
      <c r="H171" s="106"/>
      <c r="I171" s="104"/>
      <c r="J171" s="106"/>
      <c r="K171" s="105"/>
    </row>
    <row r="172" spans="1:11" x14ac:dyDescent="0.25">
      <c r="A172" s="103"/>
      <c r="B172" s="104"/>
      <c r="C172" s="104"/>
      <c r="D172" s="104"/>
      <c r="E172" s="105"/>
      <c r="F172" s="104"/>
      <c r="G172" s="105"/>
      <c r="H172" s="106"/>
      <c r="I172" s="104"/>
      <c r="J172" s="106"/>
      <c r="K172" s="105"/>
    </row>
    <row r="173" spans="1:11" x14ac:dyDescent="0.25">
      <c r="A173" s="103"/>
      <c r="B173" s="104"/>
      <c r="C173" s="104"/>
      <c r="D173" s="104"/>
      <c r="E173" s="105"/>
      <c r="F173" s="104"/>
      <c r="G173" s="105"/>
      <c r="H173" s="106"/>
      <c r="I173" s="104"/>
      <c r="J173" s="106"/>
      <c r="K173" s="105"/>
    </row>
    <row r="174" spans="1:11" x14ac:dyDescent="0.25">
      <c r="A174" s="103"/>
      <c r="B174" s="104"/>
      <c r="C174" s="104"/>
      <c r="D174" s="104"/>
      <c r="E174" s="105"/>
      <c r="F174" s="104"/>
      <c r="G174" s="105"/>
      <c r="H174" s="106"/>
      <c r="I174" s="104"/>
      <c r="J174" s="106"/>
      <c r="K174" s="105"/>
    </row>
    <row r="175" spans="1:11" x14ac:dyDescent="0.25">
      <c r="A175" s="103"/>
      <c r="B175" s="104"/>
      <c r="C175" s="104"/>
      <c r="D175" s="104"/>
      <c r="E175" s="105"/>
      <c r="F175" s="104"/>
      <c r="G175" s="105"/>
      <c r="H175" s="106"/>
      <c r="I175" s="104"/>
      <c r="J175" s="106"/>
      <c r="K175" s="105"/>
    </row>
    <row r="176" spans="1:11" x14ac:dyDescent="0.25">
      <c r="A176" s="103"/>
      <c r="B176" s="104"/>
      <c r="C176" s="104"/>
      <c r="D176" s="104"/>
      <c r="E176" s="105"/>
      <c r="F176" s="104"/>
      <c r="G176" s="105"/>
      <c r="H176" s="106"/>
      <c r="I176" s="104"/>
      <c r="J176" s="106"/>
      <c r="K176" s="105"/>
    </row>
    <row r="177" spans="1:11" x14ac:dyDescent="0.25">
      <c r="A177" s="103"/>
      <c r="B177" s="104"/>
      <c r="C177" s="104"/>
      <c r="D177" s="104"/>
      <c r="E177" s="105"/>
      <c r="F177" s="104"/>
      <c r="G177" s="105"/>
      <c r="H177" s="106"/>
      <c r="I177" s="104"/>
      <c r="J177" s="106"/>
      <c r="K177" s="105"/>
    </row>
    <row r="178" spans="1:11" x14ac:dyDescent="0.25">
      <c r="A178" s="103"/>
      <c r="B178" s="104"/>
      <c r="C178" s="104"/>
      <c r="D178" s="104"/>
      <c r="E178" s="105"/>
      <c r="F178" s="104"/>
      <c r="G178" s="105"/>
      <c r="H178" s="106"/>
      <c r="I178" s="104"/>
      <c r="J178" s="106"/>
      <c r="K178" s="105"/>
    </row>
    <row r="179" spans="1:11" x14ac:dyDescent="0.25">
      <c r="A179" s="103"/>
      <c r="B179" s="104"/>
      <c r="C179" s="104"/>
      <c r="D179" s="104"/>
      <c r="E179" s="105"/>
      <c r="F179" s="104"/>
      <c r="G179" s="105"/>
      <c r="H179" s="106"/>
      <c r="I179" s="104"/>
      <c r="J179" s="106"/>
      <c r="K179" s="105"/>
    </row>
    <row r="180" spans="1:11" x14ac:dyDescent="0.25">
      <c r="A180" s="103"/>
      <c r="B180" s="104"/>
      <c r="C180" s="104"/>
      <c r="D180" s="104"/>
      <c r="E180" s="105"/>
      <c r="F180" s="104"/>
      <c r="G180" s="105"/>
      <c r="H180" s="106"/>
      <c r="I180" s="104"/>
      <c r="J180" s="106"/>
      <c r="K180" s="105"/>
    </row>
    <row r="181" spans="1:11" x14ac:dyDescent="0.25">
      <c r="A181" s="103"/>
      <c r="B181" s="104"/>
      <c r="C181" s="104"/>
      <c r="D181" s="104"/>
      <c r="E181" s="105"/>
      <c r="F181" s="104"/>
      <c r="G181" s="105"/>
      <c r="H181" s="106"/>
      <c r="I181" s="104"/>
      <c r="J181" s="106"/>
      <c r="K181" s="105"/>
    </row>
    <row r="182" spans="1:11" x14ac:dyDescent="0.25">
      <c r="A182" s="103"/>
      <c r="B182" s="104"/>
      <c r="C182" s="104"/>
      <c r="D182" s="104"/>
      <c r="E182" s="105"/>
      <c r="F182" s="104"/>
      <c r="G182" s="105"/>
      <c r="H182" s="106"/>
      <c r="I182" s="104"/>
      <c r="J182" s="106"/>
      <c r="K182" s="105"/>
    </row>
    <row r="183" spans="1:11" x14ac:dyDescent="0.25">
      <c r="A183" s="103"/>
      <c r="B183" s="104"/>
      <c r="C183" s="104"/>
      <c r="D183" s="104"/>
      <c r="E183" s="105"/>
      <c r="F183" s="104"/>
      <c r="G183" s="105"/>
      <c r="H183" s="106"/>
      <c r="I183" s="104"/>
      <c r="J183" s="106"/>
      <c r="K183" s="105"/>
    </row>
    <row r="184" spans="1:11" x14ac:dyDescent="0.25">
      <c r="A184" s="103"/>
      <c r="B184" s="104"/>
      <c r="C184" s="104"/>
      <c r="D184" s="104"/>
      <c r="E184" s="105"/>
      <c r="F184" s="104"/>
      <c r="G184" s="105"/>
      <c r="H184" s="106"/>
      <c r="I184" s="104"/>
      <c r="J184" s="106"/>
      <c r="K184" s="105"/>
    </row>
    <row r="185" spans="1:11" x14ac:dyDescent="0.25">
      <c r="A185" s="103"/>
      <c r="B185" s="104"/>
      <c r="C185" s="104"/>
      <c r="D185" s="104"/>
      <c r="E185" s="105"/>
      <c r="F185" s="104"/>
      <c r="G185" s="105"/>
      <c r="H185" s="106"/>
      <c r="I185" s="104"/>
      <c r="J185" s="106"/>
      <c r="K185" s="105"/>
    </row>
    <row r="186" spans="1:11" x14ac:dyDescent="0.25">
      <c r="A186" s="103"/>
      <c r="B186" s="104"/>
      <c r="C186" s="104"/>
      <c r="D186" s="104"/>
      <c r="E186" s="105"/>
      <c r="F186" s="104"/>
      <c r="G186" s="105"/>
      <c r="H186" s="106"/>
      <c r="I186" s="104"/>
      <c r="J186" s="106"/>
      <c r="K186" s="105"/>
    </row>
    <row r="187" spans="1:11" x14ac:dyDescent="0.25">
      <c r="A187" s="103"/>
      <c r="B187" s="104"/>
      <c r="C187" s="104"/>
      <c r="D187" s="104"/>
      <c r="E187" s="105"/>
      <c r="F187" s="104"/>
      <c r="G187" s="105"/>
      <c r="H187" s="106"/>
      <c r="I187" s="104"/>
      <c r="J187" s="106"/>
      <c r="K187" s="105"/>
    </row>
    <row r="188" spans="1:11" x14ac:dyDescent="0.25">
      <c r="A188" s="103"/>
      <c r="B188" s="104"/>
      <c r="C188" s="104"/>
      <c r="D188" s="104"/>
      <c r="E188" s="105"/>
      <c r="F188" s="104"/>
      <c r="G188" s="105"/>
      <c r="H188" s="106"/>
      <c r="I188" s="104"/>
      <c r="J188" s="106"/>
      <c r="K188" s="105"/>
    </row>
    <row r="189" spans="1:11" x14ac:dyDescent="0.25">
      <c r="A189" s="103"/>
      <c r="B189" s="104"/>
      <c r="C189" s="104"/>
      <c r="D189" s="104"/>
      <c r="E189" s="105"/>
      <c r="F189" s="104"/>
      <c r="G189" s="105"/>
      <c r="H189" s="106"/>
      <c r="I189" s="104"/>
      <c r="J189" s="106"/>
      <c r="K189" s="105"/>
    </row>
    <row r="190" spans="1:11" x14ac:dyDescent="0.25">
      <c r="A190" s="103"/>
      <c r="B190" s="104"/>
      <c r="C190" s="104"/>
      <c r="D190" s="104"/>
      <c r="E190" s="105"/>
      <c r="F190" s="104"/>
      <c r="G190" s="105"/>
      <c r="H190" s="106"/>
      <c r="I190" s="104"/>
      <c r="J190" s="106"/>
      <c r="K190" s="105"/>
    </row>
    <row r="191" spans="1:11" x14ac:dyDescent="0.25">
      <c r="A191" s="103"/>
      <c r="B191" s="104"/>
      <c r="C191" s="104"/>
      <c r="D191" s="104"/>
      <c r="E191" s="105"/>
      <c r="F191" s="104"/>
      <c r="G191" s="105"/>
      <c r="H191" s="106"/>
      <c r="I191" s="104"/>
      <c r="J191" s="106"/>
      <c r="K191" s="105"/>
    </row>
    <row r="192" spans="1:11" x14ac:dyDescent="0.25">
      <c r="A192" s="103"/>
      <c r="B192" s="104"/>
      <c r="C192" s="104"/>
      <c r="D192" s="104"/>
      <c r="E192" s="105"/>
      <c r="F192" s="104"/>
      <c r="G192" s="105"/>
      <c r="H192" s="106"/>
      <c r="I192" s="104"/>
      <c r="J192" s="106"/>
      <c r="K192" s="105"/>
    </row>
    <row r="193" spans="1:11" x14ac:dyDescent="0.25">
      <c r="A193" s="103"/>
      <c r="B193" s="104"/>
      <c r="C193" s="104"/>
      <c r="D193" s="104"/>
      <c r="E193" s="105"/>
      <c r="F193" s="104"/>
      <c r="G193" s="105"/>
      <c r="H193" s="106"/>
      <c r="I193" s="104"/>
      <c r="J193" s="106"/>
      <c r="K193" s="105"/>
    </row>
    <row r="194" spans="1:11" x14ac:dyDescent="0.25">
      <c r="A194" s="103"/>
      <c r="B194" s="104"/>
      <c r="C194" s="104"/>
      <c r="D194" s="104"/>
      <c r="E194" s="105"/>
      <c r="F194" s="104"/>
      <c r="G194" s="105"/>
      <c r="H194" s="106"/>
      <c r="I194" s="104"/>
      <c r="J194" s="106"/>
      <c r="K194" s="105"/>
    </row>
    <row r="195" spans="1:11" x14ac:dyDescent="0.25">
      <c r="A195" s="103"/>
      <c r="B195" s="104"/>
      <c r="C195" s="104"/>
      <c r="D195" s="104"/>
      <c r="E195" s="105"/>
      <c r="F195" s="104"/>
      <c r="G195" s="105"/>
      <c r="H195" s="106"/>
      <c r="I195" s="104"/>
      <c r="J195" s="106"/>
      <c r="K195" s="105"/>
    </row>
    <row r="196" spans="1:11" x14ac:dyDescent="0.25">
      <c r="A196" s="103"/>
      <c r="B196" s="104"/>
      <c r="C196" s="104"/>
      <c r="D196" s="104"/>
      <c r="E196" s="105"/>
      <c r="F196" s="104"/>
      <c r="G196" s="105"/>
      <c r="H196" s="106"/>
      <c r="I196" s="104"/>
      <c r="J196" s="106"/>
      <c r="K196" s="105"/>
    </row>
    <row r="197" spans="1:11" x14ac:dyDescent="0.25">
      <c r="A197" s="103"/>
      <c r="B197" s="104"/>
      <c r="C197" s="104"/>
      <c r="D197" s="104"/>
      <c r="E197" s="105"/>
      <c r="F197" s="104"/>
      <c r="G197" s="105"/>
      <c r="H197" s="106"/>
      <c r="I197" s="104"/>
      <c r="J197" s="106"/>
      <c r="K197" s="105"/>
    </row>
    <row r="198" spans="1:11" x14ac:dyDescent="0.25">
      <c r="A198" s="103"/>
      <c r="B198" s="104"/>
      <c r="C198" s="104"/>
      <c r="D198" s="104"/>
      <c r="E198" s="105"/>
      <c r="F198" s="104"/>
      <c r="G198" s="105"/>
      <c r="H198" s="106"/>
      <c r="I198" s="104"/>
      <c r="J198" s="106"/>
      <c r="K198" s="105"/>
    </row>
    <row r="199" spans="1:11" x14ac:dyDescent="0.25">
      <c r="A199" s="103"/>
      <c r="B199" s="104"/>
      <c r="C199" s="104"/>
      <c r="D199" s="104"/>
      <c r="E199" s="105"/>
      <c r="F199" s="104"/>
      <c r="G199" s="105"/>
      <c r="H199" s="106"/>
      <c r="I199" s="104"/>
      <c r="J199" s="106"/>
      <c r="K199" s="105"/>
    </row>
    <row r="200" spans="1:11" x14ac:dyDescent="0.25">
      <c r="A200" s="103"/>
      <c r="B200" s="104"/>
      <c r="C200" s="104"/>
      <c r="D200" s="104"/>
      <c r="E200" s="105"/>
      <c r="F200" s="104"/>
      <c r="G200" s="105"/>
      <c r="H200" s="106"/>
      <c r="I200" s="104"/>
      <c r="J200" s="106"/>
      <c r="K200" s="105"/>
    </row>
    <row r="201" spans="1:11" x14ac:dyDescent="0.25">
      <c r="A201" s="103"/>
      <c r="B201" s="104"/>
      <c r="C201" s="104"/>
      <c r="D201" s="104"/>
      <c r="E201" s="105"/>
      <c r="F201" s="104"/>
      <c r="G201" s="105"/>
      <c r="H201" s="106"/>
      <c r="I201" s="104"/>
      <c r="J201" s="106"/>
      <c r="K201" s="105"/>
    </row>
    <row r="202" spans="1:11" x14ac:dyDescent="0.25">
      <c r="A202" s="103"/>
      <c r="B202" s="104"/>
      <c r="C202" s="104"/>
      <c r="D202" s="104"/>
      <c r="E202" s="105"/>
      <c r="F202" s="104"/>
      <c r="G202" s="105"/>
      <c r="H202" s="106"/>
      <c r="I202" s="104"/>
      <c r="J202" s="106"/>
      <c r="K202" s="105"/>
    </row>
    <row r="203" spans="1:11" x14ac:dyDescent="0.25">
      <c r="A203" s="103"/>
      <c r="B203" s="104"/>
      <c r="C203" s="104"/>
      <c r="D203" s="104"/>
      <c r="E203" s="105"/>
      <c r="F203" s="104"/>
      <c r="G203" s="105"/>
      <c r="H203" s="106"/>
      <c r="I203" s="104"/>
      <c r="J203" s="106"/>
      <c r="K203" s="105"/>
    </row>
    <row r="204" spans="1:11" x14ac:dyDescent="0.25">
      <c r="A204" s="103"/>
      <c r="B204" s="104"/>
      <c r="C204" s="104"/>
      <c r="D204" s="104"/>
      <c r="E204" s="105"/>
      <c r="F204" s="104"/>
      <c r="G204" s="105"/>
      <c r="H204" s="106"/>
      <c r="I204" s="104"/>
      <c r="J204" s="106"/>
      <c r="K204" s="105"/>
    </row>
    <row r="205" spans="1:11" x14ac:dyDescent="0.25">
      <c r="A205" s="103"/>
      <c r="B205" s="104"/>
      <c r="C205" s="104"/>
      <c r="D205" s="104"/>
      <c r="E205" s="105"/>
      <c r="F205" s="104"/>
      <c r="G205" s="105"/>
      <c r="H205" s="106"/>
      <c r="I205" s="104"/>
      <c r="J205" s="106"/>
      <c r="K205" s="105"/>
    </row>
    <row r="206" spans="1:11" x14ac:dyDescent="0.25">
      <c r="A206" s="103"/>
      <c r="B206" s="104"/>
      <c r="C206" s="104"/>
      <c r="D206" s="104"/>
      <c r="E206" s="105"/>
      <c r="F206" s="104"/>
      <c r="G206" s="105"/>
      <c r="H206" s="106"/>
      <c r="I206" s="104"/>
      <c r="J206" s="106"/>
      <c r="K206" s="105"/>
    </row>
    <row r="207" spans="1:11" x14ac:dyDescent="0.25">
      <c r="A207" s="103"/>
      <c r="B207" s="104"/>
      <c r="C207" s="104"/>
      <c r="D207" s="104"/>
      <c r="E207" s="105"/>
      <c r="F207" s="104"/>
      <c r="G207" s="105"/>
      <c r="H207" s="106"/>
      <c r="I207" s="104"/>
      <c r="J207" s="106"/>
      <c r="K207" s="105"/>
    </row>
    <row r="208" spans="1:11" x14ac:dyDescent="0.25">
      <c r="A208" s="103"/>
      <c r="B208" s="104"/>
      <c r="C208" s="104"/>
      <c r="D208" s="104"/>
      <c r="E208" s="105"/>
      <c r="F208" s="104"/>
      <c r="G208" s="105"/>
      <c r="H208" s="106"/>
      <c r="I208" s="104"/>
      <c r="J208" s="106"/>
      <c r="K208" s="105"/>
    </row>
    <row r="209" spans="1:11" x14ac:dyDescent="0.25">
      <c r="A209" s="103"/>
      <c r="B209" s="104"/>
      <c r="C209" s="104"/>
      <c r="D209" s="104"/>
      <c r="E209" s="105"/>
      <c r="F209" s="104"/>
      <c r="G209" s="105"/>
      <c r="H209" s="106"/>
      <c r="I209" s="104"/>
      <c r="J209" s="106"/>
      <c r="K209" s="105"/>
    </row>
    <row r="210" spans="1:11" x14ac:dyDescent="0.25">
      <c r="A210" s="103"/>
      <c r="B210" s="104"/>
      <c r="C210" s="104"/>
      <c r="D210" s="104"/>
      <c r="E210" s="105"/>
      <c r="F210" s="104"/>
      <c r="G210" s="105"/>
      <c r="H210" s="106"/>
      <c r="I210" s="104"/>
      <c r="J210" s="106"/>
      <c r="K210" s="105"/>
    </row>
    <row r="211" spans="1:11" x14ac:dyDescent="0.25">
      <c r="A211" s="103"/>
      <c r="B211" s="104"/>
      <c r="C211" s="104"/>
      <c r="D211" s="104"/>
      <c r="E211" s="105"/>
      <c r="F211" s="104"/>
      <c r="G211" s="105"/>
      <c r="H211" s="106"/>
      <c r="I211" s="104"/>
      <c r="J211" s="106"/>
      <c r="K211" s="105"/>
    </row>
    <row r="212" spans="1:11" x14ac:dyDescent="0.25">
      <c r="A212" s="103"/>
      <c r="B212" s="104"/>
      <c r="C212" s="104"/>
      <c r="D212" s="104"/>
      <c r="E212" s="105"/>
      <c r="F212" s="104"/>
      <c r="G212" s="105"/>
      <c r="H212" s="106"/>
      <c r="I212" s="104"/>
      <c r="J212" s="106"/>
      <c r="K212" s="105"/>
    </row>
    <row r="213" spans="1:11" x14ac:dyDescent="0.25">
      <c r="A213" s="103"/>
      <c r="B213" s="104"/>
      <c r="C213" s="104"/>
      <c r="D213" s="104"/>
      <c r="E213" s="105"/>
      <c r="F213" s="104"/>
      <c r="G213" s="105"/>
      <c r="H213" s="106"/>
      <c r="I213" s="104"/>
      <c r="J213" s="106"/>
      <c r="K213" s="105"/>
    </row>
    <row r="214" spans="1:11" x14ac:dyDescent="0.25">
      <c r="A214" s="103"/>
      <c r="B214" s="104"/>
      <c r="C214" s="104"/>
      <c r="D214" s="104"/>
      <c r="E214" s="105"/>
      <c r="F214" s="104"/>
      <c r="G214" s="105"/>
      <c r="H214" s="106"/>
      <c r="I214" s="104"/>
      <c r="J214" s="106"/>
      <c r="K214" s="105"/>
    </row>
    <row r="215" spans="1:11" x14ac:dyDescent="0.25">
      <c r="A215" s="103"/>
      <c r="B215" s="104"/>
      <c r="C215" s="104"/>
      <c r="D215" s="104"/>
      <c r="E215" s="105"/>
      <c r="F215" s="104"/>
      <c r="G215" s="105"/>
      <c r="H215" s="106"/>
      <c r="I215" s="104"/>
      <c r="J215" s="106"/>
      <c r="K215" s="105"/>
    </row>
    <row r="216" spans="1:11" x14ac:dyDescent="0.25">
      <c r="A216" s="103"/>
      <c r="B216" s="104"/>
      <c r="C216" s="104"/>
      <c r="D216" s="104"/>
      <c r="E216" s="105"/>
      <c r="F216" s="104"/>
      <c r="G216" s="105"/>
      <c r="H216" s="106"/>
      <c r="I216" s="104"/>
      <c r="J216" s="106"/>
      <c r="K216" s="105"/>
    </row>
    <row r="217" spans="1:11" x14ac:dyDescent="0.25">
      <c r="A217" s="103"/>
      <c r="B217" s="104"/>
      <c r="C217" s="104"/>
      <c r="D217" s="104"/>
      <c r="E217" s="105"/>
      <c r="F217" s="104"/>
      <c r="G217" s="105"/>
      <c r="H217" s="106"/>
      <c r="I217" s="104"/>
      <c r="J217" s="106"/>
      <c r="K217" s="105"/>
    </row>
    <row r="218" spans="1:11" x14ac:dyDescent="0.25">
      <c r="A218" s="103"/>
      <c r="B218" s="104"/>
      <c r="C218" s="104"/>
      <c r="D218" s="104"/>
      <c r="E218" s="105"/>
      <c r="F218" s="104"/>
      <c r="G218" s="105"/>
      <c r="H218" s="106"/>
      <c r="I218" s="104"/>
      <c r="J218" s="106"/>
      <c r="K218" s="105"/>
    </row>
    <row r="219" spans="1:11" x14ac:dyDescent="0.25">
      <c r="A219" s="103"/>
      <c r="B219" s="104"/>
      <c r="C219" s="104"/>
      <c r="D219" s="104"/>
      <c r="E219" s="105"/>
      <c r="F219" s="104"/>
      <c r="G219" s="105"/>
      <c r="H219" s="106"/>
      <c r="I219" s="104"/>
      <c r="J219" s="106"/>
      <c r="K219" s="105"/>
    </row>
    <row r="220" spans="1:11" x14ac:dyDescent="0.25">
      <c r="A220" s="103"/>
      <c r="B220" s="104"/>
      <c r="C220" s="104"/>
      <c r="D220" s="104"/>
      <c r="E220" s="105"/>
      <c r="F220" s="104"/>
      <c r="G220" s="105"/>
      <c r="H220" s="106"/>
      <c r="I220" s="104"/>
      <c r="J220" s="106"/>
      <c r="K220" s="105"/>
    </row>
    <row r="221" spans="1:11" x14ac:dyDescent="0.25">
      <c r="A221" s="103"/>
      <c r="B221" s="104"/>
      <c r="C221" s="104"/>
      <c r="D221" s="104"/>
      <c r="E221" s="105"/>
      <c r="F221" s="104"/>
      <c r="G221" s="105"/>
      <c r="H221" s="106"/>
      <c r="I221" s="104"/>
      <c r="J221" s="106"/>
      <c r="K221" s="105"/>
    </row>
    <row r="222" spans="1:11" x14ac:dyDescent="0.25">
      <c r="A222" s="103"/>
      <c r="B222" s="104"/>
      <c r="C222" s="104"/>
      <c r="D222" s="104"/>
      <c r="E222" s="105"/>
      <c r="F222" s="104"/>
      <c r="G222" s="105"/>
      <c r="H222" s="106"/>
      <c r="I222" s="104"/>
      <c r="J222" s="106"/>
      <c r="K222" s="105"/>
    </row>
    <row r="223" spans="1:11" x14ac:dyDescent="0.25">
      <c r="A223" s="103"/>
      <c r="B223" s="104"/>
      <c r="C223" s="104"/>
      <c r="D223" s="104"/>
      <c r="E223" s="105"/>
      <c r="F223" s="104"/>
      <c r="G223" s="105"/>
      <c r="H223" s="106"/>
      <c r="I223" s="104"/>
      <c r="J223" s="106"/>
      <c r="K223" s="105"/>
    </row>
    <row r="224" spans="1:11" x14ac:dyDescent="0.25">
      <c r="A224" s="103"/>
      <c r="B224" s="104"/>
      <c r="C224" s="104"/>
      <c r="D224" s="104"/>
      <c r="E224" s="105"/>
      <c r="F224" s="104"/>
      <c r="G224" s="105"/>
      <c r="H224" s="106"/>
      <c r="I224" s="104"/>
      <c r="J224" s="106"/>
      <c r="K224" s="105"/>
    </row>
    <row r="225" spans="1:11" x14ac:dyDescent="0.25">
      <c r="A225" s="103"/>
      <c r="B225" s="104"/>
      <c r="C225" s="104"/>
      <c r="D225" s="104"/>
      <c r="E225" s="105"/>
      <c r="F225" s="104"/>
      <c r="G225" s="105"/>
      <c r="H225" s="106"/>
      <c r="I225" s="104"/>
      <c r="J225" s="106"/>
      <c r="K225" s="105"/>
    </row>
    <row r="226" spans="1:11" x14ac:dyDescent="0.25">
      <c r="A226" s="103"/>
      <c r="B226" s="104"/>
      <c r="C226" s="104"/>
      <c r="D226" s="104"/>
      <c r="E226" s="105"/>
      <c r="F226" s="104"/>
      <c r="G226" s="105"/>
      <c r="H226" s="106"/>
      <c r="I226" s="104"/>
      <c r="J226" s="106"/>
      <c r="K226" s="105"/>
    </row>
    <row r="227" spans="1:11" x14ac:dyDescent="0.25">
      <c r="A227" s="103"/>
      <c r="B227" s="104"/>
      <c r="C227" s="104"/>
      <c r="D227" s="104"/>
      <c r="E227" s="105"/>
      <c r="F227" s="104"/>
      <c r="G227" s="105"/>
      <c r="H227" s="106"/>
      <c r="I227" s="104"/>
      <c r="J227" s="106"/>
      <c r="K227" s="105"/>
    </row>
    <row r="228" spans="1:11" x14ac:dyDescent="0.25">
      <c r="A228" s="103"/>
      <c r="B228" s="104"/>
      <c r="C228" s="104"/>
      <c r="D228" s="104"/>
      <c r="E228" s="105"/>
      <c r="F228" s="104"/>
      <c r="G228" s="105"/>
      <c r="H228" s="106"/>
      <c r="I228" s="104"/>
      <c r="J228" s="106"/>
      <c r="K228" s="105"/>
    </row>
    <row r="229" spans="1:11" x14ac:dyDescent="0.25">
      <c r="A229" s="103"/>
      <c r="B229" s="104"/>
      <c r="C229" s="104"/>
      <c r="D229" s="104"/>
      <c r="E229" s="105"/>
      <c r="F229" s="104"/>
      <c r="G229" s="105"/>
      <c r="H229" s="106"/>
      <c r="I229" s="104"/>
      <c r="J229" s="106"/>
      <c r="K229" s="105"/>
    </row>
    <row r="230" spans="1:11" x14ac:dyDescent="0.25">
      <c r="A230" s="103"/>
      <c r="B230" s="104"/>
      <c r="C230" s="104"/>
      <c r="D230" s="104"/>
      <c r="E230" s="105"/>
      <c r="F230" s="104"/>
      <c r="G230" s="105"/>
      <c r="H230" s="106"/>
      <c r="I230" s="104"/>
      <c r="J230" s="106"/>
      <c r="K230" s="105"/>
    </row>
    <row r="231" spans="1:11" x14ac:dyDescent="0.25">
      <c r="A231" s="103"/>
      <c r="B231" s="104"/>
      <c r="C231" s="104"/>
      <c r="D231" s="104"/>
      <c r="E231" s="105"/>
      <c r="F231" s="104"/>
      <c r="G231" s="105"/>
      <c r="H231" s="106"/>
      <c r="I231" s="104"/>
      <c r="J231" s="106"/>
      <c r="K231" s="105"/>
    </row>
    <row r="232" spans="1:11" x14ac:dyDescent="0.25">
      <c r="A232" s="103"/>
      <c r="B232" s="104"/>
      <c r="C232" s="104"/>
      <c r="D232" s="104"/>
      <c r="E232" s="105"/>
      <c r="F232" s="104"/>
      <c r="G232" s="105"/>
      <c r="H232" s="106"/>
      <c r="I232" s="104"/>
      <c r="J232" s="106"/>
      <c r="K232" s="105"/>
    </row>
    <row r="233" spans="1:11" x14ac:dyDescent="0.25">
      <c r="A233" s="103"/>
      <c r="B233" s="104"/>
      <c r="C233" s="104"/>
      <c r="D233" s="104"/>
      <c r="E233" s="105"/>
      <c r="F233" s="104"/>
      <c r="G233" s="105"/>
      <c r="H233" s="106"/>
      <c r="I233" s="104"/>
      <c r="J233" s="106"/>
      <c r="K233" s="105"/>
    </row>
    <row r="234" spans="1:11" x14ac:dyDescent="0.25">
      <c r="A234" s="103"/>
      <c r="B234" s="104"/>
      <c r="C234" s="104"/>
      <c r="D234" s="104"/>
      <c r="E234" s="105"/>
      <c r="F234" s="104"/>
      <c r="G234" s="105"/>
      <c r="H234" s="106"/>
      <c r="I234" s="104"/>
      <c r="J234" s="106"/>
      <c r="K234" s="105"/>
    </row>
    <row r="235" spans="1:11" x14ac:dyDescent="0.25">
      <c r="A235" s="103"/>
      <c r="B235" s="104"/>
      <c r="C235" s="104"/>
      <c r="D235" s="104"/>
      <c r="E235" s="105"/>
      <c r="F235" s="104"/>
      <c r="G235" s="105"/>
      <c r="H235" s="106"/>
      <c r="I235" s="104"/>
      <c r="J235" s="106"/>
      <c r="K235" s="105"/>
    </row>
    <row r="236" spans="1:11" x14ac:dyDescent="0.25">
      <c r="A236" s="103"/>
      <c r="B236" s="104"/>
      <c r="C236" s="104"/>
      <c r="D236" s="104"/>
      <c r="E236" s="105"/>
      <c r="F236" s="104"/>
      <c r="G236" s="105"/>
      <c r="H236" s="106"/>
      <c r="I236" s="104"/>
      <c r="J236" s="106"/>
      <c r="K236" s="105"/>
    </row>
    <row r="237" spans="1:11" x14ac:dyDescent="0.25">
      <c r="A237" s="103"/>
      <c r="B237" s="104"/>
      <c r="C237" s="104"/>
      <c r="D237" s="104"/>
      <c r="E237" s="105"/>
      <c r="F237" s="104"/>
      <c r="G237" s="105"/>
      <c r="H237" s="106"/>
      <c r="I237" s="104"/>
      <c r="J237" s="106"/>
      <c r="K237" s="105"/>
    </row>
    <row r="238" spans="1:11" x14ac:dyDescent="0.25">
      <c r="A238" s="103"/>
      <c r="B238" s="104"/>
      <c r="C238" s="104"/>
      <c r="D238" s="104"/>
      <c r="E238" s="105"/>
      <c r="F238" s="104"/>
      <c r="G238" s="105"/>
      <c r="H238" s="106"/>
      <c r="I238" s="104"/>
      <c r="J238" s="106"/>
      <c r="K238" s="105"/>
    </row>
    <row r="239" spans="1:11" x14ac:dyDescent="0.25">
      <c r="A239" s="103"/>
      <c r="B239" s="104"/>
      <c r="C239" s="104"/>
      <c r="D239" s="104"/>
      <c r="E239" s="105"/>
      <c r="F239" s="104"/>
      <c r="G239" s="105"/>
      <c r="H239" s="106"/>
      <c r="I239" s="104"/>
      <c r="J239" s="106"/>
      <c r="K239" s="105"/>
    </row>
    <row r="240" spans="1:11" x14ac:dyDescent="0.25">
      <c r="A240" s="103"/>
      <c r="B240" s="104"/>
      <c r="C240" s="104"/>
      <c r="D240" s="104"/>
      <c r="E240" s="105"/>
      <c r="F240" s="104"/>
      <c r="G240" s="105"/>
      <c r="H240" s="106"/>
      <c r="I240" s="104"/>
      <c r="J240" s="106"/>
      <c r="K240" s="105"/>
    </row>
    <row r="241" spans="1:11" x14ac:dyDescent="0.25">
      <c r="A241" s="103"/>
      <c r="B241" s="104"/>
      <c r="C241" s="104"/>
      <c r="D241" s="104"/>
      <c r="E241" s="105"/>
      <c r="F241" s="104"/>
      <c r="G241" s="105"/>
      <c r="H241" s="106"/>
      <c r="I241" s="104"/>
      <c r="J241" s="106"/>
      <c r="K241" s="105"/>
    </row>
    <row r="242" spans="1:11" x14ac:dyDescent="0.25">
      <c r="A242" s="103"/>
      <c r="B242" s="104"/>
      <c r="C242" s="104"/>
      <c r="D242" s="104"/>
      <c r="E242" s="105"/>
      <c r="F242" s="104"/>
      <c r="G242" s="105"/>
      <c r="H242" s="106"/>
      <c r="I242" s="104"/>
      <c r="J242" s="106"/>
      <c r="K242" s="105"/>
    </row>
    <row r="243" spans="1:11" x14ac:dyDescent="0.25">
      <c r="A243" s="103"/>
      <c r="B243" s="104"/>
      <c r="C243" s="104"/>
      <c r="D243" s="104"/>
      <c r="E243" s="105"/>
      <c r="F243" s="104"/>
      <c r="G243" s="105"/>
      <c r="H243" s="106"/>
      <c r="I243" s="104"/>
      <c r="J243" s="106"/>
      <c r="K243" s="105"/>
    </row>
    <row r="244" spans="1:11" x14ac:dyDescent="0.25">
      <c r="A244" s="103"/>
      <c r="B244" s="104"/>
      <c r="C244" s="104"/>
      <c r="D244" s="104"/>
      <c r="E244" s="105"/>
      <c r="F244" s="104"/>
      <c r="G244" s="105"/>
      <c r="H244" s="106"/>
      <c r="I244" s="104"/>
      <c r="J244" s="106"/>
      <c r="K244" s="105"/>
    </row>
    <row r="245" spans="1:11" x14ac:dyDescent="0.25">
      <c r="A245" s="103"/>
      <c r="B245" s="104"/>
      <c r="C245" s="104"/>
      <c r="D245" s="104"/>
      <c r="E245" s="105"/>
      <c r="F245" s="104"/>
      <c r="G245" s="105"/>
      <c r="H245" s="106"/>
      <c r="I245" s="104"/>
      <c r="J245" s="106"/>
      <c r="K245" s="105"/>
    </row>
    <row r="246" spans="1:11" x14ac:dyDescent="0.25">
      <c r="A246" s="103"/>
      <c r="B246" s="104"/>
      <c r="C246" s="104"/>
      <c r="D246" s="104"/>
      <c r="E246" s="105"/>
      <c r="F246" s="104"/>
      <c r="G246" s="105"/>
      <c r="H246" s="106"/>
      <c r="I246" s="104"/>
      <c r="J246" s="106"/>
      <c r="K246" s="105"/>
    </row>
    <row r="247" spans="1:11" x14ac:dyDescent="0.25">
      <c r="A247" s="103"/>
      <c r="B247" s="104"/>
      <c r="C247" s="104"/>
      <c r="D247" s="104"/>
      <c r="E247" s="105"/>
      <c r="F247" s="104"/>
      <c r="G247" s="105"/>
      <c r="H247" s="106"/>
      <c r="I247" s="104"/>
      <c r="J247" s="106"/>
      <c r="K247" s="105"/>
    </row>
    <row r="248" spans="1:11" x14ac:dyDescent="0.25">
      <c r="A248" s="103"/>
      <c r="B248" s="104"/>
      <c r="C248" s="104"/>
      <c r="D248" s="104"/>
      <c r="E248" s="105"/>
      <c r="F248" s="104"/>
      <c r="G248" s="105"/>
      <c r="H248" s="106"/>
      <c r="I248" s="104"/>
      <c r="J248" s="106"/>
      <c r="K248" s="105"/>
    </row>
    <row r="249" spans="1:11" x14ac:dyDescent="0.25">
      <c r="A249" s="103"/>
      <c r="B249" s="104"/>
      <c r="C249" s="104"/>
      <c r="D249" s="104"/>
      <c r="E249" s="105"/>
      <c r="F249" s="104"/>
      <c r="G249" s="105"/>
      <c r="H249" s="106"/>
      <c r="I249" s="104"/>
      <c r="J249" s="106"/>
      <c r="K249" s="105"/>
    </row>
    <row r="250" spans="1:11" x14ac:dyDescent="0.25">
      <c r="A250" s="103"/>
      <c r="B250" s="104"/>
      <c r="C250" s="104"/>
      <c r="D250" s="104"/>
      <c r="E250" s="105"/>
      <c r="F250" s="104"/>
      <c r="G250" s="105"/>
      <c r="H250" s="106"/>
      <c r="I250" s="104"/>
      <c r="J250" s="106"/>
      <c r="K250" s="105"/>
    </row>
    <row r="251" spans="1:11" x14ac:dyDescent="0.25">
      <c r="A251" s="103"/>
      <c r="B251" s="104"/>
      <c r="C251" s="104"/>
      <c r="D251" s="104"/>
      <c r="E251" s="105"/>
      <c r="F251" s="104"/>
      <c r="G251" s="105"/>
      <c r="H251" s="106"/>
      <c r="I251" s="104"/>
      <c r="J251" s="106"/>
      <c r="K251" s="105"/>
    </row>
    <row r="252" spans="1:11" x14ac:dyDescent="0.25">
      <c r="A252" s="103"/>
      <c r="B252" s="104"/>
      <c r="C252" s="104"/>
      <c r="D252" s="104"/>
      <c r="E252" s="105"/>
      <c r="F252" s="104"/>
      <c r="G252" s="105"/>
      <c r="H252" s="106"/>
      <c r="I252" s="104"/>
      <c r="J252" s="106"/>
      <c r="K252" s="105"/>
    </row>
    <row r="253" spans="1:11" x14ac:dyDescent="0.25">
      <c r="A253" s="103"/>
      <c r="B253" s="104"/>
      <c r="C253" s="104"/>
      <c r="D253" s="104"/>
      <c r="E253" s="105"/>
      <c r="F253" s="104"/>
      <c r="G253" s="105"/>
      <c r="H253" s="106"/>
      <c r="I253" s="104"/>
      <c r="J253" s="106"/>
      <c r="K253" s="105"/>
    </row>
    <row r="254" spans="1:11" x14ac:dyDescent="0.25">
      <c r="A254" s="103"/>
      <c r="B254" s="104"/>
      <c r="C254" s="104"/>
      <c r="D254" s="104"/>
      <c r="E254" s="105"/>
      <c r="F254" s="104"/>
      <c r="G254" s="105"/>
      <c r="H254" s="106"/>
      <c r="I254" s="104"/>
      <c r="J254" s="106"/>
      <c r="K254" s="105"/>
    </row>
    <row r="255" spans="1:11" x14ac:dyDescent="0.25">
      <c r="A255" s="103"/>
      <c r="B255" s="104"/>
      <c r="C255" s="104"/>
      <c r="D255" s="104"/>
      <c r="E255" s="105"/>
      <c r="F255" s="104"/>
      <c r="G255" s="105"/>
      <c r="H255" s="106"/>
      <c r="I255" s="104"/>
      <c r="J255" s="106"/>
      <c r="K255" s="105"/>
    </row>
    <row r="256" spans="1:11" x14ac:dyDescent="0.25">
      <c r="A256" s="103"/>
      <c r="B256" s="104"/>
      <c r="C256" s="104"/>
      <c r="D256" s="104"/>
      <c r="E256" s="105"/>
      <c r="F256" s="104"/>
      <c r="G256" s="105"/>
      <c r="H256" s="106"/>
      <c r="I256" s="104"/>
      <c r="J256" s="106"/>
      <c r="K256" s="105"/>
    </row>
    <row r="257" spans="1:11" x14ac:dyDescent="0.25">
      <c r="A257" s="103"/>
      <c r="B257" s="104"/>
      <c r="C257" s="104"/>
      <c r="D257" s="104"/>
      <c r="E257" s="105"/>
      <c r="F257" s="104"/>
      <c r="G257" s="105"/>
      <c r="H257" s="106"/>
      <c r="I257" s="104"/>
      <c r="J257" s="106"/>
      <c r="K257" s="105"/>
    </row>
    <row r="258" spans="1:11" x14ac:dyDescent="0.25">
      <c r="A258" s="103"/>
      <c r="B258" s="104"/>
      <c r="C258" s="104"/>
      <c r="D258" s="104"/>
      <c r="E258" s="105"/>
      <c r="F258" s="104"/>
      <c r="G258" s="105"/>
      <c r="H258" s="106"/>
      <c r="I258" s="104"/>
      <c r="J258" s="106"/>
      <c r="K258" s="105"/>
    </row>
    <row r="259" spans="1:11" x14ac:dyDescent="0.25">
      <c r="A259" s="103"/>
      <c r="B259" s="104"/>
      <c r="C259" s="104"/>
      <c r="D259" s="104"/>
      <c r="E259" s="105"/>
      <c r="F259" s="104"/>
      <c r="G259" s="105"/>
      <c r="H259" s="106"/>
      <c r="I259" s="104"/>
      <c r="J259" s="106"/>
      <c r="K259" s="105"/>
    </row>
    <row r="260" spans="1:11" x14ac:dyDescent="0.25">
      <c r="A260" s="103"/>
      <c r="B260" s="104"/>
      <c r="C260" s="104"/>
      <c r="D260" s="104"/>
      <c r="E260" s="105"/>
      <c r="F260" s="104"/>
      <c r="G260" s="105"/>
      <c r="H260" s="106"/>
      <c r="I260" s="104"/>
      <c r="J260" s="106"/>
      <c r="K260" s="105"/>
    </row>
    <row r="261" spans="1:11" x14ac:dyDescent="0.25">
      <c r="A261" s="103"/>
      <c r="B261" s="104"/>
      <c r="C261" s="104"/>
      <c r="D261" s="104"/>
      <c r="E261" s="105"/>
      <c r="F261" s="104"/>
      <c r="G261" s="105"/>
      <c r="H261" s="106"/>
      <c r="I261" s="104"/>
      <c r="J261" s="106"/>
      <c r="K261" s="105"/>
    </row>
    <row r="262" spans="1:11" x14ac:dyDescent="0.25">
      <c r="A262" s="103"/>
      <c r="B262" s="104"/>
      <c r="C262" s="104"/>
      <c r="D262" s="104"/>
      <c r="E262" s="105"/>
      <c r="F262" s="104"/>
      <c r="G262" s="105"/>
      <c r="H262" s="106"/>
      <c r="I262" s="104"/>
      <c r="J262" s="106"/>
      <c r="K262" s="105"/>
    </row>
    <row r="263" spans="1:11" x14ac:dyDescent="0.25">
      <c r="A263" s="103"/>
      <c r="B263" s="104"/>
      <c r="C263" s="104"/>
      <c r="D263" s="104"/>
      <c r="E263" s="105"/>
      <c r="F263" s="104"/>
      <c r="G263" s="105"/>
      <c r="H263" s="106"/>
      <c r="I263" s="104"/>
      <c r="J263" s="106"/>
      <c r="K263" s="105"/>
    </row>
    <row r="264" spans="1:11" x14ac:dyDescent="0.25">
      <c r="A264" s="103"/>
      <c r="B264" s="104"/>
      <c r="C264" s="104"/>
      <c r="D264" s="104"/>
      <c r="E264" s="105"/>
      <c r="F264" s="104"/>
      <c r="G264" s="105"/>
      <c r="H264" s="106"/>
      <c r="I264" s="104"/>
      <c r="J264" s="106"/>
      <c r="K264" s="105"/>
    </row>
    <row r="265" spans="1:11" x14ac:dyDescent="0.25">
      <c r="A265" s="103"/>
      <c r="B265" s="104"/>
      <c r="C265" s="104"/>
      <c r="D265" s="104"/>
      <c r="E265" s="105"/>
      <c r="F265" s="104"/>
      <c r="G265" s="105"/>
      <c r="H265" s="106"/>
      <c r="I265" s="104"/>
      <c r="J265" s="106"/>
      <c r="K265" s="105"/>
    </row>
    <row r="266" spans="1:11" x14ac:dyDescent="0.25">
      <c r="A266" s="103"/>
      <c r="B266" s="104"/>
      <c r="C266" s="104"/>
      <c r="D266" s="104"/>
      <c r="E266" s="105"/>
      <c r="F266" s="104"/>
      <c r="G266" s="105"/>
      <c r="H266" s="106"/>
      <c r="I266" s="104"/>
      <c r="J266" s="106"/>
      <c r="K266" s="105"/>
    </row>
    <row r="267" spans="1:11" x14ac:dyDescent="0.25">
      <c r="A267" s="103"/>
      <c r="B267" s="104"/>
      <c r="C267" s="104"/>
      <c r="D267" s="104"/>
      <c r="E267" s="105"/>
      <c r="F267" s="104"/>
      <c r="G267" s="105"/>
      <c r="H267" s="106"/>
      <c r="I267" s="104"/>
      <c r="J267" s="106"/>
      <c r="K267" s="105"/>
    </row>
    <row r="268" spans="1:11" x14ac:dyDescent="0.25">
      <c r="A268" s="103"/>
      <c r="B268" s="104"/>
      <c r="C268" s="104"/>
      <c r="D268" s="104"/>
      <c r="E268" s="105"/>
      <c r="F268" s="104"/>
      <c r="G268" s="105"/>
      <c r="H268" s="106"/>
      <c r="I268" s="104"/>
      <c r="J268" s="106"/>
      <c r="K268" s="105"/>
    </row>
    <row r="269" spans="1:11" x14ac:dyDescent="0.25">
      <c r="A269" s="103"/>
      <c r="B269" s="104"/>
      <c r="C269" s="104"/>
      <c r="D269" s="104"/>
      <c r="E269" s="105"/>
      <c r="F269" s="104"/>
      <c r="G269" s="105"/>
      <c r="H269" s="106"/>
      <c r="I269" s="104"/>
      <c r="J269" s="106"/>
      <c r="K269" s="105"/>
    </row>
    <row r="270" spans="1:11" x14ac:dyDescent="0.25">
      <c r="A270" s="103"/>
      <c r="B270" s="104"/>
      <c r="C270" s="104"/>
      <c r="D270" s="104"/>
      <c r="E270" s="105"/>
      <c r="F270" s="104"/>
      <c r="G270" s="105"/>
      <c r="H270" s="106"/>
      <c r="I270" s="104"/>
      <c r="J270" s="106"/>
      <c r="K270" s="105"/>
    </row>
    <row r="271" spans="1:11" x14ac:dyDescent="0.25">
      <c r="A271" s="103"/>
      <c r="B271" s="104"/>
      <c r="C271" s="104"/>
      <c r="D271" s="104"/>
      <c r="E271" s="105"/>
      <c r="F271" s="104"/>
      <c r="G271" s="105"/>
      <c r="H271" s="106"/>
      <c r="I271" s="104"/>
      <c r="J271" s="106"/>
      <c r="K271" s="105"/>
    </row>
    <row r="272" spans="1:11" x14ac:dyDescent="0.25">
      <c r="A272" s="103"/>
      <c r="B272" s="104"/>
      <c r="C272" s="104"/>
      <c r="D272" s="104"/>
      <c r="E272" s="105"/>
      <c r="F272" s="104"/>
      <c r="G272" s="105"/>
      <c r="H272" s="106"/>
      <c r="I272" s="104"/>
      <c r="J272" s="106"/>
      <c r="K272" s="105"/>
    </row>
    <row r="273" spans="1:11" x14ac:dyDescent="0.25">
      <c r="A273" s="103"/>
      <c r="B273" s="104"/>
      <c r="C273" s="104"/>
      <c r="D273" s="104"/>
      <c r="E273" s="105"/>
      <c r="F273" s="104"/>
      <c r="G273" s="105"/>
      <c r="H273" s="106"/>
      <c r="I273" s="104"/>
      <c r="J273" s="106"/>
      <c r="K273" s="105"/>
    </row>
    <row r="274" spans="1:11" x14ac:dyDescent="0.25">
      <c r="A274" s="103"/>
      <c r="B274" s="104"/>
      <c r="C274" s="104"/>
      <c r="D274" s="104"/>
      <c r="E274" s="105"/>
      <c r="F274" s="104"/>
      <c r="G274" s="105"/>
      <c r="H274" s="106"/>
      <c r="I274" s="104"/>
      <c r="J274" s="106"/>
      <c r="K274" s="105"/>
    </row>
    <row r="275" spans="1:11" x14ac:dyDescent="0.25">
      <c r="A275" s="103"/>
      <c r="B275" s="104"/>
      <c r="C275" s="104"/>
      <c r="D275" s="104"/>
      <c r="E275" s="105"/>
      <c r="F275" s="104"/>
      <c r="G275" s="105"/>
      <c r="H275" s="106"/>
      <c r="I275" s="104"/>
      <c r="J275" s="106"/>
      <c r="K275" s="105"/>
    </row>
    <row r="276" spans="1:11" x14ac:dyDescent="0.25">
      <c r="A276" s="103"/>
      <c r="B276" s="104"/>
      <c r="C276" s="104"/>
      <c r="D276" s="104"/>
      <c r="E276" s="105"/>
      <c r="F276" s="104"/>
      <c r="G276" s="105"/>
      <c r="H276" s="106"/>
      <c r="I276" s="104"/>
      <c r="J276" s="106"/>
      <c r="K276" s="105"/>
    </row>
    <row r="277" spans="1:11" x14ac:dyDescent="0.25">
      <c r="A277" s="103"/>
      <c r="B277" s="104"/>
      <c r="C277" s="104"/>
      <c r="D277" s="104"/>
      <c r="E277" s="105"/>
      <c r="F277" s="104"/>
      <c r="G277" s="105"/>
      <c r="H277" s="106"/>
      <c r="I277" s="104"/>
      <c r="J277" s="106"/>
      <c r="K277" s="105"/>
    </row>
    <row r="278" spans="1:11" x14ac:dyDescent="0.25">
      <c r="A278" s="103"/>
      <c r="B278" s="104"/>
      <c r="C278" s="104"/>
      <c r="D278" s="104"/>
      <c r="E278" s="105"/>
      <c r="F278" s="104"/>
      <c r="G278" s="105"/>
      <c r="H278" s="106"/>
      <c r="I278" s="104"/>
      <c r="J278" s="106"/>
      <c r="K278" s="105"/>
    </row>
    <row r="279" spans="1:11" x14ac:dyDescent="0.25">
      <c r="A279" s="103"/>
      <c r="B279" s="104"/>
      <c r="C279" s="104"/>
      <c r="D279" s="104"/>
      <c r="E279" s="105"/>
      <c r="F279" s="104"/>
      <c r="G279" s="105"/>
      <c r="H279" s="106"/>
      <c r="I279" s="104"/>
      <c r="J279" s="106"/>
      <c r="K279" s="105"/>
    </row>
    <row r="280" spans="1:11" x14ac:dyDescent="0.25">
      <c r="A280" s="103"/>
      <c r="B280" s="104"/>
      <c r="C280" s="104"/>
      <c r="D280" s="104"/>
      <c r="E280" s="105"/>
      <c r="F280" s="104"/>
      <c r="G280" s="105"/>
      <c r="H280" s="106"/>
      <c r="I280" s="104"/>
      <c r="J280" s="106"/>
      <c r="K280" s="105"/>
    </row>
    <row r="281" spans="1:11" x14ac:dyDescent="0.25">
      <c r="A281" s="103"/>
      <c r="B281" s="104"/>
      <c r="C281" s="104"/>
      <c r="D281" s="104"/>
      <c r="E281" s="105"/>
      <c r="F281" s="104"/>
      <c r="G281" s="105"/>
      <c r="H281" s="106"/>
      <c r="I281" s="104"/>
      <c r="J281" s="106"/>
      <c r="K281" s="105"/>
    </row>
    <row r="282" spans="1:11" x14ac:dyDescent="0.25">
      <c r="A282" s="103"/>
      <c r="B282" s="104"/>
      <c r="C282" s="104"/>
      <c r="D282" s="104"/>
      <c r="E282" s="105"/>
      <c r="F282" s="104"/>
      <c r="G282" s="105"/>
      <c r="H282" s="106"/>
      <c r="I282" s="104"/>
      <c r="J282" s="106"/>
      <c r="K282" s="105"/>
    </row>
    <row r="283" spans="1:11" x14ac:dyDescent="0.25">
      <c r="A283" s="103"/>
      <c r="B283" s="104"/>
      <c r="C283" s="104"/>
      <c r="D283" s="104"/>
      <c r="E283" s="105"/>
      <c r="F283" s="104"/>
      <c r="G283" s="105"/>
      <c r="H283" s="106"/>
      <c r="I283" s="104"/>
      <c r="J283" s="106"/>
      <c r="K283" s="105"/>
    </row>
    <row r="284" spans="1:11" x14ac:dyDescent="0.25">
      <c r="A284" s="103"/>
      <c r="B284" s="104"/>
      <c r="C284" s="104"/>
      <c r="D284" s="104"/>
      <c r="E284" s="105"/>
      <c r="F284" s="104"/>
      <c r="G284" s="105"/>
      <c r="H284" s="106"/>
      <c r="I284" s="104"/>
      <c r="J284" s="106"/>
      <c r="K284" s="105"/>
    </row>
    <row r="285" spans="1:11" x14ac:dyDescent="0.25">
      <c r="A285" s="103"/>
      <c r="B285" s="104"/>
      <c r="C285" s="104"/>
      <c r="D285" s="104"/>
      <c r="E285" s="105"/>
      <c r="F285" s="104"/>
      <c r="G285" s="105"/>
      <c r="H285" s="106"/>
      <c r="I285" s="104"/>
      <c r="J285" s="106"/>
      <c r="K285" s="105"/>
    </row>
    <row r="286" spans="1:11" x14ac:dyDescent="0.25">
      <c r="A286" s="103"/>
      <c r="B286" s="104"/>
      <c r="C286" s="104"/>
      <c r="D286" s="104"/>
      <c r="E286" s="105"/>
      <c r="F286" s="104"/>
      <c r="G286" s="105"/>
      <c r="H286" s="106"/>
      <c r="I286" s="104"/>
      <c r="J286" s="106"/>
      <c r="K286" s="105"/>
    </row>
    <row r="287" spans="1:11" x14ac:dyDescent="0.25">
      <c r="A287" s="103"/>
      <c r="B287" s="104"/>
      <c r="C287" s="104"/>
      <c r="D287" s="104"/>
      <c r="E287" s="105"/>
      <c r="F287" s="104"/>
      <c r="G287" s="105"/>
      <c r="H287" s="106"/>
      <c r="I287" s="104"/>
      <c r="J287" s="106"/>
      <c r="K287" s="105"/>
    </row>
    <row r="288" spans="1:11" x14ac:dyDescent="0.25">
      <c r="A288" s="103"/>
      <c r="B288" s="104"/>
      <c r="C288" s="104"/>
      <c r="D288" s="104"/>
      <c r="E288" s="105"/>
      <c r="F288" s="104"/>
      <c r="G288" s="105"/>
      <c r="H288" s="106"/>
      <c r="I288" s="104"/>
      <c r="J288" s="106"/>
      <c r="K288" s="105"/>
    </row>
    <row r="289" spans="1:11" x14ac:dyDescent="0.25">
      <c r="A289" s="103"/>
      <c r="B289" s="104"/>
      <c r="C289" s="104"/>
      <c r="D289" s="104"/>
      <c r="E289" s="105"/>
      <c r="F289" s="104"/>
      <c r="G289" s="105"/>
      <c r="H289" s="106"/>
      <c r="I289" s="104"/>
      <c r="J289" s="106"/>
      <c r="K289" s="105"/>
    </row>
    <row r="290" spans="1:11" x14ac:dyDescent="0.25">
      <c r="A290" s="103"/>
      <c r="B290" s="104"/>
      <c r="C290" s="104"/>
      <c r="D290" s="104"/>
      <c r="E290" s="105"/>
      <c r="F290" s="104"/>
      <c r="G290" s="105"/>
      <c r="H290" s="106"/>
      <c r="I290" s="104"/>
      <c r="J290" s="106"/>
      <c r="K290" s="105"/>
    </row>
    <row r="291" spans="1:11" x14ac:dyDescent="0.25">
      <c r="A291" s="103"/>
      <c r="B291" s="104"/>
      <c r="C291" s="104"/>
      <c r="D291" s="104"/>
      <c r="E291" s="105"/>
      <c r="F291" s="104"/>
      <c r="G291" s="105"/>
      <c r="H291" s="106"/>
      <c r="I291" s="104"/>
      <c r="J291" s="106"/>
      <c r="K291" s="105"/>
    </row>
    <row r="292" spans="1:11" x14ac:dyDescent="0.25">
      <c r="A292" s="103"/>
      <c r="B292" s="104"/>
      <c r="C292" s="104"/>
      <c r="D292" s="104"/>
      <c r="E292" s="105"/>
      <c r="F292" s="104"/>
      <c r="G292" s="105"/>
      <c r="H292" s="106"/>
      <c r="I292" s="104"/>
      <c r="J292" s="106"/>
      <c r="K292" s="105"/>
    </row>
    <row r="293" spans="1:11" x14ac:dyDescent="0.25">
      <c r="A293" s="103"/>
      <c r="B293" s="104"/>
      <c r="C293" s="104"/>
      <c r="D293" s="104"/>
      <c r="E293" s="105"/>
      <c r="F293" s="104"/>
      <c r="G293" s="105"/>
      <c r="H293" s="106"/>
      <c r="I293" s="104"/>
      <c r="J293" s="106"/>
      <c r="K293" s="105"/>
    </row>
    <row r="294" spans="1:11" x14ac:dyDescent="0.25">
      <c r="A294" s="103"/>
      <c r="B294" s="104"/>
      <c r="C294" s="104"/>
      <c r="D294" s="104"/>
      <c r="E294" s="105"/>
      <c r="F294" s="104"/>
      <c r="G294" s="105"/>
      <c r="H294" s="106"/>
      <c r="I294" s="104"/>
      <c r="J294" s="106"/>
      <c r="K294" s="105"/>
    </row>
    <row r="295" spans="1:11" x14ac:dyDescent="0.25">
      <c r="A295" s="103"/>
      <c r="B295" s="104"/>
      <c r="C295" s="104"/>
      <c r="D295" s="104"/>
      <c r="E295" s="105"/>
      <c r="F295" s="104"/>
      <c r="G295" s="105"/>
      <c r="H295" s="106"/>
      <c r="I295" s="104"/>
      <c r="J295" s="106"/>
      <c r="K295" s="105"/>
    </row>
    <row r="296" spans="1:11" x14ac:dyDescent="0.25">
      <c r="A296" s="103"/>
      <c r="B296" s="104"/>
      <c r="C296" s="104"/>
      <c r="D296" s="104"/>
      <c r="E296" s="105"/>
      <c r="F296" s="104"/>
      <c r="G296" s="105"/>
      <c r="H296" s="106"/>
      <c r="I296" s="104"/>
      <c r="J296" s="106"/>
      <c r="K296" s="105"/>
    </row>
    <row r="297" spans="1:11" x14ac:dyDescent="0.25">
      <c r="A297" s="103"/>
      <c r="B297" s="104"/>
      <c r="C297" s="104"/>
      <c r="D297" s="104"/>
      <c r="E297" s="105"/>
      <c r="F297" s="104"/>
      <c r="G297" s="105"/>
      <c r="H297" s="106"/>
      <c r="I297" s="104"/>
      <c r="J297" s="106"/>
      <c r="K297" s="105"/>
    </row>
    <row r="298" spans="1:11" x14ac:dyDescent="0.25">
      <c r="A298" s="103"/>
      <c r="B298" s="104"/>
      <c r="C298" s="104"/>
      <c r="D298" s="104"/>
      <c r="E298" s="105"/>
      <c r="F298" s="104"/>
      <c r="G298" s="105"/>
      <c r="H298" s="106"/>
      <c r="I298" s="104"/>
      <c r="J298" s="106"/>
      <c r="K298" s="105"/>
    </row>
    <row r="299" spans="1:11" x14ac:dyDescent="0.25">
      <c r="A299" s="103"/>
      <c r="B299" s="104"/>
      <c r="C299" s="104"/>
      <c r="D299" s="104"/>
      <c r="E299" s="105"/>
      <c r="F299" s="104"/>
      <c r="G299" s="105"/>
      <c r="H299" s="106"/>
      <c r="I299" s="104"/>
      <c r="J299" s="106"/>
      <c r="K299" s="105"/>
    </row>
    <row r="300" spans="1:11" x14ac:dyDescent="0.25">
      <c r="A300" s="103"/>
      <c r="B300" s="104"/>
      <c r="C300" s="104"/>
      <c r="D300" s="104"/>
      <c r="E300" s="105"/>
      <c r="F300" s="104"/>
      <c r="G300" s="105"/>
      <c r="H300" s="106"/>
      <c r="I300" s="104"/>
      <c r="J300" s="106"/>
      <c r="K300" s="105"/>
    </row>
    <row r="301" spans="1:11" x14ac:dyDescent="0.25">
      <c r="A301" s="103"/>
      <c r="B301" s="104"/>
      <c r="C301" s="104"/>
      <c r="D301" s="104"/>
      <c r="E301" s="105"/>
      <c r="F301" s="104"/>
      <c r="G301" s="105"/>
      <c r="H301" s="106"/>
      <c r="I301" s="104"/>
      <c r="J301" s="106"/>
      <c r="K301" s="105"/>
    </row>
    <row r="302" spans="1:11" x14ac:dyDescent="0.25">
      <c r="A302" s="103"/>
      <c r="B302" s="104"/>
      <c r="C302" s="104"/>
      <c r="D302" s="104"/>
      <c r="E302" s="105"/>
      <c r="F302" s="104"/>
      <c r="G302" s="105"/>
      <c r="H302" s="106"/>
      <c r="I302" s="104"/>
      <c r="J302" s="106"/>
      <c r="K302" s="105"/>
    </row>
    <row r="303" spans="1:11" x14ac:dyDescent="0.25">
      <c r="A303" s="103"/>
      <c r="B303" s="104"/>
      <c r="C303" s="104"/>
      <c r="D303" s="104"/>
      <c r="E303" s="105"/>
      <c r="F303" s="104"/>
      <c r="G303" s="105"/>
      <c r="H303" s="106"/>
      <c r="I303" s="104"/>
      <c r="J303" s="106"/>
      <c r="K303" s="105"/>
    </row>
    <row r="304" spans="1:11" x14ac:dyDescent="0.25">
      <c r="A304" s="103"/>
      <c r="B304" s="104"/>
      <c r="C304" s="104"/>
      <c r="D304" s="104"/>
      <c r="E304" s="105"/>
      <c r="F304" s="104"/>
      <c r="G304" s="105"/>
      <c r="H304" s="106"/>
      <c r="I304" s="104"/>
      <c r="J304" s="106"/>
      <c r="K304" s="105"/>
    </row>
    <row r="305" spans="1:11" x14ac:dyDescent="0.25">
      <c r="A305" s="103"/>
      <c r="B305" s="104"/>
      <c r="C305" s="104"/>
      <c r="D305" s="104"/>
      <c r="E305" s="105"/>
      <c r="F305" s="104"/>
      <c r="G305" s="105"/>
      <c r="H305" s="106"/>
      <c r="I305" s="104"/>
      <c r="J305" s="106"/>
      <c r="K305" s="105"/>
    </row>
    <row r="306" spans="1:11" x14ac:dyDescent="0.25">
      <c r="A306" s="103"/>
      <c r="B306" s="104"/>
      <c r="C306" s="104"/>
      <c r="D306" s="104"/>
      <c r="E306" s="105"/>
      <c r="F306" s="104"/>
      <c r="G306" s="105"/>
      <c r="H306" s="106"/>
      <c r="I306" s="104"/>
      <c r="J306" s="106"/>
      <c r="K306" s="105"/>
    </row>
    <row r="307" spans="1:11" x14ac:dyDescent="0.25">
      <c r="A307" s="103"/>
      <c r="B307" s="104"/>
      <c r="C307" s="104"/>
      <c r="D307" s="104"/>
      <c r="E307" s="105"/>
      <c r="F307" s="104"/>
      <c r="G307" s="105"/>
      <c r="H307" s="106"/>
      <c r="I307" s="104"/>
      <c r="J307" s="106"/>
      <c r="K307" s="105"/>
    </row>
    <row r="308" spans="1:11" x14ac:dyDescent="0.25">
      <c r="A308" s="103"/>
      <c r="B308" s="104"/>
      <c r="C308" s="104"/>
      <c r="D308" s="104"/>
      <c r="E308" s="105"/>
      <c r="F308" s="104"/>
      <c r="G308" s="105"/>
      <c r="H308" s="106"/>
      <c r="I308" s="104"/>
      <c r="J308" s="106"/>
      <c r="K308" s="105"/>
    </row>
    <row r="309" spans="1:11" x14ac:dyDescent="0.25">
      <c r="A309" s="103"/>
      <c r="B309" s="104"/>
      <c r="C309" s="104"/>
      <c r="D309" s="104"/>
      <c r="E309" s="105"/>
      <c r="F309" s="104"/>
      <c r="G309" s="105"/>
      <c r="H309" s="106"/>
      <c r="I309" s="104"/>
      <c r="J309" s="106"/>
      <c r="K309" s="105"/>
    </row>
    <row r="310" spans="1:11" x14ac:dyDescent="0.25">
      <c r="A310" s="103"/>
      <c r="B310" s="104"/>
      <c r="C310" s="104"/>
      <c r="D310" s="104"/>
      <c r="E310" s="105"/>
      <c r="F310" s="104"/>
      <c r="G310" s="105"/>
      <c r="H310" s="106"/>
      <c r="I310" s="104"/>
      <c r="J310" s="106"/>
      <c r="K310" s="105"/>
    </row>
    <row r="311" spans="1:11" x14ac:dyDescent="0.25">
      <c r="A311" s="103"/>
      <c r="B311" s="104"/>
      <c r="C311" s="104"/>
      <c r="D311" s="104"/>
      <c r="E311" s="105"/>
      <c r="F311" s="104"/>
      <c r="G311" s="105"/>
      <c r="H311" s="106"/>
      <c r="I311" s="104"/>
      <c r="J311" s="106"/>
      <c r="K311" s="105"/>
    </row>
    <row r="312" spans="1:11" x14ac:dyDescent="0.25">
      <c r="A312" s="103"/>
      <c r="B312" s="104"/>
      <c r="C312" s="104"/>
      <c r="D312" s="104"/>
      <c r="E312" s="105"/>
      <c r="F312" s="104"/>
      <c r="G312" s="105"/>
      <c r="H312" s="106"/>
      <c r="I312" s="104"/>
      <c r="J312" s="106"/>
      <c r="K312" s="105"/>
    </row>
    <row r="313" spans="1:11" x14ac:dyDescent="0.25">
      <c r="A313" s="103"/>
      <c r="B313" s="104"/>
      <c r="C313" s="104"/>
      <c r="D313" s="104"/>
      <c r="E313" s="105"/>
      <c r="F313" s="104"/>
      <c r="G313" s="105"/>
      <c r="H313" s="106"/>
      <c r="I313" s="104"/>
      <c r="J313" s="106"/>
      <c r="K313" s="105"/>
    </row>
    <row r="314" spans="1:11" x14ac:dyDescent="0.25">
      <c r="A314" s="103"/>
      <c r="B314" s="104"/>
      <c r="C314" s="104"/>
      <c r="D314" s="104"/>
      <c r="E314" s="105"/>
      <c r="F314" s="104"/>
      <c r="G314" s="105"/>
      <c r="H314" s="106"/>
      <c r="I314" s="104"/>
      <c r="J314" s="106"/>
      <c r="K314" s="105"/>
    </row>
    <row r="315" spans="1:11" x14ac:dyDescent="0.25">
      <c r="A315" s="103"/>
      <c r="B315" s="104"/>
      <c r="C315" s="104"/>
      <c r="D315" s="104"/>
      <c r="E315" s="105"/>
      <c r="F315" s="104"/>
      <c r="G315" s="105"/>
      <c r="H315" s="106"/>
      <c r="I315" s="104"/>
      <c r="J315" s="106"/>
      <c r="K315" s="105"/>
    </row>
    <row r="316" spans="1:11" x14ac:dyDescent="0.25">
      <c r="A316" s="103"/>
      <c r="B316" s="104"/>
      <c r="C316" s="104"/>
      <c r="D316" s="104"/>
      <c r="E316" s="105"/>
      <c r="F316" s="104"/>
      <c r="G316" s="105"/>
      <c r="H316" s="106"/>
      <c r="I316" s="104"/>
      <c r="J316" s="106"/>
      <c r="K316" s="105"/>
    </row>
    <row r="317" spans="1:11" x14ac:dyDescent="0.25">
      <c r="A317" s="103"/>
      <c r="B317" s="104"/>
      <c r="C317" s="104"/>
      <c r="D317" s="104"/>
      <c r="E317" s="105"/>
      <c r="F317" s="104"/>
      <c r="G317" s="105"/>
      <c r="H317" s="106"/>
      <c r="I317" s="104"/>
      <c r="J317" s="106"/>
      <c r="K317" s="105"/>
    </row>
    <row r="318" spans="1:11" x14ac:dyDescent="0.25">
      <c r="A318" s="103"/>
      <c r="B318" s="104"/>
      <c r="C318" s="104"/>
      <c r="D318" s="104"/>
      <c r="E318" s="105"/>
      <c r="F318" s="104"/>
      <c r="G318" s="105"/>
      <c r="H318" s="106"/>
      <c r="I318" s="104"/>
      <c r="J318" s="106"/>
      <c r="K318" s="105"/>
    </row>
    <row r="319" spans="1:11" x14ac:dyDescent="0.25">
      <c r="A319" s="103"/>
      <c r="B319" s="104"/>
      <c r="C319" s="104"/>
      <c r="D319" s="104"/>
      <c r="E319" s="105"/>
      <c r="F319" s="104"/>
      <c r="G319" s="105"/>
      <c r="H319" s="106"/>
      <c r="I319" s="104"/>
      <c r="J319" s="106"/>
      <c r="K319" s="105"/>
    </row>
    <row r="320" spans="1:11" x14ac:dyDescent="0.25">
      <c r="A320" s="103"/>
      <c r="B320" s="104"/>
      <c r="C320" s="104"/>
      <c r="D320" s="104"/>
      <c r="E320" s="105"/>
      <c r="F320" s="104"/>
      <c r="G320" s="105"/>
      <c r="H320" s="106"/>
      <c r="I320" s="104"/>
      <c r="J320" s="106"/>
      <c r="K320" s="105"/>
    </row>
    <row r="321" spans="1:11" x14ac:dyDescent="0.25">
      <c r="A321" s="103"/>
      <c r="B321" s="104"/>
      <c r="C321" s="104"/>
      <c r="D321" s="104"/>
      <c r="E321" s="105"/>
      <c r="F321" s="104"/>
      <c r="G321" s="105"/>
      <c r="H321" s="106"/>
      <c r="I321" s="104"/>
      <c r="J321" s="106"/>
      <c r="K321" s="105"/>
    </row>
    <row r="322" spans="1:11" x14ac:dyDescent="0.25">
      <c r="A322" s="103"/>
      <c r="B322" s="104"/>
      <c r="C322" s="104"/>
      <c r="D322" s="104"/>
      <c r="E322" s="105"/>
      <c r="F322" s="104"/>
      <c r="G322" s="105"/>
      <c r="H322" s="106"/>
      <c r="I322" s="104"/>
      <c r="J322" s="106"/>
      <c r="K322" s="105"/>
    </row>
    <row r="323" spans="1:11" x14ac:dyDescent="0.25">
      <c r="A323" s="103"/>
      <c r="B323" s="104"/>
      <c r="C323" s="104"/>
      <c r="D323" s="104"/>
      <c r="E323" s="105"/>
      <c r="F323" s="104"/>
      <c r="G323" s="105"/>
      <c r="H323" s="106"/>
      <c r="I323" s="104"/>
      <c r="J323" s="106"/>
      <c r="K323" s="105"/>
    </row>
    <row r="324" spans="1:11" x14ac:dyDescent="0.25">
      <c r="A324" s="103"/>
      <c r="B324" s="104"/>
      <c r="C324" s="104"/>
      <c r="D324" s="104"/>
      <c r="E324" s="105"/>
      <c r="F324" s="104"/>
      <c r="G324" s="105"/>
      <c r="H324" s="106"/>
      <c r="I324" s="104"/>
      <c r="J324" s="106"/>
      <c r="K324" s="105"/>
    </row>
    <row r="325" spans="1:11" x14ac:dyDescent="0.25">
      <c r="A325" s="103"/>
      <c r="B325" s="104"/>
      <c r="C325" s="104"/>
      <c r="D325" s="104"/>
      <c r="E325" s="105"/>
      <c r="F325" s="104"/>
      <c r="G325" s="105"/>
      <c r="H325" s="106"/>
      <c r="I325" s="104"/>
      <c r="J325" s="106"/>
      <c r="K325" s="105"/>
    </row>
    <row r="326" spans="1:11" x14ac:dyDescent="0.25">
      <c r="A326" s="103"/>
      <c r="B326" s="104"/>
      <c r="C326" s="104"/>
      <c r="D326" s="104"/>
      <c r="E326" s="105"/>
      <c r="F326" s="104"/>
      <c r="G326" s="105"/>
      <c r="H326" s="106"/>
      <c r="I326" s="104"/>
      <c r="J326" s="106"/>
      <c r="K326" s="105"/>
    </row>
    <row r="327" spans="1:11" x14ac:dyDescent="0.25">
      <c r="A327" s="103"/>
      <c r="B327" s="104"/>
      <c r="C327" s="104"/>
      <c r="D327" s="104"/>
      <c r="E327" s="105"/>
      <c r="F327" s="104"/>
      <c r="G327" s="105"/>
      <c r="H327" s="106"/>
      <c r="I327" s="104"/>
      <c r="J327" s="106"/>
      <c r="K327" s="105"/>
    </row>
    <row r="328" spans="1:11" x14ac:dyDescent="0.25">
      <c r="A328" s="103"/>
      <c r="B328" s="104"/>
      <c r="C328" s="104"/>
      <c r="D328" s="104"/>
      <c r="E328" s="105"/>
      <c r="F328" s="104"/>
      <c r="G328" s="105"/>
      <c r="H328" s="106"/>
      <c r="I328" s="104"/>
      <c r="J328" s="106"/>
      <c r="K328" s="105"/>
    </row>
    <row r="329" spans="1:11" x14ac:dyDescent="0.25">
      <c r="A329" s="103"/>
      <c r="B329" s="104"/>
      <c r="C329" s="104"/>
      <c r="D329" s="104"/>
      <c r="E329" s="105"/>
      <c r="F329" s="104"/>
      <c r="G329" s="105"/>
      <c r="H329" s="106"/>
      <c r="I329" s="104"/>
      <c r="J329" s="106"/>
      <c r="K329" s="105"/>
    </row>
    <row r="330" spans="1:11" x14ac:dyDescent="0.25">
      <c r="A330" s="103"/>
      <c r="B330" s="104"/>
      <c r="C330" s="104"/>
      <c r="D330" s="104"/>
      <c r="E330" s="105"/>
      <c r="F330" s="104"/>
      <c r="G330" s="105"/>
      <c r="H330" s="106"/>
      <c r="I330" s="104"/>
      <c r="J330" s="106"/>
      <c r="K330" s="105"/>
    </row>
    <row r="331" spans="1:11" x14ac:dyDescent="0.25">
      <c r="A331" s="103"/>
      <c r="B331" s="104"/>
      <c r="C331" s="104"/>
      <c r="D331" s="104"/>
      <c r="E331" s="105"/>
      <c r="F331" s="104"/>
      <c r="G331" s="105"/>
      <c r="H331" s="106"/>
      <c r="I331" s="104"/>
      <c r="J331" s="106"/>
      <c r="K331" s="105"/>
    </row>
    <row r="332" spans="1:11" x14ac:dyDescent="0.25">
      <c r="A332" s="103"/>
      <c r="B332" s="104"/>
      <c r="C332" s="104"/>
      <c r="D332" s="104"/>
      <c r="E332" s="105"/>
      <c r="F332" s="104"/>
      <c r="G332" s="105"/>
      <c r="H332" s="106"/>
      <c r="I332" s="104"/>
      <c r="J332" s="106"/>
      <c r="K332" s="105"/>
    </row>
    <row r="333" spans="1:11" x14ac:dyDescent="0.25">
      <c r="A333" s="103"/>
      <c r="B333" s="104"/>
      <c r="C333" s="104"/>
      <c r="D333" s="104"/>
      <c r="E333" s="105"/>
      <c r="F333" s="104"/>
      <c r="G333" s="105"/>
      <c r="H333" s="106"/>
      <c r="I333" s="104"/>
      <c r="J333" s="106"/>
      <c r="K333" s="105"/>
    </row>
    <row r="334" spans="1:11" x14ac:dyDescent="0.25">
      <c r="A334" s="103"/>
      <c r="B334" s="104"/>
      <c r="C334" s="104"/>
      <c r="D334" s="104"/>
      <c r="E334" s="105"/>
      <c r="F334" s="104"/>
      <c r="G334" s="105"/>
      <c r="H334" s="106"/>
      <c r="I334" s="104"/>
      <c r="J334" s="106"/>
      <c r="K334" s="105"/>
    </row>
    <row r="335" spans="1:11" x14ac:dyDescent="0.25">
      <c r="A335" s="103"/>
      <c r="B335" s="104"/>
      <c r="C335" s="104"/>
      <c r="D335" s="104"/>
      <c r="E335" s="105"/>
      <c r="F335" s="104"/>
      <c r="G335" s="105"/>
      <c r="H335" s="106"/>
      <c r="I335" s="104"/>
      <c r="J335" s="106"/>
      <c r="K335" s="105"/>
    </row>
    <row r="336" spans="1:11" x14ac:dyDescent="0.25">
      <c r="A336" s="103"/>
      <c r="B336" s="104"/>
      <c r="C336" s="104"/>
      <c r="D336" s="104"/>
      <c r="E336" s="105"/>
      <c r="F336" s="104"/>
      <c r="G336" s="105"/>
      <c r="H336" s="106"/>
      <c r="I336" s="104"/>
      <c r="J336" s="106"/>
      <c r="K336" s="105"/>
    </row>
    <row r="337" spans="1:11" x14ac:dyDescent="0.25">
      <c r="A337" s="103"/>
      <c r="B337" s="104"/>
      <c r="C337" s="104"/>
      <c r="D337" s="104"/>
      <c r="E337" s="105"/>
      <c r="F337" s="104"/>
      <c r="G337" s="105"/>
      <c r="H337" s="106"/>
      <c r="I337" s="104"/>
      <c r="J337" s="106"/>
      <c r="K337" s="105"/>
    </row>
    <row r="338" spans="1:11" x14ac:dyDescent="0.25">
      <c r="A338" s="103"/>
      <c r="B338" s="104"/>
      <c r="C338" s="104"/>
      <c r="D338" s="104"/>
      <c r="E338" s="105"/>
      <c r="F338" s="104"/>
      <c r="G338" s="105"/>
      <c r="H338" s="106"/>
      <c r="I338" s="104"/>
      <c r="J338" s="106"/>
      <c r="K338" s="105"/>
    </row>
    <row r="339" spans="1:11" x14ac:dyDescent="0.25">
      <c r="A339" s="103"/>
      <c r="B339" s="104"/>
      <c r="C339" s="104"/>
      <c r="D339" s="104"/>
      <c r="E339" s="105"/>
      <c r="F339" s="104"/>
      <c r="G339" s="105"/>
      <c r="H339" s="106"/>
      <c r="I339" s="104"/>
      <c r="J339" s="106"/>
      <c r="K339" s="105"/>
    </row>
    <row r="340" spans="1:11" x14ac:dyDescent="0.25">
      <c r="A340" s="103"/>
      <c r="B340" s="104"/>
      <c r="C340" s="104"/>
      <c r="D340" s="104"/>
      <c r="E340" s="105"/>
      <c r="F340" s="104"/>
      <c r="G340" s="105"/>
      <c r="H340" s="106"/>
      <c r="I340" s="104"/>
      <c r="J340" s="106"/>
      <c r="K340" s="105"/>
    </row>
    <row r="341" spans="1:11" x14ac:dyDescent="0.25">
      <c r="A341" s="103"/>
      <c r="B341" s="104"/>
      <c r="C341" s="104"/>
      <c r="D341" s="104"/>
      <c r="E341" s="105"/>
      <c r="F341" s="104"/>
      <c r="G341" s="105"/>
      <c r="H341" s="106"/>
      <c r="I341" s="104"/>
      <c r="J341" s="106"/>
      <c r="K341" s="105"/>
    </row>
    <row r="342" spans="1:11" x14ac:dyDescent="0.25">
      <c r="A342" s="103"/>
      <c r="B342" s="104"/>
      <c r="C342" s="104"/>
      <c r="D342" s="104"/>
      <c r="E342" s="105"/>
      <c r="F342" s="104"/>
      <c r="G342" s="105"/>
      <c r="H342" s="106"/>
      <c r="I342" s="104"/>
      <c r="J342" s="106"/>
      <c r="K342" s="105"/>
    </row>
    <row r="343" spans="1:11" x14ac:dyDescent="0.25">
      <c r="A343" s="103"/>
      <c r="B343" s="104"/>
      <c r="C343" s="104"/>
      <c r="D343" s="104"/>
      <c r="E343" s="105"/>
      <c r="F343" s="104"/>
      <c r="G343" s="105"/>
      <c r="H343" s="106"/>
      <c r="I343" s="104"/>
      <c r="J343" s="106"/>
      <c r="K343" s="105"/>
    </row>
    <row r="344" spans="1:11" x14ac:dyDescent="0.25">
      <c r="A344" s="103"/>
      <c r="B344" s="104"/>
      <c r="C344" s="104"/>
      <c r="D344" s="104"/>
      <c r="E344" s="105"/>
      <c r="F344" s="104"/>
      <c r="G344" s="105"/>
      <c r="H344" s="106"/>
      <c r="I344" s="104"/>
      <c r="J344" s="106"/>
      <c r="K344" s="105"/>
    </row>
    <row r="345" spans="1:11" x14ac:dyDescent="0.25">
      <c r="A345" s="103"/>
      <c r="B345" s="104"/>
      <c r="C345" s="104"/>
      <c r="D345" s="104"/>
      <c r="E345" s="105"/>
      <c r="F345" s="104"/>
      <c r="G345" s="105"/>
      <c r="H345" s="106"/>
      <c r="I345" s="104"/>
      <c r="J345" s="106"/>
      <c r="K345" s="105"/>
    </row>
    <row r="346" spans="1:11" x14ac:dyDescent="0.25">
      <c r="A346" s="103"/>
      <c r="B346" s="104"/>
      <c r="C346" s="104"/>
      <c r="D346" s="104"/>
      <c r="E346" s="105"/>
      <c r="F346" s="104"/>
      <c r="G346" s="105"/>
      <c r="H346" s="106"/>
      <c r="I346" s="104"/>
      <c r="J346" s="106"/>
      <c r="K346" s="105"/>
    </row>
    <row r="347" spans="1:11" x14ac:dyDescent="0.25">
      <c r="A347" s="103"/>
      <c r="B347" s="104"/>
      <c r="C347" s="104"/>
      <c r="D347" s="104"/>
      <c r="E347" s="105"/>
      <c r="F347" s="104"/>
      <c r="G347" s="105"/>
      <c r="H347" s="106"/>
      <c r="I347" s="104"/>
      <c r="J347" s="106"/>
      <c r="K347" s="105"/>
    </row>
    <row r="348" spans="1:11" x14ac:dyDescent="0.25">
      <c r="A348" s="103"/>
      <c r="B348" s="104"/>
      <c r="C348" s="104"/>
      <c r="D348" s="104"/>
      <c r="E348" s="105"/>
      <c r="F348" s="104"/>
      <c r="G348" s="105"/>
      <c r="H348" s="106"/>
      <c r="I348" s="104"/>
      <c r="J348" s="106"/>
      <c r="K348" s="105"/>
    </row>
    <row r="349" spans="1:11" x14ac:dyDescent="0.25">
      <c r="A349" s="103"/>
      <c r="B349" s="104"/>
      <c r="C349" s="104"/>
      <c r="D349" s="104"/>
      <c r="E349" s="105"/>
      <c r="F349" s="104"/>
      <c r="G349" s="105"/>
      <c r="H349" s="106"/>
      <c r="I349" s="104"/>
      <c r="J349" s="106"/>
      <c r="K349" s="105"/>
    </row>
    <row r="350" spans="1:11" x14ac:dyDescent="0.25">
      <c r="A350" s="103"/>
      <c r="B350" s="104"/>
      <c r="C350" s="104"/>
      <c r="D350" s="104"/>
      <c r="E350" s="105"/>
      <c r="F350" s="104"/>
      <c r="G350" s="105"/>
      <c r="H350" s="106"/>
      <c r="I350" s="104"/>
      <c r="J350" s="106"/>
      <c r="K350" s="105"/>
    </row>
    <row r="351" spans="1:11" x14ac:dyDescent="0.25">
      <c r="A351" s="103"/>
      <c r="B351" s="104"/>
      <c r="C351" s="104"/>
      <c r="D351" s="104"/>
      <c r="E351" s="105"/>
      <c r="F351" s="104"/>
      <c r="G351" s="105"/>
      <c r="H351" s="106"/>
      <c r="I351" s="104"/>
      <c r="J351" s="106"/>
      <c r="K351" s="105"/>
    </row>
    <row r="352" spans="1:11" x14ac:dyDescent="0.25">
      <c r="A352" s="103"/>
      <c r="B352" s="104"/>
      <c r="C352" s="104"/>
      <c r="D352" s="104"/>
      <c r="E352" s="105"/>
      <c r="F352" s="104"/>
      <c r="G352" s="105"/>
      <c r="H352" s="106"/>
      <c r="I352" s="104"/>
      <c r="J352" s="106"/>
      <c r="K352" s="105"/>
    </row>
    <row r="353" spans="1:11" x14ac:dyDescent="0.25">
      <c r="A353" s="103"/>
      <c r="B353" s="104"/>
      <c r="C353" s="104"/>
      <c r="D353" s="104"/>
      <c r="E353" s="105"/>
      <c r="F353" s="104"/>
      <c r="G353" s="105"/>
      <c r="H353" s="106"/>
      <c r="I353" s="104"/>
      <c r="J353" s="106"/>
      <c r="K353" s="105"/>
    </row>
    <row r="354" spans="1:11" x14ac:dyDescent="0.25">
      <c r="A354" s="103"/>
      <c r="B354" s="104"/>
      <c r="C354" s="104"/>
      <c r="D354" s="104"/>
      <c r="E354" s="105"/>
      <c r="F354" s="104"/>
      <c r="G354" s="105"/>
      <c r="H354" s="106"/>
      <c r="I354" s="104"/>
      <c r="J354" s="106"/>
      <c r="K354" s="105"/>
    </row>
    <row r="355" spans="1:11" x14ac:dyDescent="0.25">
      <c r="A355" s="103"/>
      <c r="B355" s="104"/>
      <c r="C355" s="104"/>
      <c r="D355" s="104"/>
      <c r="E355" s="105"/>
      <c r="F355" s="104"/>
      <c r="G355" s="105"/>
      <c r="H355" s="106"/>
      <c r="I355" s="104"/>
      <c r="J355" s="106"/>
      <c r="K355" s="105"/>
    </row>
    <row r="356" spans="1:11" x14ac:dyDescent="0.25">
      <c r="A356" s="103"/>
      <c r="B356" s="104"/>
      <c r="C356" s="104"/>
      <c r="D356" s="104"/>
      <c r="E356" s="105"/>
      <c r="F356" s="104"/>
      <c r="G356" s="105"/>
      <c r="H356" s="106"/>
      <c r="I356" s="104"/>
      <c r="J356" s="106"/>
      <c r="K356" s="105"/>
    </row>
    <row r="357" spans="1:11" x14ac:dyDescent="0.25">
      <c r="A357" s="103"/>
      <c r="B357" s="104"/>
      <c r="C357" s="104"/>
      <c r="D357" s="104"/>
      <c r="E357" s="105"/>
      <c r="F357" s="104"/>
      <c r="G357" s="105"/>
      <c r="H357" s="106"/>
      <c r="I357" s="104"/>
      <c r="J357" s="106"/>
      <c r="K357" s="105"/>
    </row>
    <row r="358" spans="1:11" x14ac:dyDescent="0.25">
      <c r="A358" s="103"/>
      <c r="B358" s="104"/>
      <c r="C358" s="104"/>
      <c r="D358" s="104"/>
      <c r="E358" s="105"/>
      <c r="F358" s="104"/>
      <c r="G358" s="105"/>
      <c r="H358" s="106"/>
      <c r="I358" s="104"/>
      <c r="J358" s="106"/>
      <c r="K358" s="105"/>
    </row>
    <row r="359" spans="1:11" x14ac:dyDescent="0.25">
      <c r="A359" s="103"/>
      <c r="B359" s="104"/>
      <c r="C359" s="104"/>
      <c r="D359" s="104"/>
      <c r="E359" s="105"/>
      <c r="F359" s="104"/>
      <c r="G359" s="105"/>
      <c r="H359" s="106"/>
      <c r="I359" s="104"/>
      <c r="J359" s="106"/>
      <c r="K359" s="105"/>
    </row>
    <row r="360" spans="1:11" x14ac:dyDescent="0.25">
      <c r="A360" s="103"/>
      <c r="B360" s="104"/>
      <c r="C360" s="104"/>
      <c r="D360" s="104"/>
      <c r="E360" s="105"/>
      <c r="F360" s="104"/>
      <c r="G360" s="105"/>
      <c r="H360" s="106"/>
      <c r="I360" s="104"/>
      <c r="J360" s="106"/>
      <c r="K360" s="105"/>
    </row>
    <row r="361" spans="1:11" x14ac:dyDescent="0.25">
      <c r="A361" s="103"/>
      <c r="B361" s="104"/>
      <c r="C361" s="104"/>
      <c r="D361" s="104"/>
      <c r="E361" s="105"/>
      <c r="F361" s="104"/>
      <c r="G361" s="105"/>
      <c r="H361" s="106"/>
      <c r="I361" s="104"/>
      <c r="J361" s="106"/>
      <c r="K361" s="105"/>
    </row>
    <row r="362" spans="1:11" x14ac:dyDescent="0.25">
      <c r="A362" s="103"/>
      <c r="B362" s="104"/>
      <c r="C362" s="104"/>
      <c r="D362" s="104"/>
      <c r="E362" s="105"/>
      <c r="F362" s="104"/>
      <c r="G362" s="105"/>
      <c r="H362" s="106"/>
      <c r="I362" s="104"/>
      <c r="J362" s="106"/>
      <c r="K362" s="105"/>
    </row>
    <row r="363" spans="1:11" x14ac:dyDescent="0.25">
      <c r="A363" s="103"/>
      <c r="B363" s="104"/>
      <c r="C363" s="104"/>
      <c r="D363" s="104"/>
      <c r="E363" s="105"/>
      <c r="F363" s="104"/>
      <c r="G363" s="105"/>
      <c r="H363" s="106"/>
      <c r="I363" s="104"/>
      <c r="J363" s="106"/>
      <c r="K363" s="105"/>
    </row>
    <row r="364" spans="1:11" x14ac:dyDescent="0.25">
      <c r="A364" s="103"/>
      <c r="B364" s="104"/>
      <c r="C364" s="104"/>
      <c r="D364" s="104"/>
      <c r="E364" s="105"/>
      <c r="F364" s="104"/>
      <c r="G364" s="105"/>
      <c r="H364" s="106"/>
      <c r="I364" s="104"/>
      <c r="J364" s="106"/>
      <c r="K364" s="105"/>
    </row>
    <row r="365" spans="1:11" x14ac:dyDescent="0.25">
      <c r="A365" s="103"/>
      <c r="B365" s="104"/>
      <c r="C365" s="104"/>
      <c r="D365" s="104"/>
      <c r="E365" s="105"/>
      <c r="F365" s="104"/>
      <c r="G365" s="105"/>
      <c r="H365" s="106"/>
      <c r="I365" s="104"/>
      <c r="J365" s="106"/>
      <c r="K365" s="105"/>
    </row>
    <row r="366" spans="1:11" x14ac:dyDescent="0.25">
      <c r="A366" s="103"/>
      <c r="B366" s="104"/>
      <c r="C366" s="104"/>
      <c r="D366" s="104"/>
      <c r="E366" s="105"/>
      <c r="F366" s="104"/>
      <c r="G366" s="105"/>
      <c r="H366" s="106"/>
      <c r="I366" s="104"/>
      <c r="J366" s="106"/>
      <c r="K366" s="105"/>
    </row>
    <row r="367" spans="1:11" x14ac:dyDescent="0.25">
      <c r="A367" s="103"/>
      <c r="B367" s="104"/>
      <c r="C367" s="104"/>
      <c r="D367" s="104"/>
      <c r="E367" s="105"/>
      <c r="F367" s="104"/>
      <c r="G367" s="105"/>
      <c r="H367" s="106"/>
      <c r="I367" s="104"/>
      <c r="J367" s="106"/>
      <c r="K367" s="105"/>
    </row>
    <row r="368" spans="1:11" x14ac:dyDescent="0.25">
      <c r="A368" s="103"/>
      <c r="B368" s="104"/>
      <c r="C368" s="104"/>
      <c r="D368" s="104"/>
      <c r="E368" s="105"/>
      <c r="F368" s="104"/>
      <c r="G368" s="105"/>
      <c r="H368" s="106"/>
      <c r="I368" s="104"/>
      <c r="J368" s="106"/>
      <c r="K368" s="105"/>
    </row>
    <row r="369" spans="1:11" x14ac:dyDescent="0.25">
      <c r="A369" s="103"/>
      <c r="B369" s="104"/>
      <c r="C369" s="104"/>
      <c r="D369" s="104"/>
      <c r="E369" s="105"/>
      <c r="F369" s="104"/>
      <c r="G369" s="105"/>
      <c r="H369" s="106"/>
      <c r="I369" s="104"/>
      <c r="J369" s="106"/>
      <c r="K369" s="105"/>
    </row>
    <row r="370" spans="1:11" x14ac:dyDescent="0.25">
      <c r="A370" s="103"/>
      <c r="B370" s="104"/>
      <c r="C370" s="104"/>
      <c r="D370" s="104"/>
      <c r="E370" s="105"/>
      <c r="F370" s="104"/>
      <c r="G370" s="105"/>
      <c r="H370" s="106"/>
      <c r="I370" s="104"/>
      <c r="J370" s="106"/>
      <c r="K370" s="105"/>
    </row>
    <row r="371" spans="1:11" x14ac:dyDescent="0.25">
      <c r="A371" s="103"/>
      <c r="B371" s="104"/>
      <c r="C371" s="104"/>
      <c r="D371" s="104"/>
      <c r="E371" s="105"/>
      <c r="F371" s="104"/>
      <c r="G371" s="105"/>
      <c r="H371" s="106"/>
      <c r="I371" s="104"/>
      <c r="J371" s="106"/>
      <c r="K371" s="105"/>
    </row>
    <row r="372" spans="1:11" x14ac:dyDescent="0.25">
      <c r="A372" s="103"/>
      <c r="B372" s="104"/>
      <c r="C372" s="104"/>
      <c r="D372" s="104"/>
      <c r="E372" s="105"/>
      <c r="F372" s="104"/>
      <c r="G372" s="105"/>
      <c r="H372" s="106"/>
      <c r="I372" s="104"/>
      <c r="J372" s="106"/>
      <c r="K372" s="105"/>
    </row>
    <row r="373" spans="1:11" x14ac:dyDescent="0.25">
      <c r="A373" s="103"/>
      <c r="B373" s="104"/>
      <c r="C373" s="104"/>
      <c r="D373" s="104"/>
      <c r="E373" s="105"/>
      <c r="F373" s="104"/>
      <c r="G373" s="105"/>
      <c r="H373" s="106"/>
      <c r="I373" s="104"/>
      <c r="J373" s="106"/>
      <c r="K373" s="105"/>
    </row>
    <row r="374" spans="1:11" x14ac:dyDescent="0.25">
      <c r="A374" s="103"/>
      <c r="B374" s="104"/>
      <c r="C374" s="104"/>
      <c r="D374" s="104"/>
      <c r="E374" s="105"/>
      <c r="F374" s="104"/>
      <c r="G374" s="105"/>
      <c r="H374" s="106"/>
      <c r="I374" s="104"/>
      <c r="J374" s="106"/>
      <c r="K374" s="105"/>
    </row>
    <row r="375" spans="1:11" x14ac:dyDescent="0.25">
      <c r="A375" s="103"/>
      <c r="B375" s="104"/>
      <c r="C375" s="104"/>
      <c r="D375" s="104"/>
      <c r="E375" s="105"/>
      <c r="F375" s="104"/>
      <c r="G375" s="105"/>
      <c r="H375" s="106"/>
      <c r="I375" s="104"/>
      <c r="J375" s="106"/>
      <c r="K375" s="105"/>
    </row>
    <row r="376" spans="1:11" x14ac:dyDescent="0.25">
      <c r="A376" s="103"/>
      <c r="B376" s="104"/>
      <c r="C376" s="104"/>
      <c r="D376" s="104"/>
      <c r="E376" s="105"/>
      <c r="F376" s="104"/>
      <c r="G376" s="105"/>
      <c r="H376" s="106"/>
      <c r="I376" s="104"/>
      <c r="J376" s="106"/>
      <c r="K376" s="105"/>
    </row>
    <row r="377" spans="1:11" x14ac:dyDescent="0.25">
      <c r="A377" s="103"/>
      <c r="B377" s="104"/>
      <c r="C377" s="104"/>
      <c r="D377" s="104"/>
      <c r="E377" s="105"/>
      <c r="F377" s="104"/>
      <c r="G377" s="105"/>
      <c r="H377" s="106"/>
      <c r="I377" s="104"/>
      <c r="J377" s="106"/>
      <c r="K377" s="105"/>
    </row>
    <row r="378" spans="1:11" x14ac:dyDescent="0.25">
      <c r="A378" s="103"/>
      <c r="B378" s="104"/>
      <c r="C378" s="104"/>
      <c r="D378" s="104"/>
      <c r="E378" s="105"/>
      <c r="F378" s="104"/>
      <c r="G378" s="105"/>
      <c r="H378" s="106"/>
      <c r="I378" s="104"/>
      <c r="J378" s="106"/>
      <c r="K378" s="105"/>
    </row>
    <row r="379" spans="1:11" x14ac:dyDescent="0.25">
      <c r="A379" s="103"/>
      <c r="B379" s="104"/>
      <c r="C379" s="104"/>
      <c r="D379" s="104"/>
      <c r="E379" s="105"/>
      <c r="F379" s="104"/>
      <c r="G379" s="105"/>
      <c r="H379" s="106"/>
      <c r="I379" s="104"/>
      <c r="J379" s="106"/>
      <c r="K379" s="105"/>
    </row>
    <row r="380" spans="1:11" x14ac:dyDescent="0.25">
      <c r="A380" s="103"/>
      <c r="B380" s="104"/>
      <c r="C380" s="104"/>
      <c r="D380" s="104"/>
      <c r="E380" s="105"/>
      <c r="F380" s="104"/>
      <c r="G380" s="105"/>
      <c r="H380" s="106"/>
      <c r="I380" s="104"/>
      <c r="J380" s="106"/>
      <c r="K380" s="105"/>
    </row>
    <row r="381" spans="1:11" x14ac:dyDescent="0.25">
      <c r="A381" s="103"/>
      <c r="B381" s="104"/>
      <c r="C381" s="104"/>
      <c r="D381" s="104"/>
      <c r="E381" s="105"/>
      <c r="F381" s="104"/>
      <c r="G381" s="105"/>
      <c r="H381" s="106"/>
      <c r="I381" s="104"/>
      <c r="J381" s="106"/>
      <c r="K381" s="105"/>
    </row>
    <row r="382" spans="1:11" x14ac:dyDescent="0.25">
      <c r="A382" s="103"/>
      <c r="B382" s="104"/>
      <c r="C382" s="104"/>
      <c r="D382" s="104"/>
      <c r="E382" s="105"/>
      <c r="F382" s="104"/>
      <c r="G382" s="105"/>
      <c r="H382" s="106"/>
      <c r="I382" s="104"/>
      <c r="J382" s="106"/>
      <c r="K382" s="105"/>
    </row>
    <row r="383" spans="1:11" x14ac:dyDescent="0.25">
      <c r="A383" s="103"/>
      <c r="B383" s="104"/>
      <c r="C383" s="104"/>
      <c r="D383" s="104"/>
      <c r="E383" s="105"/>
      <c r="F383" s="104"/>
      <c r="G383" s="105"/>
      <c r="H383" s="106"/>
      <c r="I383" s="104"/>
      <c r="J383" s="106"/>
      <c r="K383" s="105"/>
    </row>
    <row r="384" spans="1:11" x14ac:dyDescent="0.25">
      <c r="A384" s="103"/>
      <c r="B384" s="104"/>
      <c r="C384" s="104"/>
      <c r="D384" s="104"/>
      <c r="E384" s="105"/>
      <c r="F384" s="104"/>
      <c r="G384" s="105"/>
      <c r="H384" s="106"/>
      <c r="I384" s="104"/>
      <c r="J384" s="106"/>
      <c r="K384" s="105"/>
    </row>
    <row r="385" spans="1:11" x14ac:dyDescent="0.25">
      <c r="A385" s="103"/>
      <c r="B385" s="104"/>
      <c r="C385" s="104"/>
      <c r="D385" s="104"/>
      <c r="E385" s="105"/>
      <c r="F385" s="104"/>
      <c r="G385" s="105"/>
      <c r="H385" s="106"/>
      <c r="I385" s="104"/>
      <c r="J385" s="106"/>
      <c r="K385" s="105"/>
    </row>
    <row r="386" spans="1:11" x14ac:dyDescent="0.25">
      <c r="A386" s="103"/>
      <c r="B386" s="104"/>
      <c r="C386" s="104"/>
      <c r="D386" s="104"/>
      <c r="E386" s="105"/>
      <c r="F386" s="104"/>
      <c r="G386" s="105"/>
      <c r="H386" s="106"/>
      <c r="I386" s="104"/>
      <c r="J386" s="106"/>
      <c r="K386" s="105"/>
    </row>
    <row r="387" spans="1:11" x14ac:dyDescent="0.25">
      <c r="A387" s="103"/>
      <c r="B387" s="104"/>
      <c r="C387" s="104"/>
      <c r="D387" s="104"/>
      <c r="E387" s="105"/>
      <c r="F387" s="104"/>
      <c r="G387" s="105"/>
      <c r="H387" s="106"/>
      <c r="I387" s="104"/>
      <c r="J387" s="106"/>
      <c r="K387" s="105"/>
    </row>
    <row r="388" spans="1:11" x14ac:dyDescent="0.25">
      <c r="A388" s="103"/>
      <c r="B388" s="104"/>
      <c r="C388" s="104"/>
      <c r="D388" s="104"/>
      <c r="E388" s="105"/>
      <c r="F388" s="104"/>
      <c r="G388" s="105"/>
      <c r="H388" s="106"/>
      <c r="I388" s="104"/>
      <c r="J388" s="106"/>
      <c r="K388" s="105"/>
    </row>
    <row r="389" spans="1:11" x14ac:dyDescent="0.25">
      <c r="A389" s="103"/>
      <c r="B389" s="104"/>
      <c r="C389" s="104"/>
      <c r="D389" s="104"/>
      <c r="E389" s="105"/>
      <c r="F389" s="104"/>
      <c r="G389" s="105"/>
      <c r="H389" s="106"/>
      <c r="I389" s="104"/>
      <c r="J389" s="106"/>
      <c r="K389" s="105"/>
    </row>
    <row r="390" spans="1:11" x14ac:dyDescent="0.25">
      <c r="A390" s="103"/>
      <c r="B390" s="104"/>
      <c r="C390" s="104"/>
      <c r="D390" s="104"/>
      <c r="E390" s="105"/>
      <c r="F390" s="104"/>
      <c r="G390" s="105"/>
      <c r="H390" s="106"/>
      <c r="I390" s="104"/>
      <c r="J390" s="106"/>
      <c r="K390" s="105"/>
    </row>
    <row r="391" spans="1:11" x14ac:dyDescent="0.25">
      <c r="A391" s="103"/>
      <c r="B391" s="104"/>
      <c r="C391" s="104"/>
      <c r="D391" s="104"/>
      <c r="E391" s="105"/>
      <c r="F391" s="104"/>
      <c r="G391" s="105"/>
      <c r="H391" s="106"/>
      <c r="I391" s="104"/>
      <c r="J391" s="106"/>
      <c r="K391" s="105"/>
    </row>
    <row r="392" spans="1:11" x14ac:dyDescent="0.25">
      <c r="A392" s="103"/>
      <c r="B392" s="104"/>
      <c r="C392" s="104"/>
      <c r="D392" s="104"/>
      <c r="E392" s="105"/>
      <c r="F392" s="104"/>
      <c r="G392" s="105"/>
      <c r="H392" s="106"/>
      <c r="I392" s="104"/>
      <c r="J392" s="106"/>
      <c r="K392" s="105"/>
    </row>
    <row r="393" spans="1:11" x14ac:dyDescent="0.25">
      <c r="A393" s="103"/>
      <c r="B393" s="104"/>
      <c r="C393" s="104"/>
      <c r="D393" s="104"/>
      <c r="E393" s="105"/>
      <c r="F393" s="104"/>
      <c r="G393" s="105"/>
      <c r="H393" s="106"/>
      <c r="I393" s="104"/>
      <c r="J393" s="106"/>
      <c r="K393" s="105"/>
    </row>
    <row r="394" spans="1:11" x14ac:dyDescent="0.25">
      <c r="A394" s="103"/>
      <c r="B394" s="104"/>
      <c r="C394" s="104"/>
      <c r="D394" s="104"/>
      <c r="E394" s="105"/>
      <c r="F394" s="104"/>
      <c r="G394" s="105"/>
      <c r="H394" s="106"/>
      <c r="I394" s="104"/>
      <c r="J394" s="106"/>
      <c r="K394" s="105"/>
    </row>
    <row r="395" spans="1:11" x14ac:dyDescent="0.25">
      <c r="A395" s="103"/>
      <c r="B395" s="104"/>
      <c r="C395" s="104"/>
      <c r="D395" s="104"/>
      <c r="E395" s="105"/>
      <c r="F395" s="104"/>
      <c r="G395" s="105"/>
      <c r="H395" s="106"/>
      <c r="I395" s="104"/>
      <c r="J395" s="106"/>
      <c r="K395" s="105"/>
    </row>
    <row r="396" spans="1:11" x14ac:dyDescent="0.25">
      <c r="A396" s="103"/>
      <c r="B396" s="104"/>
      <c r="C396" s="104"/>
      <c r="D396" s="104"/>
      <c r="E396" s="105"/>
      <c r="F396" s="104"/>
      <c r="G396" s="105"/>
      <c r="H396" s="106"/>
      <c r="I396" s="104"/>
      <c r="J396" s="106"/>
      <c r="K396" s="105"/>
    </row>
    <row r="397" spans="1:11" x14ac:dyDescent="0.25">
      <c r="A397" s="103"/>
      <c r="B397" s="104"/>
      <c r="C397" s="104"/>
      <c r="D397" s="104"/>
      <c r="E397" s="105"/>
      <c r="F397" s="104"/>
      <c r="G397" s="105"/>
      <c r="H397" s="106"/>
      <c r="I397" s="104"/>
      <c r="J397" s="106"/>
      <c r="K397" s="105"/>
    </row>
    <row r="398" spans="1:11" x14ac:dyDescent="0.25">
      <c r="A398" s="103"/>
      <c r="B398" s="104"/>
      <c r="C398" s="104"/>
      <c r="D398" s="104"/>
      <c r="E398" s="105"/>
      <c r="F398" s="104"/>
      <c r="G398" s="105"/>
      <c r="H398" s="106"/>
      <c r="I398" s="104"/>
      <c r="J398" s="106"/>
      <c r="K398" s="105"/>
    </row>
    <row r="399" spans="1:11" x14ac:dyDescent="0.25">
      <c r="A399" s="103"/>
      <c r="B399" s="104"/>
      <c r="C399" s="104"/>
      <c r="D399" s="104"/>
      <c r="E399" s="105"/>
      <c r="F399" s="104"/>
      <c r="G399" s="105"/>
      <c r="H399" s="106"/>
      <c r="I399" s="104"/>
      <c r="J399" s="106"/>
      <c r="K399" s="105"/>
    </row>
    <row r="400" spans="1:11" x14ac:dyDescent="0.25">
      <c r="A400" s="103"/>
      <c r="B400" s="104"/>
      <c r="C400" s="104"/>
      <c r="D400" s="104"/>
      <c r="E400" s="105"/>
      <c r="F400" s="104"/>
      <c r="G400" s="105"/>
      <c r="H400" s="106"/>
      <c r="I400" s="104"/>
      <c r="J400" s="106"/>
      <c r="K400" s="105"/>
    </row>
    <row r="401" spans="1:11" x14ac:dyDescent="0.25">
      <c r="A401" s="103"/>
      <c r="B401" s="104"/>
      <c r="C401" s="104"/>
      <c r="D401" s="104"/>
      <c r="E401" s="105"/>
      <c r="F401" s="104"/>
      <c r="G401" s="105"/>
      <c r="H401" s="106"/>
      <c r="I401" s="104"/>
      <c r="J401" s="106"/>
      <c r="K401" s="105"/>
    </row>
    <row r="402" spans="1:11" x14ac:dyDescent="0.25">
      <c r="A402" s="103"/>
      <c r="B402" s="104"/>
      <c r="C402" s="104"/>
      <c r="D402" s="104"/>
      <c r="E402" s="105"/>
      <c r="F402" s="104"/>
      <c r="G402" s="105"/>
      <c r="H402" s="106"/>
      <c r="I402" s="104"/>
      <c r="J402" s="106"/>
      <c r="K402" s="105"/>
    </row>
    <row r="403" spans="1:11" x14ac:dyDescent="0.25">
      <c r="A403" s="103"/>
      <c r="B403" s="104"/>
      <c r="C403" s="104"/>
      <c r="D403" s="104"/>
      <c r="E403" s="105"/>
      <c r="F403" s="104"/>
      <c r="G403" s="105"/>
      <c r="H403" s="106"/>
      <c r="I403" s="104"/>
      <c r="J403" s="106"/>
      <c r="K403" s="105"/>
    </row>
    <row r="404" spans="1:11" x14ac:dyDescent="0.25">
      <c r="A404" s="103"/>
      <c r="B404" s="104"/>
      <c r="C404" s="104"/>
      <c r="D404" s="104"/>
      <c r="E404" s="105"/>
      <c r="F404" s="104"/>
      <c r="G404" s="105"/>
      <c r="H404" s="106"/>
      <c r="I404" s="104"/>
      <c r="J404" s="106"/>
      <c r="K404" s="105"/>
    </row>
    <row r="405" spans="1:11" x14ac:dyDescent="0.25">
      <c r="A405" s="103"/>
      <c r="B405" s="104"/>
      <c r="C405" s="104"/>
      <c r="D405" s="104"/>
      <c r="E405" s="105"/>
      <c r="F405" s="104"/>
      <c r="G405" s="105"/>
      <c r="H405" s="106"/>
      <c r="I405" s="104"/>
      <c r="J405" s="106"/>
      <c r="K405" s="105"/>
    </row>
    <row r="406" spans="1:11" x14ac:dyDescent="0.25">
      <c r="A406" s="103"/>
      <c r="B406" s="104"/>
      <c r="C406" s="104"/>
      <c r="D406" s="104"/>
      <c r="E406" s="105"/>
      <c r="F406" s="104"/>
      <c r="G406" s="105"/>
      <c r="H406" s="106"/>
      <c r="I406" s="104"/>
      <c r="J406" s="106"/>
      <c r="K406" s="105"/>
    </row>
    <row r="407" spans="1:11" x14ac:dyDescent="0.25">
      <c r="A407" s="103"/>
      <c r="B407" s="104"/>
      <c r="C407" s="104"/>
      <c r="D407" s="104"/>
      <c r="E407" s="105"/>
      <c r="F407" s="104"/>
      <c r="G407" s="105"/>
      <c r="H407" s="106"/>
      <c r="I407" s="104"/>
      <c r="J407" s="106"/>
      <c r="K407" s="105"/>
    </row>
    <row r="408" spans="1:11" x14ac:dyDescent="0.25">
      <c r="A408" s="103"/>
      <c r="B408" s="104"/>
      <c r="C408" s="104"/>
      <c r="D408" s="104"/>
      <c r="E408" s="105"/>
      <c r="F408" s="104"/>
      <c r="G408" s="105"/>
      <c r="H408" s="106"/>
      <c r="I408" s="104"/>
      <c r="J408" s="106"/>
      <c r="K408" s="105"/>
    </row>
    <row r="409" spans="1:11" x14ac:dyDescent="0.25">
      <c r="A409" s="103"/>
      <c r="B409" s="104"/>
      <c r="C409" s="104"/>
      <c r="D409" s="104"/>
      <c r="E409" s="105"/>
      <c r="F409" s="104"/>
      <c r="G409" s="105"/>
      <c r="H409" s="106"/>
      <c r="I409" s="104"/>
      <c r="J409" s="106"/>
      <c r="K409" s="105"/>
    </row>
    <row r="410" spans="1:11" x14ac:dyDescent="0.25">
      <c r="A410" s="103"/>
      <c r="B410" s="104"/>
      <c r="C410" s="104"/>
      <c r="D410" s="104"/>
      <c r="E410" s="105"/>
      <c r="F410" s="104"/>
      <c r="G410" s="105"/>
      <c r="H410" s="106"/>
      <c r="I410" s="104"/>
      <c r="J410" s="106"/>
      <c r="K410" s="105"/>
    </row>
    <row r="411" spans="1:11" x14ac:dyDescent="0.25">
      <c r="A411" s="103"/>
      <c r="B411" s="104"/>
      <c r="C411" s="104"/>
      <c r="D411" s="104"/>
      <c r="E411" s="105"/>
      <c r="F411" s="104"/>
      <c r="G411" s="105"/>
      <c r="H411" s="106"/>
      <c r="I411" s="104"/>
      <c r="J411" s="106"/>
      <c r="K411" s="105"/>
    </row>
    <row r="412" spans="1:11" x14ac:dyDescent="0.25">
      <c r="A412" s="103"/>
      <c r="B412" s="104"/>
      <c r="C412" s="104"/>
      <c r="D412" s="104"/>
      <c r="E412" s="105"/>
      <c r="F412" s="104"/>
      <c r="G412" s="105"/>
      <c r="H412" s="106"/>
      <c r="I412" s="104"/>
      <c r="J412" s="106"/>
      <c r="K412" s="105"/>
    </row>
    <row r="413" spans="1:11" x14ac:dyDescent="0.25">
      <c r="A413" s="103"/>
      <c r="B413" s="104"/>
      <c r="C413" s="104"/>
      <c r="D413" s="104"/>
      <c r="E413" s="105"/>
      <c r="F413" s="104"/>
      <c r="G413" s="105"/>
      <c r="H413" s="106"/>
      <c r="I413" s="104"/>
      <c r="J413" s="106"/>
      <c r="K413" s="105"/>
    </row>
    <row r="414" spans="1:11" x14ac:dyDescent="0.25">
      <c r="A414" s="103"/>
      <c r="B414" s="104"/>
      <c r="C414" s="104"/>
      <c r="D414" s="104"/>
      <c r="E414" s="105"/>
      <c r="F414" s="104"/>
      <c r="G414" s="105"/>
      <c r="H414" s="106"/>
      <c r="I414" s="104"/>
      <c r="J414" s="106"/>
      <c r="K414" s="105"/>
    </row>
    <row r="415" spans="1:11" x14ac:dyDescent="0.25">
      <c r="A415" s="103"/>
      <c r="B415" s="104"/>
      <c r="C415" s="104"/>
      <c r="D415" s="104"/>
      <c r="E415" s="105"/>
      <c r="F415" s="104"/>
      <c r="G415" s="105"/>
      <c r="H415" s="106"/>
      <c r="I415" s="104"/>
      <c r="J415" s="106"/>
      <c r="K415" s="105"/>
    </row>
    <row r="416" spans="1:11" x14ac:dyDescent="0.25">
      <c r="A416" s="103"/>
      <c r="B416" s="104"/>
      <c r="C416" s="104"/>
      <c r="D416" s="104"/>
      <c r="E416" s="105"/>
      <c r="F416" s="104"/>
      <c r="G416" s="105"/>
      <c r="H416" s="106"/>
      <c r="I416" s="104"/>
      <c r="J416" s="106"/>
      <c r="K416" s="105"/>
    </row>
    <row r="417" spans="1:11" x14ac:dyDescent="0.25">
      <c r="A417" s="103"/>
      <c r="B417" s="104"/>
      <c r="C417" s="104"/>
      <c r="D417" s="104"/>
      <c r="E417" s="105"/>
      <c r="F417" s="104"/>
      <c r="G417" s="105"/>
      <c r="H417" s="106"/>
      <c r="I417" s="104"/>
      <c r="J417" s="106"/>
      <c r="K417" s="105"/>
    </row>
    <row r="418" spans="1:11" x14ac:dyDescent="0.25">
      <c r="A418" s="103"/>
      <c r="B418" s="104"/>
      <c r="C418" s="104"/>
      <c r="D418" s="104"/>
      <c r="E418" s="105"/>
      <c r="F418" s="104"/>
      <c r="G418" s="105"/>
      <c r="H418" s="106"/>
      <c r="I418" s="104"/>
      <c r="J418" s="106"/>
      <c r="K418" s="105"/>
    </row>
    <row r="419" spans="1:11" x14ac:dyDescent="0.25">
      <c r="A419" s="103"/>
      <c r="B419" s="104"/>
      <c r="C419" s="104"/>
      <c r="D419" s="104"/>
      <c r="E419" s="105"/>
      <c r="F419" s="104"/>
      <c r="G419" s="105"/>
      <c r="H419" s="106"/>
      <c r="I419" s="104"/>
      <c r="J419" s="106"/>
      <c r="K419" s="105"/>
    </row>
    <row r="420" spans="1:11" x14ac:dyDescent="0.25">
      <c r="A420" s="103"/>
      <c r="B420" s="104"/>
      <c r="C420" s="104"/>
      <c r="D420" s="104"/>
      <c r="E420" s="105"/>
      <c r="F420" s="104"/>
      <c r="G420" s="105"/>
      <c r="H420" s="106"/>
      <c r="I420" s="104"/>
      <c r="J420" s="106"/>
      <c r="K420" s="105"/>
    </row>
    <row r="421" spans="1:11" x14ac:dyDescent="0.25">
      <c r="A421" s="103"/>
      <c r="B421" s="104"/>
      <c r="C421" s="104"/>
      <c r="D421" s="104"/>
      <c r="E421" s="105"/>
      <c r="F421" s="104"/>
      <c r="G421" s="105"/>
      <c r="H421" s="106"/>
      <c r="I421" s="104"/>
      <c r="J421" s="106"/>
      <c r="K421" s="105"/>
    </row>
    <row r="422" spans="1:11" x14ac:dyDescent="0.25">
      <c r="A422" s="103"/>
      <c r="B422" s="104"/>
      <c r="C422" s="104"/>
      <c r="D422" s="104"/>
      <c r="E422" s="105"/>
      <c r="F422" s="104"/>
      <c r="G422" s="105"/>
      <c r="H422" s="106"/>
      <c r="I422" s="104"/>
      <c r="J422" s="106"/>
      <c r="K422" s="105"/>
    </row>
    <row r="423" spans="1:11" x14ac:dyDescent="0.25">
      <c r="A423" s="103"/>
      <c r="B423" s="104"/>
      <c r="C423" s="104"/>
      <c r="D423" s="104"/>
      <c r="E423" s="105"/>
      <c r="F423" s="104"/>
      <c r="G423" s="105"/>
      <c r="H423" s="106"/>
      <c r="I423" s="104"/>
      <c r="J423" s="106"/>
      <c r="K423" s="105"/>
    </row>
    <row r="424" spans="1:11" x14ac:dyDescent="0.25">
      <c r="A424" s="103"/>
      <c r="B424" s="104"/>
      <c r="C424" s="104"/>
      <c r="D424" s="104"/>
      <c r="E424" s="105"/>
      <c r="F424" s="104"/>
      <c r="G424" s="105"/>
      <c r="H424" s="106"/>
      <c r="I424" s="104"/>
      <c r="J424" s="106"/>
      <c r="K424" s="105"/>
    </row>
    <row r="425" spans="1:11" x14ac:dyDescent="0.25">
      <c r="A425" s="103"/>
      <c r="B425" s="104"/>
      <c r="C425" s="104"/>
      <c r="D425" s="104"/>
      <c r="E425" s="105"/>
      <c r="F425" s="104"/>
      <c r="G425" s="105"/>
      <c r="H425" s="106"/>
      <c r="I425" s="104"/>
      <c r="J425" s="106"/>
      <c r="K425" s="105"/>
    </row>
    <row r="426" spans="1:11" x14ac:dyDescent="0.25">
      <c r="A426" s="103"/>
      <c r="B426" s="104"/>
      <c r="C426" s="104"/>
      <c r="D426" s="104"/>
      <c r="E426" s="105"/>
      <c r="F426" s="104"/>
      <c r="G426" s="105"/>
      <c r="H426" s="106"/>
      <c r="I426" s="104"/>
      <c r="J426" s="106"/>
      <c r="K426" s="105"/>
    </row>
    <row r="427" spans="1:11" x14ac:dyDescent="0.25">
      <c r="A427" s="103"/>
      <c r="B427" s="104"/>
      <c r="C427" s="104"/>
      <c r="D427" s="104"/>
      <c r="E427" s="105"/>
      <c r="F427" s="104"/>
      <c r="G427" s="105"/>
      <c r="H427" s="106"/>
      <c r="I427" s="104"/>
      <c r="J427" s="106"/>
      <c r="K427" s="105"/>
    </row>
    <row r="428" spans="1:11" x14ac:dyDescent="0.25">
      <c r="A428" s="103"/>
      <c r="B428" s="104"/>
      <c r="C428" s="104"/>
      <c r="D428" s="104"/>
      <c r="E428" s="105"/>
      <c r="F428" s="104"/>
      <c r="G428" s="105"/>
      <c r="H428" s="106"/>
      <c r="I428" s="104"/>
      <c r="J428" s="106"/>
      <c r="K428" s="105"/>
    </row>
    <row r="429" spans="1:11" x14ac:dyDescent="0.25">
      <c r="A429" s="103"/>
      <c r="B429" s="104"/>
      <c r="C429" s="104"/>
      <c r="D429" s="104"/>
      <c r="E429" s="105"/>
      <c r="F429" s="104"/>
      <c r="G429" s="105"/>
      <c r="H429" s="106"/>
      <c r="I429" s="104"/>
      <c r="J429" s="106"/>
      <c r="K429" s="105"/>
    </row>
    <row r="430" spans="1:11" x14ac:dyDescent="0.25">
      <c r="A430" s="103"/>
      <c r="B430" s="104"/>
      <c r="C430" s="104"/>
      <c r="D430" s="104"/>
      <c r="E430" s="105"/>
      <c r="F430" s="104"/>
      <c r="G430" s="105"/>
      <c r="H430" s="106"/>
      <c r="I430" s="104"/>
      <c r="J430" s="106"/>
      <c r="K430" s="105"/>
    </row>
    <row r="431" spans="1:11" x14ac:dyDescent="0.25">
      <c r="A431" s="103"/>
      <c r="B431" s="104"/>
      <c r="C431" s="104"/>
      <c r="D431" s="104"/>
      <c r="E431" s="105"/>
      <c r="F431" s="104"/>
      <c r="G431" s="105"/>
      <c r="H431" s="106"/>
      <c r="I431" s="104"/>
      <c r="J431" s="106"/>
      <c r="K431" s="105"/>
    </row>
    <row r="432" spans="1:11" x14ac:dyDescent="0.25">
      <c r="A432" s="103"/>
      <c r="B432" s="104"/>
      <c r="C432" s="104"/>
      <c r="D432" s="104"/>
      <c r="E432" s="105"/>
      <c r="F432" s="104"/>
      <c r="G432" s="105"/>
      <c r="H432" s="106"/>
      <c r="I432" s="104"/>
      <c r="J432" s="106"/>
      <c r="K432" s="105"/>
    </row>
    <row r="433" spans="1:11" x14ac:dyDescent="0.25">
      <c r="A433" s="103"/>
      <c r="B433" s="104"/>
      <c r="C433" s="104"/>
      <c r="D433" s="104"/>
      <c r="E433" s="105"/>
      <c r="F433" s="104"/>
      <c r="G433" s="105"/>
      <c r="H433" s="106"/>
      <c r="I433" s="104"/>
      <c r="J433" s="106"/>
      <c r="K433" s="105"/>
    </row>
    <row r="434" spans="1:11" x14ac:dyDescent="0.25">
      <c r="A434" s="103"/>
      <c r="B434" s="104"/>
      <c r="C434" s="104"/>
      <c r="D434" s="104"/>
      <c r="E434" s="105"/>
      <c r="F434" s="104"/>
      <c r="G434" s="105"/>
      <c r="H434" s="106"/>
      <c r="I434" s="104"/>
      <c r="J434" s="106"/>
      <c r="K434" s="105"/>
    </row>
    <row r="435" spans="1:11" x14ac:dyDescent="0.25">
      <c r="A435" s="103"/>
      <c r="B435" s="104"/>
      <c r="C435" s="104"/>
      <c r="D435" s="104"/>
      <c r="E435" s="105"/>
      <c r="F435" s="104"/>
      <c r="G435" s="105"/>
      <c r="H435" s="106"/>
      <c r="I435" s="104"/>
      <c r="J435" s="106"/>
      <c r="K435" s="105"/>
    </row>
    <row r="436" spans="1:11" x14ac:dyDescent="0.25">
      <c r="A436" s="103"/>
      <c r="B436" s="104"/>
      <c r="C436" s="104"/>
      <c r="D436" s="104"/>
      <c r="E436" s="105"/>
      <c r="F436" s="104"/>
      <c r="G436" s="105"/>
      <c r="H436" s="106"/>
      <c r="I436" s="104"/>
      <c r="J436" s="106"/>
      <c r="K436" s="105"/>
    </row>
    <row r="437" spans="1:11" x14ac:dyDescent="0.25">
      <c r="A437" s="103"/>
      <c r="B437" s="104"/>
      <c r="C437" s="104"/>
      <c r="D437" s="104"/>
      <c r="E437" s="105"/>
      <c r="F437" s="104"/>
      <c r="G437" s="105"/>
      <c r="H437" s="106"/>
      <c r="I437" s="104"/>
      <c r="J437" s="106"/>
      <c r="K437" s="105"/>
    </row>
    <row r="438" spans="1:11" x14ac:dyDescent="0.25">
      <c r="A438" s="103"/>
      <c r="B438" s="104"/>
      <c r="C438" s="104"/>
      <c r="D438" s="104"/>
      <c r="E438" s="105"/>
      <c r="F438" s="104"/>
      <c r="G438" s="105"/>
      <c r="H438" s="106"/>
      <c r="I438" s="104"/>
      <c r="J438" s="106"/>
      <c r="K438" s="105"/>
    </row>
    <row r="439" spans="1:11" x14ac:dyDescent="0.25">
      <c r="A439" s="103"/>
      <c r="B439" s="104"/>
      <c r="C439" s="104"/>
      <c r="D439" s="104"/>
      <c r="E439" s="105"/>
      <c r="F439" s="104"/>
      <c r="G439" s="105"/>
      <c r="H439" s="106"/>
      <c r="I439" s="104"/>
      <c r="J439" s="106"/>
      <c r="K439" s="105"/>
    </row>
    <row r="440" spans="1:11" x14ac:dyDescent="0.25">
      <c r="A440" s="103"/>
      <c r="B440" s="104"/>
      <c r="C440" s="104"/>
      <c r="D440" s="104"/>
      <c r="E440" s="105"/>
      <c r="F440" s="104"/>
      <c r="G440" s="105"/>
      <c r="H440" s="106"/>
      <c r="I440" s="104"/>
      <c r="J440" s="106"/>
      <c r="K440" s="105"/>
    </row>
    <row r="441" spans="1:11" x14ac:dyDescent="0.25">
      <c r="A441" s="103"/>
      <c r="B441" s="104"/>
      <c r="C441" s="104"/>
      <c r="D441" s="104"/>
      <c r="E441" s="105"/>
      <c r="F441" s="104"/>
      <c r="G441" s="105"/>
      <c r="H441" s="106"/>
      <c r="I441" s="104"/>
      <c r="J441" s="106"/>
      <c r="K441" s="105"/>
    </row>
    <row r="442" spans="1:11" x14ac:dyDescent="0.25">
      <c r="A442" s="103"/>
      <c r="B442" s="104"/>
      <c r="C442" s="104"/>
      <c r="D442" s="104"/>
      <c r="E442" s="105"/>
      <c r="F442" s="104"/>
      <c r="G442" s="105"/>
      <c r="H442" s="106"/>
      <c r="I442" s="104"/>
      <c r="J442" s="106"/>
      <c r="K442" s="105"/>
    </row>
    <row r="443" spans="1:11" x14ac:dyDescent="0.25">
      <c r="A443" s="103"/>
      <c r="B443" s="104"/>
      <c r="C443" s="104"/>
      <c r="D443" s="104"/>
      <c r="E443" s="105"/>
      <c r="F443" s="104"/>
      <c r="G443" s="105"/>
      <c r="H443" s="106"/>
      <c r="I443" s="104"/>
      <c r="J443" s="106"/>
      <c r="K443" s="105"/>
    </row>
    <row r="444" spans="1:11" x14ac:dyDescent="0.25">
      <c r="A444" s="103"/>
      <c r="B444" s="104"/>
      <c r="C444" s="104"/>
      <c r="D444" s="104"/>
      <c r="E444" s="105"/>
      <c r="F444" s="104"/>
      <c r="G444" s="105"/>
      <c r="H444" s="106"/>
      <c r="I444" s="104"/>
      <c r="J444" s="106"/>
      <c r="K444" s="105"/>
    </row>
    <row r="445" spans="1:11" x14ac:dyDescent="0.25">
      <c r="A445" s="103"/>
      <c r="B445" s="104"/>
      <c r="C445" s="104"/>
      <c r="D445" s="104"/>
      <c r="E445" s="105"/>
      <c r="F445" s="104"/>
      <c r="G445" s="105"/>
      <c r="H445" s="106"/>
      <c r="I445" s="104"/>
      <c r="J445" s="106"/>
      <c r="K445" s="105"/>
    </row>
    <row r="446" spans="1:11" x14ac:dyDescent="0.25">
      <c r="A446" s="103"/>
      <c r="B446" s="104"/>
      <c r="C446" s="104"/>
      <c r="D446" s="104"/>
      <c r="E446" s="105"/>
      <c r="F446" s="104"/>
      <c r="G446" s="105"/>
      <c r="H446" s="106"/>
      <c r="I446" s="104"/>
      <c r="J446" s="106"/>
      <c r="K446" s="105"/>
    </row>
    <row r="447" spans="1:11" x14ac:dyDescent="0.25">
      <c r="A447" s="103"/>
      <c r="B447" s="104"/>
      <c r="C447" s="104"/>
      <c r="D447" s="104"/>
      <c r="E447" s="105"/>
      <c r="F447" s="104"/>
      <c r="G447" s="105"/>
      <c r="H447" s="106"/>
      <c r="I447" s="104"/>
      <c r="J447" s="106"/>
      <c r="K447" s="105"/>
    </row>
    <row r="448" spans="1:11" x14ac:dyDescent="0.25">
      <c r="A448" s="103"/>
      <c r="B448" s="104"/>
      <c r="C448" s="104"/>
      <c r="D448" s="104"/>
      <c r="E448" s="105"/>
      <c r="F448" s="104"/>
      <c r="G448" s="105"/>
      <c r="H448" s="106"/>
      <c r="I448" s="104"/>
      <c r="J448" s="106"/>
      <c r="K448" s="105"/>
    </row>
    <row r="449" spans="1:11" x14ac:dyDescent="0.25">
      <c r="A449" s="103"/>
      <c r="B449" s="104"/>
      <c r="C449" s="104"/>
      <c r="D449" s="104"/>
      <c r="E449" s="105"/>
      <c r="F449" s="104"/>
      <c r="G449" s="105"/>
      <c r="H449" s="106"/>
      <c r="I449" s="104"/>
      <c r="J449" s="106"/>
      <c r="K449" s="105"/>
    </row>
    <row r="450" spans="1:11" x14ac:dyDescent="0.25">
      <c r="A450" s="103"/>
      <c r="B450" s="104"/>
      <c r="C450" s="104"/>
      <c r="D450" s="104"/>
      <c r="E450" s="105"/>
      <c r="F450" s="104"/>
      <c r="G450" s="105"/>
      <c r="H450" s="106"/>
      <c r="I450" s="104"/>
      <c r="J450" s="106"/>
      <c r="K450" s="105"/>
    </row>
    <row r="451" spans="1:11" x14ac:dyDescent="0.25">
      <c r="A451" s="103"/>
      <c r="B451" s="104"/>
      <c r="C451" s="104"/>
      <c r="D451" s="104"/>
      <c r="E451" s="105"/>
      <c r="F451" s="104"/>
      <c r="G451" s="105"/>
      <c r="H451" s="106"/>
      <c r="I451" s="104"/>
      <c r="J451" s="106"/>
      <c r="K451" s="105"/>
    </row>
    <row r="452" spans="1:11" x14ac:dyDescent="0.25">
      <c r="A452" s="103"/>
      <c r="B452" s="104"/>
      <c r="C452" s="104"/>
      <c r="D452" s="104"/>
      <c r="E452" s="105"/>
      <c r="F452" s="104"/>
      <c r="G452" s="105"/>
      <c r="H452" s="106"/>
      <c r="I452" s="104"/>
      <c r="J452" s="106"/>
      <c r="K452" s="105"/>
    </row>
    <row r="453" spans="1:11" x14ac:dyDescent="0.25">
      <c r="A453" s="103"/>
      <c r="B453" s="104"/>
      <c r="C453" s="104"/>
      <c r="D453" s="104"/>
      <c r="E453" s="105"/>
      <c r="F453" s="104"/>
      <c r="G453" s="105"/>
      <c r="H453" s="106"/>
      <c r="I453" s="104"/>
      <c r="J453" s="106"/>
      <c r="K453" s="105"/>
    </row>
    <row r="454" spans="1:11" x14ac:dyDescent="0.25">
      <c r="A454" s="103"/>
      <c r="B454" s="104"/>
      <c r="C454" s="104"/>
      <c r="D454" s="104"/>
      <c r="E454" s="105"/>
      <c r="F454" s="104"/>
      <c r="G454" s="105"/>
      <c r="H454" s="106"/>
      <c r="I454" s="104"/>
      <c r="J454" s="106"/>
      <c r="K454" s="105"/>
    </row>
    <row r="455" spans="1:11" x14ac:dyDescent="0.25">
      <c r="A455" s="103"/>
      <c r="B455" s="104"/>
      <c r="C455" s="104"/>
      <c r="D455" s="104"/>
      <c r="E455" s="105"/>
      <c r="F455" s="104"/>
      <c r="G455" s="105"/>
      <c r="H455" s="106"/>
      <c r="I455" s="104"/>
      <c r="J455" s="106"/>
      <c r="K455" s="105"/>
    </row>
    <row r="456" spans="1:11" x14ac:dyDescent="0.25">
      <c r="A456" s="103"/>
      <c r="B456" s="104"/>
      <c r="C456" s="104"/>
      <c r="D456" s="104"/>
      <c r="E456" s="105"/>
      <c r="F456" s="104"/>
      <c r="G456" s="105"/>
      <c r="H456" s="106"/>
      <c r="I456" s="104"/>
      <c r="J456" s="106"/>
      <c r="K456" s="105"/>
    </row>
    <row r="457" spans="1:11" x14ac:dyDescent="0.25">
      <c r="A457" s="103"/>
      <c r="B457" s="104"/>
      <c r="C457" s="104"/>
      <c r="D457" s="104"/>
      <c r="E457" s="105"/>
      <c r="F457" s="104"/>
      <c r="G457" s="105"/>
      <c r="H457" s="106"/>
      <c r="I457" s="104"/>
      <c r="J457" s="106"/>
      <c r="K457" s="105"/>
    </row>
    <row r="458" spans="1:11" x14ac:dyDescent="0.25">
      <c r="A458" s="103"/>
      <c r="B458" s="104"/>
      <c r="C458" s="104"/>
      <c r="D458" s="104"/>
      <c r="E458" s="105"/>
      <c r="F458" s="104"/>
      <c r="G458" s="105"/>
      <c r="H458" s="106"/>
      <c r="I458" s="104"/>
      <c r="J458" s="106"/>
      <c r="K458" s="105"/>
    </row>
    <row r="459" spans="1:11" x14ac:dyDescent="0.25">
      <c r="A459" s="103"/>
      <c r="B459" s="104"/>
      <c r="C459" s="104"/>
      <c r="D459" s="104"/>
      <c r="E459" s="105"/>
      <c r="F459" s="104"/>
      <c r="G459" s="105"/>
      <c r="H459" s="106"/>
      <c r="I459" s="104"/>
      <c r="J459" s="106"/>
      <c r="K459" s="105"/>
    </row>
    <row r="460" spans="1:11" x14ac:dyDescent="0.25">
      <c r="A460" s="103"/>
      <c r="B460" s="104"/>
      <c r="C460" s="104"/>
      <c r="D460" s="104"/>
      <c r="E460" s="105"/>
      <c r="F460" s="104"/>
      <c r="G460" s="105"/>
      <c r="H460" s="106"/>
      <c r="I460" s="104"/>
      <c r="J460" s="106"/>
      <c r="K460" s="105"/>
    </row>
    <row r="461" spans="1:11" x14ac:dyDescent="0.25">
      <c r="A461" s="103"/>
      <c r="B461" s="104"/>
      <c r="C461" s="104"/>
      <c r="D461" s="104"/>
      <c r="E461" s="105"/>
      <c r="F461" s="104"/>
      <c r="G461" s="105"/>
      <c r="H461" s="106"/>
      <c r="I461" s="104"/>
      <c r="J461" s="106"/>
      <c r="K461" s="105"/>
    </row>
    <row r="462" spans="1:11" x14ac:dyDescent="0.25">
      <c r="A462" s="103"/>
      <c r="B462" s="104"/>
      <c r="C462" s="104"/>
      <c r="D462" s="104"/>
      <c r="E462" s="105"/>
      <c r="F462" s="104"/>
      <c r="G462" s="105"/>
      <c r="H462" s="106"/>
      <c r="I462" s="104"/>
      <c r="J462" s="106"/>
      <c r="K462" s="105"/>
    </row>
    <row r="463" spans="1:11" x14ac:dyDescent="0.25">
      <c r="A463" s="103"/>
      <c r="B463" s="104"/>
      <c r="C463" s="104"/>
      <c r="D463" s="104"/>
      <c r="E463" s="105"/>
      <c r="F463" s="104"/>
      <c r="G463" s="105"/>
      <c r="H463" s="106"/>
      <c r="I463" s="104"/>
      <c r="J463" s="106"/>
      <c r="K463" s="105"/>
    </row>
    <row r="464" spans="1:11" x14ac:dyDescent="0.25">
      <c r="A464" s="103"/>
      <c r="B464" s="104"/>
      <c r="C464" s="104"/>
      <c r="D464" s="104"/>
      <c r="E464" s="105"/>
      <c r="F464" s="104"/>
      <c r="G464" s="105"/>
      <c r="H464" s="106"/>
      <c r="I464" s="104"/>
      <c r="J464" s="106"/>
      <c r="K464" s="105"/>
    </row>
    <row r="465" spans="1:11" x14ac:dyDescent="0.25">
      <c r="A465" s="103"/>
      <c r="B465" s="104"/>
      <c r="C465" s="104"/>
      <c r="D465" s="104"/>
      <c r="E465" s="105"/>
      <c r="F465" s="104"/>
      <c r="G465" s="105"/>
      <c r="H465" s="106"/>
      <c r="I465" s="104"/>
      <c r="J465" s="106"/>
      <c r="K465" s="105"/>
    </row>
    <row r="466" spans="1:11" x14ac:dyDescent="0.25">
      <c r="A466" s="103"/>
      <c r="B466" s="104"/>
      <c r="C466" s="104"/>
      <c r="D466" s="104"/>
      <c r="E466" s="105"/>
      <c r="F466" s="104"/>
      <c r="G466" s="105"/>
      <c r="H466" s="106"/>
      <c r="I466" s="104"/>
      <c r="J466" s="106"/>
      <c r="K466" s="105"/>
    </row>
    <row r="467" spans="1:11" x14ac:dyDescent="0.25">
      <c r="A467" s="103"/>
      <c r="B467" s="104"/>
      <c r="C467" s="104"/>
      <c r="D467" s="104"/>
      <c r="E467" s="105"/>
      <c r="F467" s="104"/>
      <c r="G467" s="105"/>
      <c r="H467" s="106"/>
      <c r="I467" s="104"/>
      <c r="J467" s="106"/>
      <c r="K467" s="105"/>
    </row>
    <row r="468" spans="1:11" x14ac:dyDescent="0.25">
      <c r="A468" s="103"/>
      <c r="B468" s="104"/>
      <c r="C468" s="104"/>
      <c r="D468" s="104"/>
      <c r="E468" s="105"/>
      <c r="F468" s="104"/>
      <c r="G468" s="105"/>
      <c r="H468" s="106"/>
      <c r="I468" s="104"/>
      <c r="J468" s="106"/>
      <c r="K468" s="105"/>
    </row>
    <row r="469" spans="1:11" x14ac:dyDescent="0.25">
      <c r="A469" s="103"/>
      <c r="B469" s="104"/>
      <c r="C469" s="104"/>
      <c r="D469" s="104"/>
      <c r="E469" s="105"/>
      <c r="F469" s="104"/>
      <c r="G469" s="105"/>
      <c r="H469" s="106"/>
      <c r="I469" s="104"/>
      <c r="J469" s="106"/>
      <c r="K469" s="105"/>
    </row>
    <row r="470" spans="1:11" x14ac:dyDescent="0.25">
      <c r="A470" s="103"/>
      <c r="B470" s="104"/>
      <c r="C470" s="104"/>
      <c r="D470" s="104"/>
      <c r="E470" s="105"/>
      <c r="F470" s="104"/>
      <c r="G470" s="105"/>
      <c r="H470" s="106"/>
      <c r="I470" s="104"/>
      <c r="J470" s="106"/>
      <c r="K470" s="105"/>
    </row>
    <row r="471" spans="1:11" x14ac:dyDescent="0.25">
      <c r="A471" s="103"/>
      <c r="B471" s="104"/>
      <c r="C471" s="104"/>
      <c r="D471" s="104"/>
      <c r="E471" s="105"/>
      <c r="F471" s="104"/>
      <c r="G471" s="105"/>
      <c r="H471" s="106"/>
      <c r="I471" s="104"/>
      <c r="J471" s="106"/>
      <c r="K471" s="105"/>
    </row>
    <row r="472" spans="1:11" x14ac:dyDescent="0.25">
      <c r="A472" s="103"/>
      <c r="B472" s="104"/>
      <c r="C472" s="104"/>
      <c r="D472" s="104"/>
      <c r="E472" s="105"/>
      <c r="F472" s="104"/>
      <c r="G472" s="105"/>
      <c r="H472" s="106"/>
      <c r="I472" s="104"/>
      <c r="J472" s="106"/>
      <c r="K472" s="105"/>
    </row>
    <row r="473" spans="1:11" x14ac:dyDescent="0.25">
      <c r="A473" s="103"/>
      <c r="B473" s="104"/>
      <c r="C473" s="104"/>
      <c r="D473" s="104"/>
      <c r="E473" s="105"/>
      <c r="F473" s="104"/>
      <c r="G473" s="105"/>
      <c r="H473" s="106"/>
      <c r="I473" s="104"/>
      <c r="J473" s="106"/>
      <c r="K473" s="105"/>
    </row>
    <row r="474" spans="1:11" x14ac:dyDescent="0.25">
      <c r="A474" s="103"/>
      <c r="B474" s="104"/>
      <c r="C474" s="104"/>
      <c r="D474" s="104"/>
      <c r="E474" s="105"/>
      <c r="F474" s="104"/>
      <c r="G474" s="105"/>
      <c r="H474" s="106"/>
      <c r="I474" s="104"/>
      <c r="J474" s="106"/>
      <c r="K474" s="105"/>
    </row>
    <row r="475" spans="1:11" x14ac:dyDescent="0.25">
      <c r="A475" s="103"/>
      <c r="B475" s="104"/>
      <c r="C475" s="104"/>
      <c r="D475" s="104"/>
      <c r="E475" s="105"/>
      <c r="F475" s="104"/>
      <c r="G475" s="105"/>
      <c r="H475" s="106"/>
      <c r="I475" s="104"/>
      <c r="J475" s="106"/>
      <c r="K475" s="105"/>
    </row>
    <row r="476" spans="1:11" x14ac:dyDescent="0.25">
      <c r="A476" s="103"/>
      <c r="B476" s="104"/>
      <c r="C476" s="104"/>
      <c r="D476" s="104"/>
      <c r="E476" s="105"/>
      <c r="F476" s="104"/>
      <c r="G476" s="105"/>
      <c r="H476" s="106"/>
      <c r="I476" s="104"/>
      <c r="J476" s="106"/>
      <c r="K476" s="105"/>
    </row>
    <row r="477" spans="1:11" x14ac:dyDescent="0.25">
      <c r="A477" s="103"/>
      <c r="B477" s="104"/>
      <c r="C477" s="104"/>
      <c r="D477" s="104"/>
      <c r="E477" s="105"/>
      <c r="F477" s="104"/>
      <c r="G477" s="105"/>
      <c r="H477" s="106"/>
      <c r="I477" s="104"/>
      <c r="J477" s="106"/>
      <c r="K477" s="105"/>
    </row>
    <row r="478" spans="1:11" x14ac:dyDescent="0.25">
      <c r="A478" s="103"/>
      <c r="B478" s="104"/>
      <c r="C478" s="104"/>
      <c r="D478" s="104"/>
      <c r="E478" s="105"/>
      <c r="F478" s="104"/>
      <c r="G478" s="105"/>
      <c r="H478" s="106"/>
      <c r="I478" s="104"/>
      <c r="J478" s="106"/>
      <c r="K478" s="105"/>
    </row>
    <row r="479" spans="1:11" x14ac:dyDescent="0.25">
      <c r="A479" s="103"/>
      <c r="B479" s="104"/>
      <c r="C479" s="104"/>
      <c r="D479" s="104"/>
      <c r="E479" s="105"/>
      <c r="F479" s="104"/>
      <c r="G479" s="105"/>
      <c r="H479" s="106"/>
      <c r="I479" s="104"/>
      <c r="J479" s="106"/>
      <c r="K479" s="105"/>
    </row>
    <row r="480" spans="1:11" x14ac:dyDescent="0.25">
      <c r="A480" s="103"/>
      <c r="B480" s="104"/>
      <c r="C480" s="104"/>
      <c r="D480" s="104"/>
      <c r="E480" s="105"/>
      <c r="F480" s="104"/>
      <c r="G480" s="105"/>
      <c r="H480" s="106"/>
      <c r="I480" s="104"/>
      <c r="J480" s="106"/>
      <c r="K480" s="105"/>
    </row>
    <row r="481" spans="1:11" x14ac:dyDescent="0.25">
      <c r="A481" s="103"/>
      <c r="B481" s="104"/>
      <c r="C481" s="104"/>
      <c r="D481" s="104"/>
      <c r="E481" s="105"/>
      <c r="F481" s="104"/>
      <c r="G481" s="105"/>
      <c r="H481" s="106"/>
      <c r="I481" s="104"/>
      <c r="J481" s="106"/>
      <c r="K481" s="105"/>
    </row>
    <row r="482" spans="1:11" x14ac:dyDescent="0.25">
      <c r="A482" s="103"/>
      <c r="B482" s="104"/>
      <c r="C482" s="104"/>
      <c r="D482" s="104"/>
      <c r="E482" s="105"/>
      <c r="F482" s="104"/>
      <c r="G482" s="105"/>
      <c r="H482" s="106"/>
      <c r="I482" s="104"/>
      <c r="J482" s="106"/>
      <c r="K482" s="105"/>
    </row>
    <row r="483" spans="1:11" x14ac:dyDescent="0.25">
      <c r="A483" s="103"/>
      <c r="B483" s="104"/>
      <c r="C483" s="104"/>
      <c r="D483" s="104"/>
      <c r="E483" s="105"/>
      <c r="F483" s="104"/>
      <c r="G483" s="105"/>
      <c r="H483" s="106"/>
      <c r="I483" s="104"/>
      <c r="J483" s="106"/>
      <c r="K483" s="105"/>
    </row>
    <row r="484" spans="1:11" x14ac:dyDescent="0.25">
      <c r="A484" s="103"/>
      <c r="B484" s="104"/>
      <c r="C484" s="104"/>
      <c r="D484" s="104"/>
      <c r="E484" s="105"/>
      <c r="F484" s="104"/>
      <c r="G484" s="105"/>
      <c r="H484" s="106"/>
      <c r="I484" s="104"/>
      <c r="J484" s="106"/>
      <c r="K484" s="105"/>
    </row>
    <row r="485" spans="1:11" x14ac:dyDescent="0.25">
      <c r="A485" s="103"/>
      <c r="B485" s="104"/>
      <c r="C485" s="104"/>
      <c r="D485" s="104"/>
      <c r="E485" s="105"/>
      <c r="F485" s="104"/>
      <c r="G485" s="105"/>
      <c r="H485" s="106"/>
      <c r="I485" s="104"/>
      <c r="J485" s="106"/>
      <c r="K485" s="105"/>
    </row>
    <row r="486" spans="1:11" x14ac:dyDescent="0.25">
      <c r="A486" s="103"/>
      <c r="B486" s="104"/>
      <c r="C486" s="104"/>
      <c r="D486" s="104"/>
      <c r="E486" s="105"/>
      <c r="F486" s="104"/>
      <c r="G486" s="105"/>
      <c r="H486" s="106"/>
      <c r="I486" s="104"/>
      <c r="J486" s="106"/>
      <c r="K486" s="105"/>
    </row>
    <row r="487" spans="1:11" x14ac:dyDescent="0.25">
      <c r="A487" s="103"/>
      <c r="B487" s="104"/>
      <c r="C487" s="104"/>
      <c r="D487" s="104"/>
      <c r="E487" s="105"/>
      <c r="F487" s="104"/>
      <c r="G487" s="105"/>
      <c r="H487" s="106"/>
      <c r="I487" s="104"/>
      <c r="J487" s="106"/>
      <c r="K487" s="105"/>
    </row>
    <row r="488" spans="1:11" x14ac:dyDescent="0.25">
      <c r="A488" s="103"/>
      <c r="B488" s="104"/>
      <c r="C488" s="104"/>
      <c r="D488" s="104"/>
      <c r="E488" s="105"/>
      <c r="F488" s="104"/>
      <c r="G488" s="105"/>
      <c r="H488" s="106"/>
      <c r="I488" s="104"/>
      <c r="J488" s="106"/>
      <c r="K488" s="105"/>
    </row>
    <row r="489" spans="1:11" x14ac:dyDescent="0.25">
      <c r="A489" s="103"/>
      <c r="B489" s="104"/>
      <c r="C489" s="104"/>
      <c r="D489" s="104"/>
      <c r="E489" s="105"/>
      <c r="F489" s="104"/>
      <c r="G489" s="105"/>
      <c r="H489" s="106"/>
      <c r="I489" s="104"/>
      <c r="J489" s="106"/>
      <c r="K489" s="105"/>
    </row>
    <row r="490" spans="1:11" x14ac:dyDescent="0.25">
      <c r="A490" s="103"/>
      <c r="B490" s="104"/>
      <c r="C490" s="104"/>
      <c r="D490" s="104"/>
      <c r="E490" s="105"/>
      <c r="F490" s="104"/>
      <c r="G490" s="105"/>
      <c r="H490" s="106"/>
      <c r="I490" s="104"/>
      <c r="J490" s="106"/>
      <c r="K490" s="105"/>
    </row>
    <row r="491" spans="1:11" x14ac:dyDescent="0.25">
      <c r="A491" s="103"/>
      <c r="B491" s="104"/>
      <c r="C491" s="104"/>
      <c r="D491" s="104"/>
      <c r="E491" s="105"/>
      <c r="F491" s="104"/>
      <c r="G491" s="105"/>
      <c r="H491" s="106"/>
      <c r="I491" s="104"/>
      <c r="J491" s="106"/>
      <c r="K491" s="105"/>
    </row>
    <row r="492" spans="1:11" x14ac:dyDescent="0.25">
      <c r="A492" s="103"/>
      <c r="B492" s="104"/>
      <c r="C492" s="104"/>
      <c r="D492" s="104"/>
      <c r="E492" s="105"/>
      <c r="F492" s="104"/>
      <c r="G492" s="105"/>
      <c r="H492" s="106"/>
      <c r="I492" s="104"/>
      <c r="J492" s="106"/>
      <c r="K492" s="105"/>
    </row>
    <row r="493" spans="1:11" x14ac:dyDescent="0.25">
      <c r="A493" s="103"/>
      <c r="B493" s="104"/>
      <c r="C493" s="104"/>
      <c r="D493" s="104"/>
      <c r="E493" s="105"/>
      <c r="F493" s="104"/>
      <c r="G493" s="105"/>
      <c r="H493" s="106"/>
      <c r="I493" s="104"/>
      <c r="J493" s="106"/>
      <c r="K493" s="105"/>
    </row>
    <row r="494" spans="1:11" x14ac:dyDescent="0.25">
      <c r="A494" s="103"/>
      <c r="B494" s="104"/>
      <c r="C494" s="104"/>
      <c r="D494" s="104"/>
      <c r="E494" s="105"/>
      <c r="F494" s="104"/>
      <c r="G494" s="105"/>
      <c r="H494" s="106"/>
      <c r="I494" s="104"/>
      <c r="J494" s="106"/>
      <c r="K494" s="105"/>
    </row>
    <row r="495" spans="1:11" x14ac:dyDescent="0.25">
      <c r="A495" s="103"/>
      <c r="B495" s="104"/>
      <c r="C495" s="104"/>
      <c r="D495" s="104"/>
      <c r="E495" s="105"/>
      <c r="F495" s="104"/>
      <c r="G495" s="105"/>
      <c r="H495" s="106"/>
      <c r="I495" s="104"/>
      <c r="J495" s="106"/>
      <c r="K495" s="105"/>
    </row>
    <row r="496" spans="1:11" x14ac:dyDescent="0.25">
      <c r="A496" s="103"/>
      <c r="B496" s="104"/>
      <c r="C496" s="104"/>
      <c r="D496" s="104"/>
      <c r="E496" s="105"/>
      <c r="F496" s="104"/>
      <c r="G496" s="105"/>
      <c r="H496" s="106"/>
      <c r="I496" s="104"/>
      <c r="J496" s="106"/>
      <c r="K496" s="105"/>
    </row>
    <row r="497" spans="1:11" x14ac:dyDescent="0.25">
      <c r="A497" s="103"/>
      <c r="B497" s="104"/>
      <c r="C497" s="104"/>
      <c r="D497" s="104"/>
      <c r="E497" s="105"/>
      <c r="F497" s="104"/>
      <c r="G497" s="105"/>
      <c r="H497" s="106"/>
      <c r="I497" s="104"/>
      <c r="J497" s="106"/>
      <c r="K497" s="105"/>
    </row>
    <row r="498" spans="1:11" x14ac:dyDescent="0.25">
      <c r="A498" s="103"/>
      <c r="B498" s="104"/>
      <c r="C498" s="104"/>
      <c r="D498" s="104"/>
      <c r="E498" s="105"/>
      <c r="F498" s="104"/>
      <c r="G498" s="105"/>
      <c r="H498" s="106"/>
      <c r="I498" s="104"/>
      <c r="J498" s="106"/>
      <c r="K498" s="105"/>
    </row>
    <row r="499" spans="1:11" x14ac:dyDescent="0.25">
      <c r="A499" s="103"/>
      <c r="B499" s="104"/>
      <c r="C499" s="104"/>
      <c r="D499" s="104"/>
      <c r="E499" s="105"/>
      <c r="F499" s="104"/>
      <c r="G499" s="105"/>
      <c r="H499" s="106"/>
      <c r="I499" s="104"/>
      <c r="J499" s="106"/>
      <c r="K499" s="105"/>
    </row>
    <row r="500" spans="1:11" x14ac:dyDescent="0.25">
      <c r="A500" s="103"/>
      <c r="B500" s="104"/>
      <c r="C500" s="104"/>
      <c r="D500" s="104"/>
      <c r="E500" s="105"/>
      <c r="F500" s="104"/>
      <c r="G500" s="105"/>
      <c r="H500" s="106"/>
      <c r="I500" s="104"/>
      <c r="J500" s="106"/>
      <c r="K500" s="105"/>
    </row>
    <row r="501" spans="1:11" x14ac:dyDescent="0.25">
      <c r="A501" s="103"/>
      <c r="B501" s="104"/>
      <c r="C501" s="104"/>
      <c r="D501" s="104"/>
      <c r="E501" s="105"/>
      <c r="F501" s="104"/>
      <c r="G501" s="105"/>
      <c r="H501" s="106"/>
      <c r="I501" s="104"/>
      <c r="J501" s="106"/>
      <c r="K501" s="105"/>
    </row>
    <row r="502" spans="1:11" x14ac:dyDescent="0.25">
      <c r="A502" s="103"/>
      <c r="B502" s="104"/>
      <c r="C502" s="104"/>
      <c r="D502" s="104"/>
      <c r="E502" s="105"/>
      <c r="F502" s="104"/>
      <c r="G502" s="105"/>
      <c r="H502" s="106"/>
      <c r="I502" s="104"/>
      <c r="J502" s="106"/>
      <c r="K502" s="105"/>
    </row>
    <row r="503" spans="1:11" x14ac:dyDescent="0.25">
      <c r="A503" s="103"/>
      <c r="B503" s="104"/>
      <c r="C503" s="104"/>
      <c r="D503" s="104"/>
      <c r="E503" s="105"/>
      <c r="F503" s="104"/>
      <c r="G503" s="105"/>
      <c r="H503" s="106"/>
      <c r="I503" s="104"/>
      <c r="J503" s="106"/>
      <c r="K503" s="105"/>
    </row>
    <row r="504" spans="1:11" x14ac:dyDescent="0.25">
      <c r="A504" s="103"/>
      <c r="B504" s="104"/>
      <c r="C504" s="104"/>
      <c r="D504" s="104"/>
      <c r="E504" s="105"/>
      <c r="F504" s="104"/>
      <c r="G504" s="105"/>
      <c r="H504" s="106"/>
      <c r="I504" s="104"/>
      <c r="J504" s="106"/>
      <c r="K504" s="105"/>
    </row>
    <row r="505" spans="1:11" x14ac:dyDescent="0.25">
      <c r="A505" s="103"/>
      <c r="B505" s="104"/>
      <c r="C505" s="104"/>
      <c r="D505" s="104"/>
      <c r="E505" s="105"/>
      <c r="F505" s="104"/>
      <c r="G505" s="105"/>
      <c r="H505" s="106"/>
      <c r="I505" s="104"/>
      <c r="J505" s="106"/>
      <c r="K505" s="105"/>
    </row>
    <row r="506" spans="1:11" x14ac:dyDescent="0.25">
      <c r="A506" s="103"/>
      <c r="B506" s="104"/>
      <c r="C506" s="104"/>
      <c r="D506" s="104"/>
      <c r="E506" s="105"/>
      <c r="F506" s="104"/>
      <c r="G506" s="105"/>
      <c r="H506" s="106"/>
      <c r="I506" s="104"/>
      <c r="J506" s="106"/>
      <c r="K506" s="105"/>
    </row>
    <row r="507" spans="1:11" x14ac:dyDescent="0.25">
      <c r="A507" s="103"/>
      <c r="B507" s="104"/>
      <c r="C507" s="104"/>
      <c r="D507" s="104"/>
      <c r="E507" s="105"/>
      <c r="F507" s="104"/>
      <c r="G507" s="105"/>
      <c r="H507" s="106"/>
      <c r="I507" s="104"/>
      <c r="J507" s="106"/>
      <c r="K507" s="105"/>
    </row>
    <row r="508" spans="1:11" x14ac:dyDescent="0.25">
      <c r="A508" s="103"/>
      <c r="B508" s="104"/>
      <c r="C508" s="104"/>
      <c r="D508" s="104"/>
      <c r="E508" s="105"/>
      <c r="F508" s="104"/>
      <c r="G508" s="105"/>
      <c r="H508" s="106"/>
      <c r="I508" s="104"/>
      <c r="J508" s="106"/>
      <c r="K508" s="105"/>
    </row>
    <row r="509" spans="1:11" x14ac:dyDescent="0.25">
      <c r="A509" s="103"/>
      <c r="B509" s="104"/>
      <c r="C509" s="104"/>
      <c r="D509" s="104"/>
      <c r="E509" s="105"/>
      <c r="F509" s="104"/>
      <c r="G509" s="105"/>
      <c r="H509" s="106"/>
      <c r="I509" s="104"/>
      <c r="J509" s="106"/>
      <c r="K509" s="105"/>
    </row>
    <row r="510" spans="1:11" x14ac:dyDescent="0.25">
      <c r="A510" s="103"/>
      <c r="B510" s="104"/>
      <c r="C510" s="104"/>
      <c r="D510" s="104"/>
      <c r="E510" s="105"/>
      <c r="F510" s="104"/>
      <c r="G510" s="105"/>
      <c r="H510" s="106"/>
      <c r="I510" s="104"/>
      <c r="J510" s="106"/>
      <c r="K510" s="105"/>
    </row>
    <row r="511" spans="1:11" x14ac:dyDescent="0.25">
      <c r="A511" s="103"/>
      <c r="B511" s="104"/>
      <c r="C511" s="104"/>
      <c r="D511" s="104"/>
      <c r="E511" s="105"/>
      <c r="F511" s="104"/>
      <c r="G511" s="105"/>
      <c r="H511" s="106"/>
      <c r="I511" s="104"/>
      <c r="J511" s="106"/>
      <c r="K511" s="105"/>
    </row>
    <row r="512" spans="1:11" x14ac:dyDescent="0.25">
      <c r="A512" s="103"/>
      <c r="B512" s="104"/>
      <c r="C512" s="104"/>
      <c r="D512" s="104"/>
      <c r="E512" s="105"/>
      <c r="F512" s="104"/>
      <c r="G512" s="105"/>
      <c r="H512" s="106"/>
      <c r="I512" s="104"/>
      <c r="J512" s="106"/>
      <c r="K512" s="105"/>
    </row>
    <row r="513" spans="1:11" x14ac:dyDescent="0.25">
      <c r="A513" s="103"/>
      <c r="B513" s="104"/>
      <c r="C513" s="104"/>
      <c r="D513" s="104"/>
      <c r="E513" s="105"/>
      <c r="F513" s="104"/>
      <c r="G513" s="105"/>
      <c r="H513" s="106"/>
      <c r="I513" s="104"/>
      <c r="J513" s="106"/>
      <c r="K513" s="105"/>
    </row>
    <row r="514" spans="1:11" x14ac:dyDescent="0.25">
      <c r="A514" s="103"/>
      <c r="B514" s="104"/>
      <c r="C514" s="104"/>
      <c r="D514" s="104"/>
      <c r="E514" s="105"/>
      <c r="F514" s="104"/>
      <c r="G514" s="105"/>
      <c r="H514" s="106"/>
      <c r="I514" s="104"/>
      <c r="J514" s="106"/>
      <c r="K514" s="105"/>
    </row>
    <row r="515" spans="1:11" x14ac:dyDescent="0.25">
      <c r="A515" s="103"/>
      <c r="B515" s="104"/>
      <c r="C515" s="104"/>
      <c r="D515" s="104"/>
      <c r="E515" s="105"/>
      <c r="F515" s="104"/>
      <c r="G515" s="105"/>
      <c r="H515" s="106"/>
      <c r="I515" s="104"/>
      <c r="J515" s="106"/>
      <c r="K515" s="105"/>
    </row>
    <row r="516" spans="1:11" x14ac:dyDescent="0.25">
      <c r="A516" s="103"/>
      <c r="B516" s="104"/>
      <c r="C516" s="104"/>
      <c r="D516" s="104"/>
      <c r="E516" s="105"/>
      <c r="F516" s="104"/>
      <c r="G516" s="105"/>
      <c r="H516" s="106"/>
      <c r="I516" s="104"/>
      <c r="J516" s="106"/>
      <c r="K516" s="105"/>
    </row>
    <row r="517" spans="1:11" x14ac:dyDescent="0.25">
      <c r="A517" s="103"/>
      <c r="B517" s="104"/>
      <c r="C517" s="104"/>
      <c r="D517" s="104"/>
      <c r="E517" s="105"/>
      <c r="F517" s="104"/>
      <c r="G517" s="105"/>
      <c r="H517" s="106"/>
      <c r="I517" s="104"/>
      <c r="J517" s="106"/>
      <c r="K517" s="105"/>
    </row>
    <row r="518" spans="1:11" x14ac:dyDescent="0.25">
      <c r="A518" s="103"/>
      <c r="B518" s="104"/>
      <c r="C518" s="104"/>
      <c r="D518" s="104"/>
      <c r="E518" s="105"/>
      <c r="F518" s="104"/>
      <c r="G518" s="105"/>
      <c r="H518" s="106"/>
      <c r="I518" s="104"/>
      <c r="J518" s="106"/>
      <c r="K518" s="105"/>
    </row>
    <row r="519" spans="1:11" x14ac:dyDescent="0.25">
      <c r="A519" s="103"/>
      <c r="B519" s="104"/>
      <c r="C519" s="104"/>
      <c r="D519" s="104"/>
      <c r="E519" s="105"/>
      <c r="F519" s="104"/>
      <c r="G519" s="105"/>
      <c r="H519" s="106"/>
      <c r="I519" s="104"/>
      <c r="J519" s="106"/>
      <c r="K519" s="105"/>
    </row>
    <row r="520" spans="1:11" x14ac:dyDescent="0.25">
      <c r="A520" s="103"/>
      <c r="B520" s="104"/>
      <c r="C520" s="104"/>
      <c r="D520" s="104"/>
      <c r="E520" s="105"/>
      <c r="F520" s="104"/>
      <c r="G520" s="105"/>
      <c r="H520" s="106"/>
      <c r="I520" s="104"/>
      <c r="J520" s="106"/>
      <c r="K520" s="105"/>
    </row>
    <row r="521" spans="1:11" x14ac:dyDescent="0.25">
      <c r="A521" s="103"/>
      <c r="B521" s="104"/>
      <c r="C521" s="104"/>
      <c r="D521" s="104"/>
      <c r="E521" s="105"/>
      <c r="F521" s="104"/>
      <c r="G521" s="105"/>
      <c r="H521" s="106"/>
      <c r="I521" s="104"/>
      <c r="J521" s="106"/>
      <c r="K521" s="105"/>
    </row>
    <row r="522" spans="1:11" x14ac:dyDescent="0.25">
      <c r="A522" s="103"/>
      <c r="B522" s="104"/>
      <c r="C522" s="104"/>
      <c r="D522" s="104"/>
      <c r="E522" s="105"/>
      <c r="F522" s="104"/>
      <c r="G522" s="105"/>
      <c r="H522" s="106"/>
      <c r="I522" s="104"/>
      <c r="J522" s="106"/>
      <c r="K522" s="105"/>
    </row>
    <row r="523" spans="1:11" x14ac:dyDescent="0.25">
      <c r="A523" s="103"/>
      <c r="B523" s="104"/>
      <c r="C523" s="104"/>
      <c r="D523" s="104"/>
      <c r="E523" s="105"/>
      <c r="F523" s="104"/>
      <c r="G523" s="105"/>
      <c r="H523" s="106"/>
      <c r="I523" s="104"/>
      <c r="J523" s="106"/>
      <c r="K523" s="105"/>
    </row>
    <row r="524" spans="1:11" x14ac:dyDescent="0.25">
      <c r="A524" s="103"/>
      <c r="B524" s="104"/>
      <c r="C524" s="104"/>
      <c r="D524" s="104"/>
      <c r="E524" s="105"/>
      <c r="F524" s="104"/>
      <c r="G524" s="105"/>
      <c r="H524" s="106"/>
      <c r="I524" s="104"/>
      <c r="J524" s="106"/>
      <c r="K524" s="105"/>
    </row>
    <row r="525" spans="1:11" x14ac:dyDescent="0.25">
      <c r="A525" s="103"/>
      <c r="B525" s="104"/>
      <c r="C525" s="104"/>
      <c r="D525" s="104"/>
      <c r="E525" s="105"/>
      <c r="F525" s="104"/>
      <c r="G525" s="105"/>
      <c r="H525" s="106"/>
      <c r="I525" s="104"/>
      <c r="J525" s="106"/>
      <c r="K525" s="105"/>
    </row>
    <row r="526" spans="1:11" x14ac:dyDescent="0.25">
      <c r="A526" s="103"/>
      <c r="B526" s="104"/>
      <c r="C526" s="104"/>
      <c r="D526" s="104"/>
      <c r="E526" s="105"/>
      <c r="F526" s="104"/>
      <c r="G526" s="105"/>
      <c r="H526" s="106"/>
      <c r="I526" s="104"/>
      <c r="J526" s="106"/>
      <c r="K526" s="105"/>
    </row>
    <row r="527" spans="1:11" x14ac:dyDescent="0.25">
      <c r="A527" s="103"/>
      <c r="B527" s="104"/>
      <c r="C527" s="104"/>
      <c r="D527" s="104"/>
      <c r="E527" s="105"/>
      <c r="F527" s="104"/>
      <c r="G527" s="105"/>
      <c r="H527" s="106"/>
      <c r="I527" s="104"/>
      <c r="J527" s="106"/>
      <c r="K527" s="105"/>
    </row>
    <row r="528" spans="1:11" x14ac:dyDescent="0.25">
      <c r="A528" s="103"/>
      <c r="B528" s="104"/>
      <c r="C528" s="104"/>
      <c r="D528" s="104"/>
      <c r="E528" s="105"/>
      <c r="F528" s="104"/>
      <c r="G528" s="105"/>
      <c r="H528" s="106"/>
      <c r="I528" s="104"/>
      <c r="J528" s="106"/>
      <c r="K528" s="105"/>
    </row>
    <row r="529" spans="1:11" x14ac:dyDescent="0.25">
      <c r="A529" s="103"/>
      <c r="B529" s="104"/>
      <c r="C529" s="104"/>
      <c r="D529" s="104"/>
      <c r="E529" s="105"/>
      <c r="F529" s="104"/>
      <c r="G529" s="105"/>
      <c r="H529" s="106"/>
      <c r="I529" s="104"/>
      <c r="J529" s="106"/>
      <c r="K529" s="105"/>
    </row>
    <row r="530" spans="1:11" x14ac:dyDescent="0.25">
      <c r="A530" s="103"/>
      <c r="B530" s="104"/>
      <c r="C530" s="104"/>
      <c r="D530" s="104"/>
      <c r="E530" s="105"/>
      <c r="F530" s="104"/>
      <c r="G530" s="105"/>
      <c r="H530" s="106"/>
      <c r="I530" s="104"/>
      <c r="J530" s="106"/>
      <c r="K530" s="105"/>
    </row>
    <row r="531" spans="1:11" x14ac:dyDescent="0.25">
      <c r="A531" s="103"/>
      <c r="B531" s="104"/>
      <c r="C531" s="104"/>
      <c r="D531" s="104"/>
      <c r="E531" s="105"/>
      <c r="F531" s="104"/>
      <c r="G531" s="105"/>
      <c r="H531" s="106"/>
      <c r="I531" s="104"/>
      <c r="J531" s="106"/>
      <c r="K531" s="105"/>
    </row>
    <row r="532" spans="1:11" x14ac:dyDescent="0.25">
      <c r="A532" s="103"/>
      <c r="B532" s="104"/>
      <c r="C532" s="104"/>
      <c r="D532" s="104"/>
      <c r="E532" s="105"/>
      <c r="F532" s="104"/>
      <c r="G532" s="105"/>
      <c r="H532" s="106"/>
      <c r="I532" s="104"/>
      <c r="J532" s="106"/>
      <c r="K532" s="105"/>
    </row>
    <row r="533" spans="1:11" x14ac:dyDescent="0.25">
      <c r="A533" s="103"/>
      <c r="B533" s="104"/>
      <c r="C533" s="104"/>
      <c r="D533" s="104"/>
      <c r="E533" s="105"/>
      <c r="F533" s="104"/>
      <c r="G533" s="105"/>
      <c r="H533" s="106"/>
      <c r="I533" s="104"/>
      <c r="J533" s="106"/>
      <c r="K533" s="105"/>
    </row>
    <row r="534" spans="1:11" x14ac:dyDescent="0.25">
      <c r="A534" s="103"/>
      <c r="B534" s="104"/>
      <c r="C534" s="104"/>
      <c r="D534" s="104"/>
      <c r="E534" s="105"/>
      <c r="F534" s="104"/>
      <c r="G534" s="105"/>
      <c r="H534" s="106"/>
      <c r="I534" s="104"/>
      <c r="J534" s="106"/>
      <c r="K534" s="105"/>
    </row>
    <row r="535" spans="1:11" x14ac:dyDescent="0.25">
      <c r="A535" s="103"/>
      <c r="B535" s="104"/>
      <c r="C535" s="104"/>
      <c r="D535" s="104"/>
      <c r="E535" s="105"/>
      <c r="F535" s="104"/>
      <c r="G535" s="105"/>
      <c r="H535" s="106"/>
      <c r="I535" s="104"/>
      <c r="J535" s="106"/>
      <c r="K535" s="105"/>
    </row>
    <row r="536" spans="1:11" x14ac:dyDescent="0.25">
      <c r="A536" s="103"/>
      <c r="B536" s="104"/>
      <c r="C536" s="104"/>
      <c r="D536" s="104"/>
      <c r="E536" s="105"/>
      <c r="F536" s="104"/>
      <c r="G536" s="105"/>
      <c r="H536" s="106"/>
      <c r="I536" s="104"/>
      <c r="J536" s="106"/>
      <c r="K536" s="105"/>
    </row>
    <row r="537" spans="1:11" x14ac:dyDescent="0.25">
      <c r="A537" s="103"/>
      <c r="B537" s="104"/>
      <c r="C537" s="104"/>
      <c r="D537" s="104"/>
      <c r="E537" s="105"/>
      <c r="F537" s="104"/>
      <c r="G537" s="105"/>
      <c r="H537" s="106"/>
      <c r="I537" s="104"/>
      <c r="J537" s="106"/>
      <c r="K537" s="105"/>
    </row>
    <row r="538" spans="1:11" x14ac:dyDescent="0.25">
      <c r="A538" s="103"/>
      <c r="B538" s="104"/>
      <c r="C538" s="104"/>
      <c r="D538" s="104"/>
      <c r="E538" s="105"/>
      <c r="F538" s="104"/>
      <c r="G538" s="105"/>
      <c r="H538" s="106"/>
      <c r="I538" s="104"/>
      <c r="J538" s="106"/>
      <c r="K538" s="105"/>
    </row>
    <row r="539" spans="1:11" x14ac:dyDescent="0.25">
      <c r="A539" s="103"/>
      <c r="B539" s="104"/>
      <c r="C539" s="104"/>
      <c r="D539" s="104"/>
      <c r="E539" s="105"/>
      <c r="F539" s="104"/>
      <c r="G539" s="105"/>
      <c r="H539" s="106"/>
      <c r="I539" s="104"/>
      <c r="J539" s="106"/>
      <c r="K539" s="105"/>
    </row>
    <row r="540" spans="1:11" x14ac:dyDescent="0.25">
      <c r="A540" s="103"/>
      <c r="B540" s="104"/>
      <c r="C540" s="104"/>
      <c r="D540" s="104"/>
      <c r="E540" s="105"/>
      <c r="F540" s="104"/>
      <c r="G540" s="105"/>
      <c r="H540" s="106"/>
      <c r="I540" s="104"/>
      <c r="J540" s="106"/>
      <c r="K540" s="105"/>
    </row>
    <row r="541" spans="1:11" x14ac:dyDescent="0.25">
      <c r="A541" s="103"/>
      <c r="B541" s="104"/>
      <c r="C541" s="104"/>
      <c r="D541" s="104"/>
      <c r="E541" s="105"/>
      <c r="F541" s="104"/>
      <c r="G541" s="105"/>
      <c r="H541" s="106"/>
      <c r="I541" s="104"/>
      <c r="J541" s="106"/>
      <c r="K541" s="105"/>
    </row>
    <row r="542" spans="1:11" x14ac:dyDescent="0.25">
      <c r="A542" s="103"/>
      <c r="B542" s="104"/>
      <c r="C542" s="104"/>
      <c r="D542" s="104"/>
      <c r="E542" s="105"/>
      <c r="F542" s="104"/>
      <c r="G542" s="105"/>
      <c r="H542" s="106"/>
      <c r="I542" s="104"/>
      <c r="J542" s="106"/>
      <c r="K542" s="105"/>
    </row>
    <row r="543" spans="1:11" x14ac:dyDescent="0.25">
      <c r="A543" s="103"/>
      <c r="B543" s="104"/>
      <c r="C543" s="104"/>
      <c r="D543" s="104"/>
      <c r="E543" s="105"/>
      <c r="F543" s="104"/>
      <c r="G543" s="105"/>
      <c r="H543" s="106"/>
      <c r="I543" s="104"/>
      <c r="J543" s="106"/>
      <c r="K543" s="105"/>
    </row>
    <row r="544" spans="1:11" x14ac:dyDescent="0.25">
      <c r="A544" s="103"/>
      <c r="B544" s="104"/>
      <c r="C544" s="104"/>
      <c r="D544" s="104"/>
      <c r="E544" s="105"/>
      <c r="F544" s="104"/>
      <c r="G544" s="105"/>
      <c r="H544" s="106"/>
      <c r="I544" s="104"/>
      <c r="J544" s="106"/>
      <c r="K544" s="105"/>
    </row>
    <row r="545" spans="1:11" x14ac:dyDescent="0.25">
      <c r="A545" s="103"/>
      <c r="B545" s="104"/>
      <c r="C545" s="104"/>
      <c r="D545" s="104"/>
      <c r="E545" s="105"/>
      <c r="F545" s="104"/>
      <c r="G545" s="105"/>
      <c r="H545" s="106"/>
      <c r="I545" s="104"/>
      <c r="J545" s="106"/>
      <c r="K545" s="105"/>
    </row>
    <row r="546" spans="1:11" x14ac:dyDescent="0.25">
      <c r="A546" s="103"/>
      <c r="B546" s="104"/>
      <c r="C546" s="104"/>
      <c r="D546" s="104"/>
      <c r="E546" s="105"/>
      <c r="F546" s="104"/>
      <c r="G546" s="105"/>
      <c r="H546" s="106"/>
      <c r="I546" s="104"/>
      <c r="J546" s="106"/>
      <c r="K546" s="105"/>
    </row>
    <row r="547" spans="1:11" x14ac:dyDescent="0.25">
      <c r="A547" s="103"/>
      <c r="B547" s="104"/>
      <c r="C547" s="104"/>
      <c r="D547" s="104"/>
      <c r="E547" s="105"/>
      <c r="F547" s="104"/>
      <c r="G547" s="105"/>
      <c r="H547" s="106"/>
      <c r="I547" s="104"/>
      <c r="J547" s="106"/>
      <c r="K547" s="105"/>
    </row>
    <row r="548" spans="1:11" x14ac:dyDescent="0.25">
      <c r="A548" s="103"/>
      <c r="B548" s="104"/>
      <c r="C548" s="104"/>
      <c r="D548" s="104"/>
      <c r="E548" s="105"/>
      <c r="F548" s="104"/>
      <c r="G548" s="105"/>
      <c r="H548" s="106"/>
      <c r="I548" s="104"/>
      <c r="J548" s="106"/>
      <c r="K548" s="105"/>
    </row>
    <row r="549" spans="1:11" x14ac:dyDescent="0.25">
      <c r="A549" s="103"/>
      <c r="B549" s="104"/>
      <c r="C549" s="104"/>
      <c r="D549" s="104"/>
      <c r="E549" s="105"/>
      <c r="F549" s="104"/>
      <c r="G549" s="105"/>
      <c r="H549" s="106"/>
      <c r="I549" s="104"/>
      <c r="J549" s="106"/>
      <c r="K549" s="105"/>
    </row>
    <row r="550" spans="1:11" x14ac:dyDescent="0.25">
      <c r="A550" s="103"/>
      <c r="B550" s="104"/>
      <c r="C550" s="104"/>
      <c r="D550" s="104"/>
      <c r="E550" s="105"/>
      <c r="F550" s="104"/>
      <c r="G550" s="105"/>
      <c r="H550" s="106"/>
      <c r="I550" s="104"/>
      <c r="J550" s="106"/>
      <c r="K550" s="105"/>
    </row>
    <row r="551" spans="1:11" x14ac:dyDescent="0.25">
      <c r="A551" s="103"/>
      <c r="B551" s="104"/>
      <c r="C551" s="104"/>
      <c r="D551" s="104"/>
      <c r="E551" s="105"/>
      <c r="F551" s="104"/>
      <c r="G551" s="105"/>
      <c r="H551" s="106"/>
      <c r="I551" s="104"/>
      <c r="J551" s="106"/>
      <c r="K551" s="105"/>
    </row>
    <row r="552" spans="1:11" x14ac:dyDescent="0.25">
      <c r="A552" s="103"/>
      <c r="B552" s="104"/>
      <c r="C552" s="104"/>
      <c r="D552" s="104"/>
      <c r="E552" s="105"/>
      <c r="F552" s="104"/>
      <c r="G552" s="105"/>
      <c r="H552" s="106"/>
      <c r="I552" s="104"/>
      <c r="J552" s="106"/>
      <c r="K552" s="105"/>
    </row>
    <row r="553" spans="1:11" x14ac:dyDescent="0.25">
      <c r="A553" s="103"/>
      <c r="B553" s="104"/>
      <c r="C553" s="104"/>
      <c r="D553" s="104"/>
      <c r="E553" s="105"/>
      <c r="F553" s="104"/>
      <c r="G553" s="105"/>
      <c r="H553" s="106"/>
      <c r="I553" s="104"/>
      <c r="J553" s="106"/>
      <c r="K553" s="105"/>
    </row>
    <row r="554" spans="1:11" x14ac:dyDescent="0.25">
      <c r="A554" s="103"/>
      <c r="B554" s="104"/>
      <c r="C554" s="104"/>
      <c r="D554" s="104"/>
      <c r="E554" s="105"/>
      <c r="F554" s="104"/>
      <c r="G554" s="105"/>
      <c r="H554" s="106"/>
      <c r="I554" s="104"/>
      <c r="J554" s="106"/>
      <c r="K554" s="105"/>
    </row>
    <row r="555" spans="1:11" x14ac:dyDescent="0.25">
      <c r="A555" s="103"/>
      <c r="B555" s="104"/>
      <c r="C555" s="104"/>
      <c r="D555" s="104"/>
      <c r="E555" s="105"/>
      <c r="F555" s="104"/>
      <c r="G555" s="105"/>
      <c r="H555" s="106"/>
      <c r="I555" s="104"/>
      <c r="J555" s="106"/>
      <c r="K555" s="105"/>
    </row>
    <row r="556" spans="1:11" x14ac:dyDescent="0.25">
      <c r="A556" s="103"/>
      <c r="B556" s="104"/>
      <c r="C556" s="104"/>
      <c r="D556" s="104"/>
      <c r="E556" s="105"/>
      <c r="F556" s="104"/>
      <c r="G556" s="105"/>
      <c r="H556" s="106"/>
      <c r="I556" s="104"/>
      <c r="J556" s="106"/>
      <c r="K556" s="105"/>
    </row>
    <row r="557" spans="1:11" x14ac:dyDescent="0.25">
      <c r="A557" s="103"/>
      <c r="B557" s="104"/>
      <c r="C557" s="104"/>
      <c r="D557" s="104"/>
      <c r="E557" s="105"/>
      <c r="F557" s="104"/>
      <c r="G557" s="105"/>
      <c r="H557" s="106"/>
      <c r="I557" s="104"/>
      <c r="J557" s="106"/>
      <c r="K557" s="105"/>
    </row>
    <row r="558" spans="1:11" x14ac:dyDescent="0.25">
      <c r="A558" s="103"/>
      <c r="B558" s="104"/>
      <c r="C558" s="104"/>
      <c r="D558" s="104"/>
      <c r="E558" s="105"/>
      <c r="F558" s="104"/>
      <c r="G558" s="105"/>
      <c r="H558" s="106"/>
      <c r="I558" s="104"/>
      <c r="J558" s="106"/>
      <c r="K558" s="105"/>
    </row>
    <row r="559" spans="1:11" x14ac:dyDescent="0.25">
      <c r="A559" s="103"/>
      <c r="B559" s="104"/>
      <c r="C559" s="104"/>
      <c r="D559" s="104"/>
      <c r="E559" s="105"/>
      <c r="F559" s="104"/>
      <c r="G559" s="105"/>
      <c r="H559" s="106"/>
      <c r="I559" s="104"/>
      <c r="J559" s="106"/>
      <c r="K559" s="105"/>
    </row>
    <row r="560" spans="1:11" x14ac:dyDescent="0.25">
      <c r="A560" s="103"/>
      <c r="B560" s="104"/>
      <c r="C560" s="104"/>
      <c r="D560" s="104"/>
      <c r="E560" s="105"/>
      <c r="F560" s="104"/>
      <c r="G560" s="105"/>
      <c r="H560" s="106"/>
      <c r="I560" s="104"/>
      <c r="J560" s="106"/>
      <c r="K560" s="105"/>
    </row>
    <row r="561" spans="1:11" x14ac:dyDescent="0.25">
      <c r="A561" s="103"/>
      <c r="B561" s="104"/>
      <c r="C561" s="104"/>
      <c r="D561" s="104"/>
      <c r="E561" s="105"/>
      <c r="F561" s="104"/>
      <c r="G561" s="105"/>
      <c r="H561" s="106"/>
      <c r="I561" s="104"/>
      <c r="J561" s="106"/>
      <c r="K561" s="105"/>
    </row>
    <row r="562" spans="1:11" x14ac:dyDescent="0.25">
      <c r="A562" s="103"/>
      <c r="B562" s="104"/>
      <c r="C562" s="104"/>
      <c r="D562" s="104"/>
      <c r="E562" s="105"/>
      <c r="F562" s="104"/>
      <c r="G562" s="105"/>
      <c r="H562" s="106"/>
      <c r="I562" s="104"/>
      <c r="J562" s="106"/>
      <c r="K562" s="105"/>
    </row>
    <row r="563" spans="1:11" x14ac:dyDescent="0.25">
      <c r="A563" s="103"/>
      <c r="B563" s="104"/>
      <c r="C563" s="104"/>
      <c r="D563" s="104"/>
      <c r="E563" s="105"/>
      <c r="F563" s="104"/>
      <c r="G563" s="105"/>
      <c r="H563" s="106"/>
      <c r="I563" s="104"/>
      <c r="J563" s="106"/>
      <c r="K563" s="105"/>
    </row>
    <row r="564" spans="1:11" x14ac:dyDescent="0.25">
      <c r="A564" s="103"/>
      <c r="B564" s="104"/>
      <c r="C564" s="104"/>
      <c r="D564" s="104"/>
      <c r="E564" s="105"/>
      <c r="F564" s="104"/>
      <c r="G564" s="105"/>
      <c r="H564" s="106"/>
      <c r="I564" s="104"/>
      <c r="J564" s="106"/>
      <c r="K564" s="105"/>
    </row>
    <row r="565" spans="1:11" x14ac:dyDescent="0.25">
      <c r="A565" s="103"/>
      <c r="B565" s="104"/>
      <c r="C565" s="104"/>
      <c r="D565" s="104"/>
      <c r="E565" s="105"/>
      <c r="F565" s="104"/>
      <c r="G565" s="105"/>
      <c r="H565" s="106"/>
      <c r="I565" s="104"/>
      <c r="J565" s="106"/>
      <c r="K565" s="105"/>
    </row>
    <row r="566" spans="1:11" x14ac:dyDescent="0.25">
      <c r="A566" s="103"/>
      <c r="B566" s="104"/>
      <c r="C566" s="104"/>
      <c r="D566" s="104"/>
      <c r="E566" s="105"/>
      <c r="F566" s="104"/>
      <c r="G566" s="105"/>
      <c r="H566" s="106"/>
      <c r="I566" s="104"/>
      <c r="J566" s="106"/>
      <c r="K566" s="105"/>
    </row>
    <row r="567" spans="1:11" x14ac:dyDescent="0.25">
      <c r="A567" s="103"/>
      <c r="B567" s="104"/>
      <c r="C567" s="104"/>
      <c r="D567" s="104"/>
      <c r="E567" s="105"/>
      <c r="F567" s="104"/>
      <c r="G567" s="105"/>
      <c r="H567" s="106"/>
      <c r="I567" s="104"/>
      <c r="J567" s="106"/>
      <c r="K567" s="105"/>
    </row>
    <row r="568" spans="1:11" x14ac:dyDescent="0.25">
      <c r="A568" s="103"/>
      <c r="B568" s="104"/>
      <c r="C568" s="104"/>
      <c r="D568" s="104"/>
      <c r="E568" s="105"/>
      <c r="F568" s="104"/>
      <c r="G568" s="105"/>
      <c r="H568" s="106"/>
      <c r="I568" s="104"/>
      <c r="J568" s="106"/>
      <c r="K568" s="105"/>
    </row>
    <row r="569" spans="1:11" x14ac:dyDescent="0.25">
      <c r="A569" s="103"/>
      <c r="B569" s="104"/>
      <c r="C569" s="104"/>
      <c r="D569" s="104"/>
      <c r="E569" s="105"/>
      <c r="F569" s="104"/>
      <c r="G569" s="105"/>
      <c r="H569" s="106"/>
      <c r="I569" s="104"/>
      <c r="J569" s="106"/>
      <c r="K569" s="105"/>
    </row>
    <row r="570" spans="1:11" x14ac:dyDescent="0.25">
      <c r="A570" s="103"/>
      <c r="B570" s="104"/>
      <c r="C570" s="104"/>
      <c r="D570" s="104"/>
      <c r="E570" s="105"/>
      <c r="F570" s="104"/>
      <c r="G570" s="105"/>
      <c r="H570" s="106"/>
      <c r="I570" s="104"/>
      <c r="J570" s="106"/>
      <c r="K570" s="105"/>
    </row>
    <row r="571" spans="1:11" x14ac:dyDescent="0.25">
      <c r="A571" s="103"/>
      <c r="B571" s="104"/>
      <c r="C571" s="104"/>
      <c r="D571" s="104"/>
      <c r="E571" s="105"/>
      <c r="F571" s="104"/>
      <c r="G571" s="105"/>
      <c r="H571" s="106"/>
      <c r="I571" s="104"/>
      <c r="J571" s="106"/>
      <c r="K571" s="105"/>
    </row>
    <row r="572" spans="1:11" x14ac:dyDescent="0.25">
      <c r="A572" s="103"/>
      <c r="B572" s="104"/>
      <c r="C572" s="104"/>
      <c r="D572" s="104"/>
      <c r="E572" s="105"/>
      <c r="F572" s="104"/>
      <c r="G572" s="105"/>
      <c r="H572" s="106"/>
      <c r="I572" s="104"/>
      <c r="J572" s="106"/>
      <c r="K572" s="105"/>
    </row>
    <row r="573" spans="1:11" x14ac:dyDescent="0.25">
      <c r="A573" s="103"/>
      <c r="B573" s="104"/>
      <c r="C573" s="104"/>
      <c r="D573" s="104"/>
      <c r="E573" s="105"/>
      <c r="F573" s="104"/>
      <c r="G573" s="105"/>
      <c r="H573" s="106"/>
      <c r="I573" s="104"/>
      <c r="J573" s="106"/>
      <c r="K573" s="105"/>
    </row>
    <row r="574" spans="1:11" x14ac:dyDescent="0.25">
      <c r="A574" s="103"/>
      <c r="B574" s="104"/>
      <c r="C574" s="104"/>
      <c r="D574" s="104"/>
      <c r="E574" s="105"/>
      <c r="F574" s="104"/>
      <c r="G574" s="105"/>
      <c r="H574" s="106"/>
      <c r="I574" s="104"/>
      <c r="J574" s="106"/>
      <c r="K574" s="105"/>
    </row>
    <row r="575" spans="1:11" x14ac:dyDescent="0.25">
      <c r="A575" s="103"/>
      <c r="B575" s="104"/>
      <c r="C575" s="104"/>
      <c r="D575" s="104"/>
      <c r="E575" s="105"/>
      <c r="F575" s="104"/>
      <c r="G575" s="105"/>
      <c r="H575" s="106"/>
      <c r="I575" s="104"/>
      <c r="J575" s="106"/>
      <c r="K575" s="105"/>
    </row>
    <row r="576" spans="1:11" x14ac:dyDescent="0.25">
      <c r="A576" s="103"/>
      <c r="B576" s="104"/>
      <c r="C576" s="104"/>
      <c r="D576" s="104"/>
      <c r="E576" s="105"/>
      <c r="F576" s="104"/>
      <c r="G576" s="105"/>
      <c r="H576" s="106"/>
      <c r="I576" s="104"/>
      <c r="J576" s="106"/>
      <c r="K576" s="105"/>
    </row>
    <row r="577" spans="1:11" x14ac:dyDescent="0.25">
      <c r="A577" s="103"/>
      <c r="B577" s="104"/>
      <c r="C577" s="104"/>
      <c r="D577" s="104"/>
      <c r="E577" s="105"/>
      <c r="F577" s="104"/>
      <c r="G577" s="105"/>
      <c r="H577" s="106"/>
      <c r="I577" s="104"/>
      <c r="J577" s="106"/>
      <c r="K577" s="105"/>
    </row>
    <row r="578" spans="1:11" x14ac:dyDescent="0.25">
      <c r="A578" s="103"/>
      <c r="B578" s="104"/>
      <c r="C578" s="104"/>
      <c r="D578" s="104"/>
      <c r="E578" s="105"/>
      <c r="F578" s="104"/>
      <c r="G578" s="105"/>
      <c r="H578" s="106"/>
      <c r="I578" s="104"/>
      <c r="J578" s="106"/>
      <c r="K578" s="105"/>
    </row>
    <row r="579" spans="1:11" x14ac:dyDescent="0.25">
      <c r="A579" s="103"/>
      <c r="B579" s="104"/>
      <c r="C579" s="104"/>
      <c r="D579" s="104"/>
      <c r="E579" s="105"/>
      <c r="F579" s="104"/>
      <c r="G579" s="105"/>
      <c r="H579" s="106"/>
      <c r="I579" s="104"/>
      <c r="J579" s="106"/>
      <c r="K579" s="105"/>
    </row>
    <row r="580" spans="1:11" x14ac:dyDescent="0.25">
      <c r="A580" s="103"/>
      <c r="B580" s="104"/>
      <c r="C580" s="104"/>
      <c r="D580" s="104"/>
      <c r="E580" s="105"/>
      <c r="F580" s="104"/>
      <c r="G580" s="105"/>
      <c r="H580" s="106"/>
      <c r="I580" s="104"/>
      <c r="J580" s="106"/>
      <c r="K580" s="105"/>
    </row>
    <row r="581" spans="1:11" x14ac:dyDescent="0.25">
      <c r="A581" s="103"/>
      <c r="B581" s="104"/>
      <c r="C581" s="104"/>
      <c r="D581" s="104"/>
      <c r="E581" s="105"/>
      <c r="F581" s="104"/>
      <c r="G581" s="105"/>
      <c r="H581" s="106"/>
      <c r="I581" s="104"/>
      <c r="J581" s="106"/>
      <c r="K581" s="105"/>
    </row>
    <row r="582" spans="1:11" x14ac:dyDescent="0.25">
      <c r="A582" s="103"/>
      <c r="B582" s="104"/>
      <c r="C582" s="104"/>
      <c r="D582" s="104"/>
      <c r="E582" s="105"/>
      <c r="F582" s="104"/>
      <c r="G582" s="105"/>
      <c r="H582" s="106"/>
      <c r="I582" s="104"/>
      <c r="J582" s="106"/>
      <c r="K582" s="105"/>
    </row>
    <row r="583" spans="1:11" x14ac:dyDescent="0.25">
      <c r="A583" s="103"/>
      <c r="B583" s="104"/>
      <c r="C583" s="104"/>
      <c r="D583" s="104"/>
      <c r="E583" s="105"/>
      <c r="F583" s="104"/>
      <c r="G583" s="105"/>
      <c r="H583" s="106"/>
      <c r="I583" s="104"/>
      <c r="J583" s="106"/>
      <c r="K583" s="105"/>
    </row>
    <row r="584" spans="1:11" x14ac:dyDescent="0.25">
      <c r="A584" s="103"/>
      <c r="B584" s="104"/>
      <c r="C584" s="104"/>
      <c r="D584" s="104"/>
      <c r="E584" s="105"/>
      <c r="F584" s="104"/>
      <c r="G584" s="105"/>
      <c r="H584" s="106"/>
      <c r="I584" s="104"/>
      <c r="J584" s="106"/>
      <c r="K584" s="105"/>
    </row>
    <row r="585" spans="1:11" x14ac:dyDescent="0.25">
      <c r="A585" s="103"/>
      <c r="B585" s="104"/>
      <c r="C585" s="104"/>
      <c r="D585" s="104"/>
      <c r="E585" s="105"/>
      <c r="F585" s="104"/>
      <c r="G585" s="105"/>
      <c r="H585" s="106"/>
      <c r="I585" s="104"/>
      <c r="J585" s="106"/>
      <c r="K585" s="105"/>
    </row>
    <row r="586" spans="1:11" x14ac:dyDescent="0.25">
      <c r="A586" s="103"/>
      <c r="B586" s="104"/>
      <c r="C586" s="104"/>
      <c r="D586" s="104"/>
      <c r="E586" s="105"/>
      <c r="F586" s="104"/>
      <c r="G586" s="105"/>
      <c r="H586" s="106"/>
      <c r="I586" s="104"/>
      <c r="J586" s="106"/>
      <c r="K586" s="105"/>
    </row>
    <row r="587" spans="1:11" x14ac:dyDescent="0.25">
      <c r="A587" s="103"/>
      <c r="B587" s="104"/>
      <c r="C587" s="104"/>
      <c r="D587" s="104"/>
      <c r="E587" s="105"/>
      <c r="F587" s="104"/>
      <c r="G587" s="105"/>
      <c r="H587" s="106"/>
      <c r="I587" s="104"/>
      <c r="J587" s="106"/>
      <c r="K587" s="105"/>
    </row>
    <row r="588" spans="1:11" x14ac:dyDescent="0.25">
      <c r="A588" s="103"/>
      <c r="B588" s="104"/>
      <c r="C588" s="104"/>
      <c r="D588" s="104"/>
      <c r="E588" s="105"/>
      <c r="F588" s="104"/>
      <c r="G588" s="105"/>
      <c r="H588" s="106"/>
      <c r="I588" s="104"/>
      <c r="J588" s="106"/>
      <c r="K588" s="105"/>
    </row>
    <row r="589" spans="1:11" x14ac:dyDescent="0.25">
      <c r="A589" s="103"/>
      <c r="B589" s="104"/>
      <c r="C589" s="104"/>
      <c r="D589" s="104"/>
      <c r="E589" s="105"/>
      <c r="F589" s="104"/>
      <c r="G589" s="105"/>
      <c r="H589" s="106"/>
      <c r="I589" s="104"/>
      <c r="J589" s="106"/>
      <c r="K589" s="105"/>
    </row>
    <row r="590" spans="1:11" x14ac:dyDescent="0.25">
      <c r="A590" s="103"/>
      <c r="B590" s="104"/>
      <c r="C590" s="104"/>
      <c r="D590" s="104"/>
      <c r="E590" s="105"/>
      <c r="F590" s="104"/>
      <c r="G590" s="105"/>
      <c r="H590" s="106"/>
      <c r="I590" s="104"/>
      <c r="J590" s="106"/>
      <c r="K590" s="105"/>
    </row>
    <row r="591" spans="1:11" x14ac:dyDescent="0.25">
      <c r="A591" s="103"/>
      <c r="B591" s="104"/>
      <c r="C591" s="104"/>
      <c r="D591" s="104"/>
      <c r="E591" s="105"/>
      <c r="F591" s="104"/>
      <c r="G591" s="105"/>
      <c r="H591" s="106"/>
      <c r="I591" s="104"/>
      <c r="J591" s="106"/>
      <c r="K591" s="105"/>
    </row>
    <row r="592" spans="1:11" x14ac:dyDescent="0.25">
      <c r="A592" s="103"/>
      <c r="B592" s="104"/>
      <c r="C592" s="104"/>
      <c r="D592" s="104"/>
      <c r="E592" s="105"/>
      <c r="F592" s="104"/>
      <c r="G592" s="105"/>
      <c r="H592" s="106"/>
      <c r="I592" s="104"/>
      <c r="J592" s="106"/>
      <c r="K592" s="105"/>
    </row>
    <row r="593" spans="1:11" x14ac:dyDescent="0.25">
      <c r="A593" s="103"/>
      <c r="B593" s="104"/>
      <c r="C593" s="104"/>
      <c r="D593" s="104"/>
      <c r="E593" s="105"/>
      <c r="F593" s="104"/>
      <c r="G593" s="105"/>
      <c r="H593" s="106"/>
      <c r="I593" s="104"/>
      <c r="J593" s="106"/>
      <c r="K593" s="105"/>
    </row>
    <row r="594" spans="1:11" x14ac:dyDescent="0.25">
      <c r="A594" s="103"/>
      <c r="B594" s="104"/>
      <c r="C594" s="104"/>
      <c r="D594" s="104"/>
      <c r="E594" s="105"/>
      <c r="F594" s="104"/>
      <c r="G594" s="105"/>
      <c r="H594" s="106"/>
      <c r="I594" s="104"/>
      <c r="J594" s="106"/>
      <c r="K594" s="105"/>
    </row>
    <row r="595" spans="1:11" x14ac:dyDescent="0.25">
      <c r="A595" s="103"/>
      <c r="B595" s="104"/>
      <c r="C595" s="104"/>
      <c r="D595" s="104"/>
      <c r="E595" s="105"/>
      <c r="F595" s="104"/>
      <c r="G595" s="105"/>
      <c r="H595" s="106"/>
      <c r="I595" s="104"/>
      <c r="J595" s="106"/>
      <c r="K595" s="105"/>
    </row>
    <row r="596" spans="1:11" x14ac:dyDescent="0.25">
      <c r="A596" s="103"/>
      <c r="B596" s="104"/>
      <c r="C596" s="104"/>
      <c r="D596" s="104"/>
      <c r="E596" s="105"/>
      <c r="F596" s="104"/>
      <c r="G596" s="105"/>
      <c r="H596" s="106"/>
      <c r="I596" s="104"/>
      <c r="J596" s="106"/>
      <c r="K596" s="105"/>
    </row>
    <row r="597" spans="1:11" x14ac:dyDescent="0.25">
      <c r="A597" s="103"/>
      <c r="B597" s="104"/>
      <c r="C597" s="104"/>
      <c r="D597" s="104"/>
      <c r="E597" s="105"/>
      <c r="F597" s="104"/>
      <c r="G597" s="105"/>
      <c r="H597" s="106"/>
      <c r="I597" s="104"/>
      <c r="J597" s="106"/>
      <c r="K597" s="105"/>
    </row>
    <row r="598" spans="1:11" x14ac:dyDescent="0.25">
      <c r="A598" s="103"/>
      <c r="B598" s="104"/>
      <c r="C598" s="104"/>
      <c r="D598" s="104"/>
      <c r="E598" s="105"/>
      <c r="F598" s="104"/>
      <c r="G598" s="105"/>
      <c r="H598" s="106"/>
      <c r="I598" s="104"/>
      <c r="J598" s="106"/>
      <c r="K598" s="105"/>
    </row>
    <row r="599" spans="1:11" x14ac:dyDescent="0.25">
      <c r="A599" s="103"/>
      <c r="B599" s="104"/>
      <c r="C599" s="104"/>
      <c r="D599" s="104"/>
      <c r="E599" s="105"/>
      <c r="F599" s="104"/>
      <c r="G599" s="105"/>
      <c r="H599" s="106"/>
      <c r="I599" s="104"/>
      <c r="J599" s="106"/>
      <c r="K599" s="105"/>
    </row>
    <row r="600" spans="1:11" x14ac:dyDescent="0.25">
      <c r="A600" s="103"/>
      <c r="B600" s="104"/>
      <c r="C600" s="104"/>
      <c r="D600" s="104"/>
      <c r="E600" s="105"/>
      <c r="F600" s="104"/>
      <c r="G600" s="105"/>
      <c r="H600" s="106"/>
      <c r="I600" s="104"/>
      <c r="J600" s="106"/>
      <c r="K600" s="105"/>
    </row>
    <row r="601" spans="1:11" x14ac:dyDescent="0.25">
      <c r="A601" s="103"/>
      <c r="B601" s="104"/>
      <c r="C601" s="104"/>
      <c r="D601" s="104"/>
      <c r="E601" s="105"/>
      <c r="F601" s="104"/>
      <c r="G601" s="105"/>
      <c r="H601" s="106"/>
      <c r="I601" s="104"/>
      <c r="J601" s="106"/>
      <c r="K601" s="105"/>
    </row>
    <row r="602" spans="1:11" x14ac:dyDescent="0.25">
      <c r="A602" s="103"/>
      <c r="B602" s="104"/>
      <c r="C602" s="104"/>
      <c r="D602" s="104"/>
      <c r="E602" s="105"/>
      <c r="F602" s="104"/>
      <c r="G602" s="105"/>
      <c r="H602" s="106"/>
      <c r="I602" s="104"/>
      <c r="J602" s="106"/>
      <c r="K602" s="105"/>
    </row>
    <row r="603" spans="1:11" x14ac:dyDescent="0.25">
      <c r="A603" s="103"/>
      <c r="B603" s="104"/>
      <c r="C603" s="104"/>
      <c r="D603" s="104"/>
      <c r="E603" s="105"/>
      <c r="F603" s="104"/>
      <c r="G603" s="105"/>
      <c r="H603" s="106"/>
      <c r="I603" s="104"/>
      <c r="J603" s="106"/>
      <c r="K603" s="105"/>
    </row>
    <row r="604" spans="1:11" x14ac:dyDescent="0.25">
      <c r="A604" s="103"/>
      <c r="B604" s="104"/>
      <c r="C604" s="104"/>
      <c r="D604" s="104"/>
      <c r="E604" s="105"/>
      <c r="F604" s="104"/>
      <c r="G604" s="105"/>
      <c r="H604" s="106"/>
      <c r="I604" s="104"/>
      <c r="J604" s="106"/>
      <c r="K604" s="105"/>
    </row>
    <row r="605" spans="1:11" x14ac:dyDescent="0.25">
      <c r="A605" s="103"/>
      <c r="B605" s="104"/>
      <c r="C605" s="104"/>
      <c r="D605" s="104"/>
      <c r="E605" s="105"/>
      <c r="F605" s="104"/>
      <c r="G605" s="105"/>
      <c r="H605" s="106"/>
      <c r="I605" s="104"/>
      <c r="J605" s="106"/>
      <c r="K605" s="105"/>
    </row>
    <row r="606" spans="1:11" x14ac:dyDescent="0.25">
      <c r="A606" s="103"/>
      <c r="B606" s="104"/>
      <c r="C606" s="104"/>
      <c r="D606" s="104"/>
      <c r="E606" s="105"/>
      <c r="F606" s="104"/>
      <c r="G606" s="105"/>
      <c r="H606" s="106"/>
      <c r="I606" s="104"/>
      <c r="J606" s="106"/>
      <c r="K606" s="105"/>
    </row>
    <row r="607" spans="1:11" x14ac:dyDescent="0.25">
      <c r="A607" s="103"/>
      <c r="B607" s="104"/>
      <c r="C607" s="104"/>
      <c r="D607" s="104"/>
      <c r="E607" s="105"/>
      <c r="F607" s="104"/>
      <c r="G607" s="105"/>
      <c r="H607" s="106"/>
      <c r="I607" s="104"/>
      <c r="J607" s="106"/>
      <c r="K607" s="105"/>
    </row>
    <row r="608" spans="1:11" x14ac:dyDescent="0.25">
      <c r="A608" s="103"/>
      <c r="B608" s="104"/>
      <c r="C608" s="104"/>
      <c r="D608" s="104"/>
      <c r="E608" s="105"/>
      <c r="F608" s="104"/>
      <c r="G608" s="105"/>
      <c r="H608" s="106"/>
      <c r="I608" s="104"/>
      <c r="J608" s="106"/>
      <c r="K608" s="105"/>
    </row>
    <row r="609" spans="1:11" x14ac:dyDescent="0.25">
      <c r="A609" s="103"/>
      <c r="B609" s="104"/>
      <c r="C609" s="104"/>
      <c r="D609" s="104"/>
      <c r="E609" s="105"/>
      <c r="F609" s="104"/>
      <c r="G609" s="105"/>
      <c r="H609" s="106"/>
      <c r="I609" s="104"/>
      <c r="J609" s="106"/>
      <c r="K609" s="105"/>
    </row>
    <row r="610" spans="1:11" x14ac:dyDescent="0.25">
      <c r="A610" s="103"/>
      <c r="B610" s="104"/>
      <c r="C610" s="104"/>
      <c r="D610" s="104"/>
      <c r="E610" s="105"/>
      <c r="F610" s="104"/>
      <c r="G610" s="105"/>
      <c r="H610" s="106"/>
      <c r="I610" s="104"/>
      <c r="J610" s="106"/>
      <c r="K610" s="105"/>
    </row>
    <row r="611" spans="1:11" x14ac:dyDescent="0.25">
      <c r="A611" s="103"/>
      <c r="B611" s="104"/>
      <c r="C611" s="104"/>
      <c r="D611" s="104"/>
      <c r="E611" s="105"/>
      <c r="F611" s="104"/>
      <c r="G611" s="105"/>
      <c r="H611" s="106"/>
      <c r="I611" s="104"/>
      <c r="J611" s="106"/>
      <c r="K611" s="105"/>
    </row>
    <row r="612" spans="1:11" x14ac:dyDescent="0.25">
      <c r="A612" s="103"/>
      <c r="B612" s="104"/>
      <c r="C612" s="104"/>
      <c r="D612" s="104"/>
      <c r="E612" s="105"/>
      <c r="F612" s="104"/>
      <c r="G612" s="105"/>
      <c r="H612" s="106"/>
      <c r="I612" s="104"/>
      <c r="J612" s="106"/>
      <c r="K612" s="105"/>
    </row>
    <row r="613" spans="1:11" x14ac:dyDescent="0.25">
      <c r="A613" s="103"/>
      <c r="B613" s="104"/>
      <c r="C613" s="104"/>
      <c r="D613" s="104"/>
      <c r="E613" s="105"/>
      <c r="F613" s="104"/>
      <c r="G613" s="105"/>
      <c r="H613" s="106"/>
      <c r="I613" s="104"/>
      <c r="J613" s="106"/>
      <c r="K613" s="105"/>
    </row>
    <row r="614" spans="1:11" x14ac:dyDescent="0.25">
      <c r="A614" s="103"/>
      <c r="B614" s="104"/>
      <c r="C614" s="104"/>
      <c r="D614" s="104"/>
      <c r="E614" s="105"/>
      <c r="F614" s="104"/>
      <c r="G614" s="105"/>
      <c r="H614" s="106"/>
      <c r="I614" s="104"/>
      <c r="J614" s="106"/>
      <c r="K614" s="105"/>
    </row>
    <row r="615" spans="1:11" x14ac:dyDescent="0.25">
      <c r="A615" s="103"/>
      <c r="B615" s="104"/>
      <c r="C615" s="104"/>
      <c r="D615" s="104"/>
      <c r="E615" s="105"/>
      <c r="F615" s="104"/>
      <c r="G615" s="105"/>
      <c r="H615" s="106"/>
      <c r="I615" s="104"/>
      <c r="J615" s="106"/>
      <c r="K615" s="105"/>
    </row>
    <row r="616" spans="1:11" x14ac:dyDescent="0.25">
      <c r="A616" s="103"/>
      <c r="B616" s="104"/>
      <c r="C616" s="104"/>
      <c r="D616" s="104"/>
      <c r="E616" s="105"/>
      <c r="F616" s="104"/>
      <c r="G616" s="105"/>
      <c r="H616" s="106"/>
      <c r="I616" s="104"/>
      <c r="J616" s="106"/>
      <c r="K616" s="105"/>
    </row>
    <row r="617" spans="1:11" x14ac:dyDescent="0.25">
      <c r="A617" s="103"/>
      <c r="B617" s="104"/>
      <c r="C617" s="104"/>
      <c r="D617" s="104"/>
      <c r="E617" s="105"/>
      <c r="F617" s="104"/>
      <c r="G617" s="105"/>
      <c r="H617" s="106"/>
      <c r="I617" s="104"/>
      <c r="J617" s="106"/>
      <c r="K617" s="105"/>
    </row>
    <row r="618" spans="1:11" x14ac:dyDescent="0.25">
      <c r="A618" s="103"/>
      <c r="B618" s="104"/>
      <c r="C618" s="104"/>
      <c r="D618" s="104"/>
      <c r="E618" s="105"/>
      <c r="F618" s="104"/>
      <c r="G618" s="105"/>
      <c r="H618" s="106"/>
      <c r="I618" s="104"/>
      <c r="J618" s="106"/>
      <c r="K618" s="105"/>
    </row>
    <row r="619" spans="1:11" x14ac:dyDescent="0.25">
      <c r="A619" s="103"/>
      <c r="B619" s="104"/>
      <c r="C619" s="104"/>
      <c r="D619" s="104"/>
      <c r="E619" s="105"/>
      <c r="F619" s="104"/>
      <c r="G619" s="105"/>
      <c r="H619" s="106"/>
      <c r="I619" s="104"/>
      <c r="J619" s="106"/>
      <c r="K619" s="105"/>
    </row>
    <row r="620" spans="1:11" x14ac:dyDescent="0.25">
      <c r="A620" s="103"/>
      <c r="B620" s="104"/>
      <c r="C620" s="104"/>
      <c r="D620" s="104"/>
      <c r="E620" s="105"/>
      <c r="F620" s="104"/>
      <c r="G620" s="105"/>
      <c r="H620" s="106"/>
      <c r="I620" s="104"/>
      <c r="J620" s="106"/>
      <c r="K620" s="105"/>
    </row>
    <row r="621" spans="1:11" x14ac:dyDescent="0.25">
      <c r="A621" s="103"/>
      <c r="B621" s="104"/>
      <c r="C621" s="104"/>
      <c r="D621" s="104"/>
      <c r="E621" s="105"/>
      <c r="F621" s="104"/>
      <c r="G621" s="105"/>
      <c r="H621" s="106"/>
      <c r="I621" s="104"/>
      <c r="J621" s="106"/>
      <c r="K621" s="105"/>
    </row>
    <row r="622" spans="1:11" x14ac:dyDescent="0.25">
      <c r="A622" s="103"/>
      <c r="B622" s="104"/>
      <c r="C622" s="104"/>
      <c r="D622" s="104"/>
      <c r="E622" s="105"/>
      <c r="F622" s="104"/>
      <c r="G622" s="105"/>
      <c r="H622" s="106"/>
      <c r="I622" s="104"/>
      <c r="J622" s="106"/>
      <c r="K622" s="105"/>
    </row>
    <row r="623" spans="1:11" x14ac:dyDescent="0.25">
      <c r="A623" s="103"/>
      <c r="B623" s="104"/>
      <c r="C623" s="104"/>
      <c r="D623" s="104"/>
      <c r="E623" s="105"/>
      <c r="F623" s="104"/>
      <c r="G623" s="105"/>
      <c r="H623" s="106"/>
      <c r="I623" s="104"/>
      <c r="J623" s="106"/>
      <c r="K623" s="105"/>
    </row>
    <row r="624" spans="1:11" x14ac:dyDescent="0.25">
      <c r="A624" s="103"/>
      <c r="B624" s="104"/>
      <c r="C624" s="104"/>
      <c r="D624" s="104"/>
      <c r="E624" s="105"/>
      <c r="F624" s="104"/>
      <c r="G624" s="105"/>
      <c r="H624" s="106"/>
      <c r="I624" s="104"/>
      <c r="J624" s="106"/>
      <c r="K624" s="105"/>
    </row>
    <row r="625" spans="1:11" x14ac:dyDescent="0.25">
      <c r="A625" s="103"/>
      <c r="B625" s="104"/>
      <c r="C625" s="104"/>
      <c r="D625" s="104"/>
      <c r="E625" s="105"/>
      <c r="F625" s="104"/>
      <c r="G625" s="105"/>
      <c r="H625" s="106"/>
      <c r="I625" s="104"/>
      <c r="J625" s="106"/>
      <c r="K625" s="105"/>
    </row>
    <row r="626" spans="1:11" x14ac:dyDescent="0.25">
      <c r="A626" s="103"/>
      <c r="B626" s="104"/>
      <c r="C626" s="104"/>
      <c r="D626" s="104"/>
      <c r="E626" s="105"/>
      <c r="F626" s="104"/>
      <c r="G626" s="105"/>
      <c r="H626" s="106"/>
      <c r="I626" s="104"/>
      <c r="J626" s="106"/>
      <c r="K626" s="105"/>
    </row>
    <row r="627" spans="1:11" x14ac:dyDescent="0.25">
      <c r="A627" s="103"/>
      <c r="B627" s="104"/>
      <c r="C627" s="104"/>
      <c r="D627" s="104"/>
      <c r="E627" s="105"/>
      <c r="F627" s="104"/>
      <c r="G627" s="105"/>
      <c r="H627" s="106"/>
      <c r="I627" s="104"/>
      <c r="J627" s="106"/>
      <c r="K627" s="105"/>
    </row>
    <row r="628" spans="1:11" x14ac:dyDescent="0.25">
      <c r="A628" s="103"/>
      <c r="B628" s="104"/>
      <c r="C628" s="104"/>
      <c r="D628" s="104"/>
      <c r="E628" s="105"/>
      <c r="F628" s="104"/>
      <c r="G628" s="105"/>
      <c r="H628" s="106"/>
      <c r="I628" s="104"/>
      <c r="J628" s="106"/>
      <c r="K628" s="105"/>
    </row>
    <row r="629" spans="1:11" x14ac:dyDescent="0.25">
      <c r="A629" s="103"/>
      <c r="B629" s="104"/>
      <c r="C629" s="104"/>
      <c r="D629" s="104"/>
      <c r="E629" s="105"/>
      <c r="F629" s="104"/>
      <c r="G629" s="105"/>
      <c r="H629" s="106"/>
      <c r="I629" s="104"/>
      <c r="J629" s="106"/>
      <c r="K629" s="105"/>
    </row>
    <row r="630" spans="1:11" x14ac:dyDescent="0.25">
      <c r="A630" s="103"/>
      <c r="B630" s="104"/>
      <c r="C630" s="104"/>
      <c r="D630" s="104"/>
      <c r="E630" s="105"/>
      <c r="F630" s="104"/>
      <c r="G630" s="105"/>
      <c r="H630" s="106"/>
      <c r="I630" s="104"/>
      <c r="J630" s="106"/>
      <c r="K630" s="105"/>
    </row>
    <row r="631" spans="1:11" x14ac:dyDescent="0.25">
      <c r="A631" s="103"/>
      <c r="B631" s="104"/>
      <c r="C631" s="104"/>
      <c r="D631" s="104"/>
      <c r="E631" s="105"/>
      <c r="F631" s="104"/>
      <c r="G631" s="105"/>
      <c r="H631" s="106"/>
      <c r="I631" s="104"/>
      <c r="J631" s="106"/>
      <c r="K631" s="105"/>
    </row>
    <row r="632" spans="1:11" x14ac:dyDescent="0.25">
      <c r="A632" s="103"/>
      <c r="B632" s="104"/>
      <c r="C632" s="104"/>
      <c r="D632" s="104"/>
      <c r="E632" s="105"/>
      <c r="F632" s="104"/>
      <c r="G632" s="105"/>
      <c r="H632" s="106"/>
      <c r="I632" s="104"/>
      <c r="J632" s="106"/>
      <c r="K632" s="105"/>
    </row>
    <row r="633" spans="1:11" x14ac:dyDescent="0.25">
      <c r="A633" s="103"/>
      <c r="B633" s="104"/>
      <c r="C633" s="104"/>
      <c r="D633" s="104"/>
      <c r="E633" s="105"/>
      <c r="F633" s="104"/>
      <c r="G633" s="105"/>
      <c r="H633" s="106"/>
      <c r="I633" s="104"/>
      <c r="J633" s="106"/>
      <c r="K633" s="105"/>
    </row>
    <row r="634" spans="1:11" x14ac:dyDescent="0.25">
      <c r="A634" s="103"/>
      <c r="B634" s="104"/>
      <c r="C634" s="104"/>
      <c r="D634" s="104"/>
      <c r="E634" s="105"/>
      <c r="F634" s="104"/>
      <c r="G634" s="105"/>
      <c r="H634" s="106"/>
      <c r="I634" s="104"/>
      <c r="J634" s="106"/>
      <c r="K634" s="105"/>
    </row>
    <row r="635" spans="1:11" x14ac:dyDescent="0.25">
      <c r="A635" s="103"/>
      <c r="B635" s="104"/>
      <c r="C635" s="104"/>
      <c r="D635" s="104"/>
      <c r="E635" s="105"/>
      <c r="F635" s="104"/>
      <c r="G635" s="105"/>
      <c r="H635" s="106"/>
      <c r="I635" s="104"/>
      <c r="J635" s="106"/>
      <c r="K635" s="105"/>
    </row>
    <row r="636" spans="1:11" x14ac:dyDescent="0.25">
      <c r="A636" s="103"/>
      <c r="B636" s="104"/>
      <c r="C636" s="104"/>
      <c r="D636" s="104"/>
      <c r="E636" s="105"/>
      <c r="F636" s="104"/>
      <c r="G636" s="105"/>
      <c r="H636" s="106"/>
      <c r="I636" s="104"/>
      <c r="J636" s="106"/>
      <c r="K636" s="105"/>
    </row>
    <row r="637" spans="1:11" x14ac:dyDescent="0.25">
      <c r="A637" s="103"/>
      <c r="B637" s="104"/>
      <c r="C637" s="104"/>
      <c r="D637" s="104"/>
      <c r="E637" s="105"/>
      <c r="F637" s="104"/>
      <c r="G637" s="105"/>
      <c r="H637" s="106"/>
      <c r="I637" s="104"/>
      <c r="J637" s="106"/>
      <c r="K637" s="105"/>
    </row>
    <row r="638" spans="1:11" x14ac:dyDescent="0.25">
      <c r="A638" s="103"/>
      <c r="B638" s="104"/>
      <c r="C638" s="104"/>
      <c r="D638" s="104"/>
      <c r="E638" s="105"/>
      <c r="F638" s="104"/>
      <c r="G638" s="105"/>
      <c r="H638" s="106"/>
      <c r="I638" s="104"/>
      <c r="J638" s="106"/>
      <c r="K638" s="105"/>
    </row>
    <row r="639" spans="1:11" x14ac:dyDescent="0.25">
      <c r="A639" s="103"/>
      <c r="B639" s="104"/>
      <c r="C639" s="104"/>
      <c r="D639" s="104"/>
      <c r="E639" s="105"/>
      <c r="F639" s="104"/>
      <c r="G639" s="105"/>
      <c r="H639" s="106"/>
      <c r="I639" s="104"/>
      <c r="J639" s="106"/>
      <c r="K639" s="105"/>
    </row>
    <row r="640" spans="1:11" x14ac:dyDescent="0.25">
      <c r="A640" s="103"/>
      <c r="B640" s="104"/>
      <c r="C640" s="104"/>
      <c r="D640" s="104"/>
      <c r="E640" s="105"/>
      <c r="F640" s="104"/>
      <c r="G640" s="105"/>
      <c r="H640" s="106"/>
      <c r="I640" s="104"/>
      <c r="J640" s="106"/>
      <c r="K640" s="105"/>
    </row>
    <row r="641" spans="1:11" x14ac:dyDescent="0.25">
      <c r="A641" s="103"/>
      <c r="B641" s="104"/>
      <c r="C641" s="104"/>
      <c r="D641" s="104"/>
      <c r="E641" s="105"/>
      <c r="F641" s="104"/>
      <c r="G641" s="105"/>
      <c r="H641" s="106"/>
      <c r="I641" s="104"/>
      <c r="J641" s="106"/>
      <c r="K641" s="105"/>
    </row>
    <row r="642" spans="1:11" x14ac:dyDescent="0.25">
      <c r="A642" s="103"/>
      <c r="B642" s="104"/>
      <c r="C642" s="104"/>
      <c r="D642" s="104"/>
      <c r="E642" s="105"/>
      <c r="F642" s="104"/>
      <c r="G642" s="105"/>
      <c r="H642" s="106"/>
      <c r="I642" s="104"/>
      <c r="J642" s="106"/>
      <c r="K642" s="105"/>
    </row>
    <row r="643" spans="1:11" x14ac:dyDescent="0.25">
      <c r="A643" s="103"/>
      <c r="B643" s="104"/>
      <c r="C643" s="104"/>
      <c r="D643" s="104"/>
      <c r="E643" s="105"/>
      <c r="F643" s="104"/>
      <c r="G643" s="105"/>
      <c r="H643" s="106"/>
      <c r="I643" s="104"/>
      <c r="J643" s="106"/>
      <c r="K643" s="105"/>
    </row>
    <row r="644" spans="1:11" x14ac:dyDescent="0.25">
      <c r="A644" s="103"/>
      <c r="B644" s="104"/>
      <c r="C644" s="104"/>
      <c r="D644" s="104"/>
      <c r="E644" s="105"/>
      <c r="F644" s="104"/>
      <c r="G644" s="105"/>
      <c r="H644" s="106"/>
      <c r="I644" s="104"/>
      <c r="J644" s="106"/>
      <c r="K644" s="105"/>
    </row>
    <row r="645" spans="1:11" x14ac:dyDescent="0.25">
      <c r="A645" s="103"/>
      <c r="B645" s="104"/>
      <c r="C645" s="104"/>
      <c r="D645" s="104"/>
      <c r="E645" s="105"/>
      <c r="F645" s="104"/>
      <c r="G645" s="105"/>
      <c r="H645" s="106"/>
      <c r="I645" s="104"/>
      <c r="J645" s="106"/>
      <c r="K645" s="105"/>
    </row>
    <row r="646" spans="1:11" x14ac:dyDescent="0.25">
      <c r="A646" s="103"/>
      <c r="B646" s="104"/>
      <c r="C646" s="104"/>
      <c r="D646" s="104"/>
      <c r="E646" s="105"/>
      <c r="F646" s="104"/>
      <c r="G646" s="105"/>
      <c r="H646" s="106"/>
      <c r="I646" s="104"/>
      <c r="J646" s="106"/>
      <c r="K646" s="105"/>
    </row>
    <row r="647" spans="1:11" x14ac:dyDescent="0.25">
      <c r="A647" s="103"/>
      <c r="B647" s="104"/>
      <c r="C647" s="104"/>
      <c r="D647" s="104"/>
      <c r="E647" s="105"/>
      <c r="F647" s="104"/>
      <c r="G647" s="105"/>
      <c r="H647" s="106"/>
      <c r="I647" s="104"/>
      <c r="J647" s="106"/>
      <c r="K647" s="105"/>
    </row>
    <row r="648" spans="1:11" x14ac:dyDescent="0.25">
      <c r="A648" s="103"/>
      <c r="B648" s="104"/>
      <c r="C648" s="104"/>
      <c r="D648" s="104"/>
      <c r="E648" s="105"/>
      <c r="F648" s="104"/>
      <c r="G648" s="105"/>
      <c r="H648" s="106"/>
      <c r="I648" s="104"/>
      <c r="J648" s="106"/>
      <c r="K648" s="105"/>
    </row>
    <row r="649" spans="1:11" x14ac:dyDescent="0.25">
      <c r="A649" s="103"/>
      <c r="B649" s="104"/>
      <c r="C649" s="104"/>
      <c r="D649" s="104"/>
      <c r="E649" s="105"/>
      <c r="F649" s="104"/>
      <c r="G649" s="105"/>
      <c r="H649" s="106"/>
      <c r="I649" s="104"/>
      <c r="J649" s="106"/>
      <c r="K649" s="105"/>
    </row>
    <row r="650" spans="1:11" x14ac:dyDescent="0.25">
      <c r="A650" s="103"/>
      <c r="B650" s="104"/>
      <c r="C650" s="104"/>
      <c r="D650" s="104"/>
      <c r="E650" s="105"/>
      <c r="F650" s="104"/>
      <c r="G650" s="105"/>
      <c r="H650" s="106"/>
      <c r="I650" s="104"/>
      <c r="J650" s="106"/>
      <c r="K650" s="105"/>
    </row>
    <row r="651" spans="1:11" x14ac:dyDescent="0.25">
      <c r="A651" s="103"/>
      <c r="B651" s="104"/>
      <c r="C651" s="104"/>
      <c r="D651" s="104"/>
      <c r="E651" s="105"/>
      <c r="F651" s="104"/>
      <c r="G651" s="105"/>
      <c r="H651" s="106"/>
      <c r="I651" s="104"/>
      <c r="J651" s="106"/>
      <c r="K651" s="105"/>
    </row>
    <row r="652" spans="1:11" x14ac:dyDescent="0.25">
      <c r="A652" s="103"/>
      <c r="B652" s="104"/>
      <c r="C652" s="104"/>
      <c r="D652" s="104"/>
      <c r="E652" s="105"/>
      <c r="F652" s="104"/>
      <c r="G652" s="105"/>
      <c r="H652" s="106"/>
      <c r="I652" s="104"/>
      <c r="J652" s="106"/>
      <c r="K652" s="105"/>
    </row>
    <row r="653" spans="1:11" x14ac:dyDescent="0.25">
      <c r="A653" s="103"/>
      <c r="B653" s="104"/>
      <c r="C653" s="104"/>
      <c r="D653" s="104"/>
      <c r="E653" s="105"/>
      <c r="F653" s="104"/>
      <c r="G653" s="105"/>
      <c r="H653" s="106"/>
      <c r="I653" s="104"/>
      <c r="J653" s="106"/>
      <c r="K653" s="105"/>
    </row>
    <row r="654" spans="1:11" x14ac:dyDescent="0.25">
      <c r="A654" s="103"/>
      <c r="B654" s="104"/>
      <c r="C654" s="104"/>
      <c r="D654" s="104"/>
      <c r="E654" s="105"/>
      <c r="F654" s="104"/>
      <c r="G654" s="105"/>
      <c r="H654" s="106"/>
      <c r="I654" s="104"/>
      <c r="J654" s="106"/>
      <c r="K654" s="105"/>
    </row>
    <row r="655" spans="1:11" x14ac:dyDescent="0.25">
      <c r="A655" s="103"/>
      <c r="B655" s="104"/>
      <c r="C655" s="104"/>
      <c r="D655" s="104"/>
      <c r="E655" s="105"/>
      <c r="F655" s="104"/>
      <c r="G655" s="105"/>
      <c r="H655" s="106"/>
      <c r="I655" s="104"/>
      <c r="J655" s="106"/>
      <c r="K655" s="105"/>
    </row>
    <row r="656" spans="1:11" x14ac:dyDescent="0.25">
      <c r="A656" s="103"/>
      <c r="B656" s="104"/>
      <c r="C656" s="104"/>
      <c r="D656" s="104"/>
      <c r="E656" s="105"/>
      <c r="F656" s="104"/>
      <c r="G656" s="105"/>
      <c r="H656" s="106"/>
      <c r="I656" s="104"/>
      <c r="J656" s="106"/>
      <c r="K656" s="105"/>
    </row>
    <row r="657" spans="1:11" x14ac:dyDescent="0.25">
      <c r="A657" s="103"/>
      <c r="B657" s="104"/>
      <c r="C657" s="104"/>
      <c r="D657" s="104"/>
      <c r="E657" s="105"/>
      <c r="F657" s="104"/>
      <c r="G657" s="105"/>
      <c r="H657" s="106"/>
      <c r="I657" s="104"/>
      <c r="J657" s="106"/>
      <c r="K657" s="105"/>
    </row>
    <row r="658" spans="1:11" x14ac:dyDescent="0.25">
      <c r="A658" s="103"/>
      <c r="B658" s="104"/>
      <c r="C658" s="104"/>
      <c r="D658" s="104"/>
      <c r="E658" s="105"/>
      <c r="F658" s="104"/>
      <c r="G658" s="105"/>
      <c r="H658" s="106"/>
      <c r="I658" s="104"/>
      <c r="J658" s="106"/>
      <c r="K658" s="105"/>
    </row>
    <row r="659" spans="1:11" x14ac:dyDescent="0.25">
      <c r="A659" s="103"/>
      <c r="B659" s="104"/>
      <c r="C659" s="104"/>
      <c r="D659" s="104"/>
      <c r="E659" s="105"/>
      <c r="F659" s="104"/>
      <c r="G659" s="105"/>
      <c r="H659" s="106"/>
      <c r="I659" s="104"/>
      <c r="J659" s="106"/>
      <c r="K659" s="105"/>
    </row>
    <row r="660" spans="1:11" x14ac:dyDescent="0.25">
      <c r="A660" s="103"/>
      <c r="B660" s="104"/>
      <c r="C660" s="104"/>
      <c r="D660" s="104"/>
      <c r="E660" s="105"/>
      <c r="F660" s="104"/>
      <c r="G660" s="105"/>
      <c r="H660" s="106"/>
      <c r="I660" s="104"/>
      <c r="J660" s="106"/>
      <c r="K660" s="105"/>
    </row>
    <row r="661" spans="1:11" x14ac:dyDescent="0.25">
      <c r="A661" s="103"/>
      <c r="B661" s="104"/>
      <c r="C661" s="104"/>
      <c r="D661" s="104"/>
      <c r="E661" s="105"/>
      <c r="F661" s="104"/>
      <c r="G661" s="105"/>
      <c r="H661" s="106"/>
      <c r="I661" s="104"/>
      <c r="J661" s="106"/>
      <c r="K661" s="105"/>
    </row>
    <row r="662" spans="1:11" x14ac:dyDescent="0.25">
      <c r="A662" s="103"/>
      <c r="B662" s="104"/>
      <c r="C662" s="104"/>
      <c r="D662" s="104"/>
      <c r="E662" s="105"/>
      <c r="F662" s="104"/>
      <c r="G662" s="105"/>
      <c r="H662" s="106"/>
      <c r="I662" s="104"/>
      <c r="J662" s="106"/>
      <c r="K662" s="105"/>
    </row>
    <row r="663" spans="1:11" x14ac:dyDescent="0.25">
      <c r="A663" s="103"/>
      <c r="B663" s="104"/>
      <c r="C663" s="104"/>
      <c r="D663" s="104"/>
      <c r="E663" s="105"/>
      <c r="F663" s="104"/>
      <c r="G663" s="105"/>
      <c r="H663" s="106"/>
      <c r="I663" s="104"/>
      <c r="J663" s="106"/>
      <c r="K663" s="105"/>
    </row>
    <row r="664" spans="1:11" x14ac:dyDescent="0.25">
      <c r="A664" s="103"/>
      <c r="B664" s="104"/>
      <c r="C664" s="104"/>
      <c r="D664" s="104"/>
      <c r="E664" s="105"/>
      <c r="F664" s="104"/>
      <c r="G664" s="105"/>
      <c r="H664" s="106"/>
      <c r="I664" s="104"/>
      <c r="J664" s="106"/>
      <c r="K664" s="105"/>
    </row>
    <row r="665" spans="1:11" x14ac:dyDescent="0.25">
      <c r="A665" s="103"/>
      <c r="B665" s="104"/>
      <c r="C665" s="104"/>
      <c r="D665" s="104"/>
      <c r="E665" s="105"/>
      <c r="F665" s="104"/>
      <c r="G665" s="105"/>
      <c r="H665" s="106"/>
      <c r="I665" s="104"/>
      <c r="J665" s="106"/>
      <c r="K665" s="105"/>
    </row>
    <row r="666" spans="1:11" x14ac:dyDescent="0.25">
      <c r="A666" s="103"/>
      <c r="B666" s="104"/>
      <c r="C666" s="104"/>
      <c r="D666" s="104"/>
      <c r="E666" s="105"/>
      <c r="F666" s="104"/>
      <c r="G666" s="105"/>
      <c r="H666" s="106"/>
      <c r="I666" s="104"/>
      <c r="J666" s="106"/>
      <c r="K666" s="105"/>
    </row>
    <row r="667" spans="1:11" x14ac:dyDescent="0.25">
      <c r="A667" s="103"/>
      <c r="B667" s="104"/>
      <c r="C667" s="104"/>
      <c r="D667" s="104"/>
      <c r="E667" s="105"/>
      <c r="F667" s="104"/>
      <c r="G667" s="105"/>
      <c r="H667" s="106"/>
      <c r="I667" s="104"/>
      <c r="J667" s="106"/>
      <c r="K667" s="105"/>
    </row>
    <row r="668" spans="1:11" x14ac:dyDescent="0.25">
      <c r="A668" s="103"/>
      <c r="B668" s="104"/>
      <c r="C668" s="104"/>
      <c r="D668" s="104"/>
      <c r="E668" s="105"/>
      <c r="F668" s="104"/>
      <c r="G668" s="105"/>
      <c r="H668" s="106"/>
      <c r="I668" s="104"/>
      <c r="J668" s="106"/>
      <c r="K668" s="105"/>
    </row>
    <row r="669" spans="1:11" x14ac:dyDescent="0.25">
      <c r="A669" s="103"/>
      <c r="B669" s="104"/>
      <c r="C669" s="104"/>
      <c r="D669" s="104"/>
      <c r="E669" s="105"/>
      <c r="F669" s="104"/>
      <c r="G669" s="105"/>
      <c r="H669" s="106"/>
      <c r="I669" s="104"/>
      <c r="J669" s="106"/>
      <c r="K669" s="105"/>
    </row>
    <row r="670" spans="1:11" x14ac:dyDescent="0.25">
      <c r="A670" s="103"/>
      <c r="B670" s="104"/>
      <c r="C670" s="104"/>
      <c r="D670" s="104"/>
      <c r="E670" s="105"/>
      <c r="F670" s="104"/>
      <c r="G670" s="105"/>
      <c r="H670" s="106"/>
      <c r="I670" s="104"/>
      <c r="J670" s="106"/>
      <c r="K670" s="105"/>
    </row>
    <row r="671" spans="1:11" x14ac:dyDescent="0.25">
      <c r="A671" s="103"/>
      <c r="B671" s="104"/>
      <c r="C671" s="104"/>
      <c r="D671" s="104"/>
      <c r="E671" s="105"/>
      <c r="F671" s="104"/>
      <c r="G671" s="105"/>
      <c r="H671" s="106"/>
      <c r="I671" s="104"/>
      <c r="J671" s="106"/>
      <c r="K671" s="105"/>
    </row>
    <row r="672" spans="1:11" x14ac:dyDescent="0.25">
      <c r="A672" s="103"/>
      <c r="B672" s="104"/>
      <c r="C672" s="104"/>
      <c r="D672" s="104"/>
      <c r="E672" s="105"/>
      <c r="F672" s="104"/>
      <c r="G672" s="105"/>
      <c r="H672" s="106"/>
      <c r="I672" s="104"/>
      <c r="J672" s="106"/>
      <c r="K672" s="105"/>
    </row>
    <row r="673" spans="1:11" x14ac:dyDescent="0.25">
      <c r="A673" s="103"/>
      <c r="B673" s="104"/>
      <c r="C673" s="104"/>
      <c r="D673" s="104"/>
      <c r="E673" s="105"/>
      <c r="F673" s="104"/>
      <c r="G673" s="105"/>
      <c r="H673" s="106"/>
      <c r="I673" s="104"/>
      <c r="J673" s="106"/>
      <c r="K673" s="105"/>
    </row>
    <row r="674" spans="1:11" x14ac:dyDescent="0.25">
      <c r="A674" s="103"/>
      <c r="B674" s="104"/>
      <c r="C674" s="104"/>
      <c r="D674" s="104"/>
      <c r="E674" s="105"/>
      <c r="F674" s="104"/>
      <c r="G674" s="105"/>
      <c r="H674" s="106"/>
      <c r="I674" s="104"/>
      <c r="J674" s="106"/>
      <c r="K674" s="105"/>
    </row>
    <row r="675" spans="1:11" x14ac:dyDescent="0.25">
      <c r="A675" s="103"/>
      <c r="B675" s="104"/>
      <c r="C675" s="104"/>
      <c r="D675" s="104"/>
      <c r="E675" s="105"/>
      <c r="F675" s="104"/>
      <c r="G675" s="105"/>
      <c r="H675" s="106"/>
      <c r="I675" s="104"/>
      <c r="J675" s="106"/>
      <c r="K675" s="105"/>
    </row>
    <row r="676" spans="1:11" x14ac:dyDescent="0.25">
      <c r="A676" s="103"/>
      <c r="B676" s="104"/>
      <c r="C676" s="104"/>
      <c r="D676" s="104"/>
      <c r="E676" s="105"/>
      <c r="F676" s="104"/>
      <c r="G676" s="105"/>
      <c r="H676" s="106"/>
      <c r="I676" s="104"/>
      <c r="J676" s="106"/>
      <c r="K676" s="105"/>
    </row>
    <row r="677" spans="1:11" x14ac:dyDescent="0.25">
      <c r="A677" s="103"/>
      <c r="B677" s="104"/>
      <c r="C677" s="104"/>
      <c r="D677" s="104"/>
      <c r="E677" s="105"/>
      <c r="F677" s="104"/>
      <c r="G677" s="105"/>
      <c r="H677" s="106"/>
      <c r="I677" s="104"/>
      <c r="J677" s="106"/>
      <c r="K677" s="105"/>
    </row>
    <row r="678" spans="1:11" x14ac:dyDescent="0.25">
      <c r="A678" s="103"/>
      <c r="B678" s="104"/>
      <c r="C678" s="104"/>
      <c r="D678" s="104"/>
      <c r="E678" s="105"/>
      <c r="F678" s="104"/>
      <c r="G678" s="105"/>
      <c r="H678" s="106"/>
      <c r="I678" s="104"/>
      <c r="J678" s="106"/>
      <c r="K678" s="105"/>
    </row>
    <row r="679" spans="1:11" x14ac:dyDescent="0.25">
      <c r="A679" s="103"/>
      <c r="B679" s="104"/>
      <c r="C679" s="104"/>
      <c r="D679" s="104"/>
      <c r="E679" s="105"/>
      <c r="F679" s="104"/>
      <c r="G679" s="105"/>
      <c r="H679" s="106"/>
      <c r="I679" s="104"/>
      <c r="J679" s="106"/>
      <c r="K679" s="105"/>
    </row>
    <row r="680" spans="1:11" x14ac:dyDescent="0.25">
      <c r="A680" s="103"/>
      <c r="B680" s="104"/>
      <c r="C680" s="104"/>
      <c r="D680" s="104"/>
      <c r="E680" s="105"/>
      <c r="F680" s="104"/>
      <c r="G680" s="105"/>
      <c r="H680" s="106"/>
      <c r="I680" s="104"/>
      <c r="J680" s="106"/>
      <c r="K680" s="105"/>
    </row>
    <row r="681" spans="1:11" x14ac:dyDescent="0.25">
      <c r="A681" s="103"/>
      <c r="B681" s="104"/>
      <c r="C681" s="104"/>
      <c r="D681" s="104"/>
      <c r="E681" s="105"/>
      <c r="F681" s="104"/>
      <c r="G681" s="105"/>
      <c r="H681" s="106"/>
      <c r="I681" s="104"/>
      <c r="J681" s="106"/>
      <c r="K681" s="105"/>
    </row>
    <row r="682" spans="1:11" x14ac:dyDescent="0.25">
      <c r="A682" s="103"/>
      <c r="B682" s="104"/>
      <c r="C682" s="104"/>
      <c r="D682" s="104"/>
      <c r="E682" s="105"/>
      <c r="F682" s="104"/>
      <c r="G682" s="105"/>
      <c r="H682" s="106"/>
      <c r="I682" s="104"/>
      <c r="J682" s="106"/>
      <c r="K682" s="105"/>
    </row>
    <row r="683" spans="1:11" x14ac:dyDescent="0.25">
      <c r="A683" s="103"/>
      <c r="B683" s="104"/>
      <c r="C683" s="104"/>
      <c r="D683" s="104"/>
      <c r="E683" s="105"/>
      <c r="F683" s="104"/>
      <c r="G683" s="105"/>
      <c r="H683" s="106"/>
      <c r="I683" s="104"/>
      <c r="J683" s="106"/>
      <c r="K683" s="105"/>
    </row>
    <row r="684" spans="1:11" x14ac:dyDescent="0.25">
      <c r="A684" s="103"/>
      <c r="B684" s="104"/>
      <c r="C684" s="104"/>
      <c r="D684" s="104"/>
      <c r="E684" s="105"/>
      <c r="F684" s="104"/>
      <c r="G684" s="105"/>
      <c r="H684" s="106"/>
      <c r="I684" s="104"/>
      <c r="J684" s="106"/>
      <c r="K684" s="105"/>
    </row>
    <row r="685" spans="1:11" x14ac:dyDescent="0.25">
      <c r="A685" s="103"/>
      <c r="B685" s="104"/>
      <c r="C685" s="104"/>
      <c r="D685" s="104"/>
      <c r="E685" s="105"/>
      <c r="F685" s="104"/>
      <c r="G685" s="105"/>
      <c r="H685" s="106"/>
      <c r="I685" s="104"/>
      <c r="J685" s="106"/>
      <c r="K685" s="105"/>
    </row>
    <row r="686" spans="1:11" x14ac:dyDescent="0.25">
      <c r="A686" s="103"/>
      <c r="B686" s="104"/>
      <c r="C686" s="104"/>
      <c r="D686" s="104"/>
      <c r="E686" s="105"/>
      <c r="F686" s="104"/>
      <c r="G686" s="105"/>
      <c r="H686" s="106"/>
      <c r="I686" s="104"/>
      <c r="J686" s="106"/>
      <c r="K686" s="105"/>
    </row>
    <row r="687" spans="1:11" x14ac:dyDescent="0.25">
      <c r="A687" s="103"/>
      <c r="B687" s="104"/>
      <c r="C687" s="104"/>
      <c r="D687" s="104"/>
      <c r="E687" s="105"/>
      <c r="F687" s="104"/>
      <c r="G687" s="105"/>
      <c r="H687" s="106"/>
      <c r="I687" s="104"/>
      <c r="J687" s="106"/>
      <c r="K687" s="105"/>
    </row>
    <row r="688" spans="1:11" x14ac:dyDescent="0.25">
      <c r="A688" s="103"/>
      <c r="B688" s="104"/>
      <c r="C688" s="104"/>
      <c r="D688" s="104"/>
      <c r="E688" s="105"/>
      <c r="F688" s="104"/>
      <c r="G688" s="105"/>
      <c r="H688" s="106"/>
      <c r="I688" s="104"/>
      <c r="J688" s="106"/>
      <c r="K688" s="105"/>
    </row>
    <row r="689" spans="1:11" x14ac:dyDescent="0.25">
      <c r="A689" s="103"/>
      <c r="B689" s="104"/>
      <c r="C689" s="104"/>
      <c r="D689" s="104"/>
      <c r="E689" s="105"/>
      <c r="F689" s="104"/>
      <c r="G689" s="105"/>
      <c r="H689" s="106"/>
      <c r="I689" s="104"/>
      <c r="J689" s="106"/>
      <c r="K689" s="105"/>
    </row>
    <row r="690" spans="1:11" x14ac:dyDescent="0.25">
      <c r="A690" s="103"/>
      <c r="B690" s="104"/>
      <c r="C690" s="104"/>
      <c r="D690" s="104"/>
      <c r="E690" s="105"/>
      <c r="F690" s="104"/>
      <c r="G690" s="105"/>
      <c r="H690" s="106"/>
      <c r="I690" s="104"/>
      <c r="J690" s="106"/>
      <c r="K690" s="105"/>
    </row>
    <row r="691" spans="1:11" x14ac:dyDescent="0.25">
      <c r="A691" s="103"/>
      <c r="B691" s="104"/>
      <c r="C691" s="104"/>
      <c r="D691" s="104"/>
      <c r="E691" s="105"/>
      <c r="F691" s="104"/>
      <c r="G691" s="105"/>
      <c r="H691" s="106"/>
      <c r="I691" s="104"/>
      <c r="J691" s="106"/>
      <c r="K691" s="105"/>
    </row>
    <row r="692" spans="1:11" x14ac:dyDescent="0.25">
      <c r="A692" s="103"/>
      <c r="B692" s="104"/>
      <c r="C692" s="104"/>
      <c r="D692" s="104"/>
      <c r="E692" s="105"/>
      <c r="F692" s="104"/>
      <c r="G692" s="105"/>
      <c r="H692" s="106"/>
      <c r="I692" s="104"/>
      <c r="J692" s="106"/>
      <c r="K692" s="105"/>
    </row>
    <row r="693" spans="1:11" x14ac:dyDescent="0.25">
      <c r="A693" s="103"/>
      <c r="B693" s="104"/>
      <c r="C693" s="104"/>
      <c r="D693" s="104"/>
      <c r="E693" s="105"/>
      <c r="F693" s="104"/>
      <c r="G693" s="105"/>
      <c r="H693" s="106"/>
      <c r="I693" s="104"/>
      <c r="J693" s="106"/>
      <c r="K693" s="105"/>
    </row>
    <row r="694" spans="1:11" x14ac:dyDescent="0.25">
      <c r="A694" s="103"/>
      <c r="B694" s="104"/>
      <c r="C694" s="104"/>
      <c r="D694" s="104"/>
      <c r="E694" s="105"/>
      <c r="F694" s="104"/>
      <c r="G694" s="105"/>
      <c r="H694" s="106"/>
      <c r="I694" s="104"/>
      <c r="J694" s="106"/>
      <c r="K694" s="105"/>
    </row>
    <row r="695" spans="1:11" x14ac:dyDescent="0.25">
      <c r="A695" s="103"/>
      <c r="B695" s="104"/>
      <c r="C695" s="104"/>
      <c r="D695" s="104"/>
      <c r="E695" s="105"/>
      <c r="F695" s="104"/>
      <c r="G695" s="105"/>
      <c r="H695" s="106"/>
      <c r="I695" s="104"/>
      <c r="J695" s="106"/>
      <c r="K695" s="105"/>
    </row>
    <row r="696" spans="1:11" x14ac:dyDescent="0.25">
      <c r="A696" s="103"/>
      <c r="B696" s="104"/>
      <c r="C696" s="104"/>
      <c r="D696" s="104"/>
      <c r="E696" s="105"/>
      <c r="F696" s="104"/>
      <c r="G696" s="105"/>
      <c r="H696" s="106"/>
      <c r="I696" s="104"/>
      <c r="J696" s="106"/>
      <c r="K696" s="105"/>
    </row>
    <row r="697" spans="1:11" x14ac:dyDescent="0.25">
      <c r="A697" s="103"/>
      <c r="B697" s="104"/>
      <c r="C697" s="104"/>
      <c r="D697" s="104"/>
      <c r="E697" s="105"/>
      <c r="F697" s="104"/>
      <c r="G697" s="105"/>
      <c r="H697" s="106"/>
      <c r="I697" s="104"/>
      <c r="J697" s="106"/>
      <c r="K697" s="105"/>
    </row>
    <row r="698" spans="1:11" x14ac:dyDescent="0.25">
      <c r="A698" s="103"/>
      <c r="B698" s="104"/>
      <c r="C698" s="104"/>
      <c r="D698" s="104"/>
      <c r="E698" s="105"/>
      <c r="F698" s="104"/>
      <c r="G698" s="105"/>
      <c r="H698" s="106"/>
      <c r="I698" s="104"/>
      <c r="J698" s="106"/>
      <c r="K698" s="105"/>
    </row>
    <row r="699" spans="1:11" x14ac:dyDescent="0.25">
      <c r="A699" s="103"/>
      <c r="B699" s="104"/>
      <c r="C699" s="104"/>
      <c r="D699" s="104"/>
      <c r="E699" s="105"/>
      <c r="F699" s="104"/>
      <c r="G699" s="105"/>
      <c r="H699" s="106"/>
      <c r="I699" s="104"/>
      <c r="J699" s="106"/>
      <c r="K699" s="105"/>
    </row>
    <row r="700" spans="1:11" x14ac:dyDescent="0.25">
      <c r="A700" s="103"/>
      <c r="B700" s="104"/>
      <c r="C700" s="104"/>
      <c r="D700" s="104"/>
      <c r="E700" s="105"/>
      <c r="F700" s="104"/>
      <c r="G700" s="105"/>
      <c r="H700" s="106"/>
      <c r="I700" s="104"/>
      <c r="J700" s="106"/>
      <c r="K700" s="105"/>
    </row>
    <row r="701" spans="1:11" x14ac:dyDescent="0.25">
      <c r="A701" s="103"/>
      <c r="B701" s="104"/>
      <c r="C701" s="104"/>
      <c r="D701" s="104"/>
      <c r="E701" s="105"/>
      <c r="F701" s="104"/>
      <c r="G701" s="105"/>
      <c r="H701" s="106"/>
      <c r="I701" s="104"/>
      <c r="J701" s="106"/>
      <c r="K701" s="105"/>
    </row>
    <row r="702" spans="1:11" x14ac:dyDescent="0.25">
      <c r="A702" s="103"/>
      <c r="B702" s="104"/>
      <c r="C702" s="104"/>
      <c r="D702" s="104"/>
      <c r="E702" s="105"/>
      <c r="F702" s="104"/>
      <c r="G702" s="105"/>
      <c r="H702" s="106"/>
      <c r="I702" s="104"/>
      <c r="J702" s="106"/>
      <c r="K702" s="105"/>
    </row>
    <row r="703" spans="1:11" x14ac:dyDescent="0.25">
      <c r="A703" s="103"/>
      <c r="B703" s="104"/>
      <c r="C703" s="104"/>
      <c r="D703" s="104"/>
      <c r="E703" s="105"/>
      <c r="F703" s="104"/>
      <c r="G703" s="105"/>
      <c r="H703" s="106"/>
      <c r="I703" s="104"/>
      <c r="J703" s="106"/>
      <c r="K703" s="105"/>
    </row>
    <row r="704" spans="1:11" x14ac:dyDescent="0.25">
      <c r="A704" s="103"/>
      <c r="B704" s="104"/>
      <c r="C704" s="104"/>
      <c r="D704" s="104"/>
      <c r="E704" s="105"/>
      <c r="F704" s="104"/>
      <c r="G704" s="105"/>
      <c r="H704" s="106"/>
      <c r="I704" s="104"/>
      <c r="J704" s="106"/>
      <c r="K704" s="105"/>
    </row>
    <row r="705" spans="1:11" x14ac:dyDescent="0.25">
      <c r="A705" s="103"/>
      <c r="B705" s="104"/>
      <c r="C705" s="104"/>
      <c r="D705" s="104"/>
      <c r="E705" s="105"/>
      <c r="F705" s="104"/>
      <c r="G705" s="105"/>
      <c r="H705" s="106"/>
      <c r="I705" s="104"/>
      <c r="J705" s="106"/>
      <c r="K705" s="105"/>
    </row>
    <row r="706" spans="1:11" x14ac:dyDescent="0.25">
      <c r="A706" s="103"/>
      <c r="B706" s="104"/>
      <c r="C706" s="104"/>
      <c r="D706" s="104"/>
      <c r="E706" s="105"/>
      <c r="F706" s="104"/>
      <c r="G706" s="105"/>
      <c r="H706" s="106"/>
      <c r="I706" s="104"/>
      <c r="J706" s="106"/>
      <c r="K706" s="105"/>
    </row>
    <row r="707" spans="1:11" x14ac:dyDescent="0.25">
      <c r="A707" s="103"/>
      <c r="B707" s="104"/>
      <c r="C707" s="104"/>
      <c r="D707" s="104"/>
      <c r="E707" s="105"/>
      <c r="F707" s="104"/>
      <c r="G707" s="105"/>
      <c r="H707" s="106"/>
      <c r="I707" s="104"/>
      <c r="J707" s="106"/>
      <c r="K707" s="105"/>
    </row>
    <row r="708" spans="1:11" x14ac:dyDescent="0.25">
      <c r="A708" s="103"/>
      <c r="B708" s="104"/>
      <c r="C708" s="104"/>
      <c r="D708" s="104"/>
      <c r="E708" s="105"/>
      <c r="F708" s="104"/>
      <c r="G708" s="105"/>
      <c r="H708" s="106"/>
      <c r="I708" s="104"/>
      <c r="J708" s="106"/>
      <c r="K708" s="105"/>
    </row>
    <row r="709" spans="1:11" x14ac:dyDescent="0.25">
      <c r="A709" s="103"/>
      <c r="B709" s="104"/>
      <c r="C709" s="104"/>
      <c r="D709" s="104"/>
      <c r="E709" s="105"/>
      <c r="F709" s="104"/>
      <c r="G709" s="105"/>
      <c r="H709" s="106"/>
      <c r="I709" s="104"/>
      <c r="J709" s="106"/>
      <c r="K709" s="105"/>
    </row>
    <row r="710" spans="1:11" x14ac:dyDescent="0.25">
      <c r="A710" s="103"/>
      <c r="B710" s="104"/>
      <c r="C710" s="104"/>
      <c r="D710" s="104"/>
      <c r="E710" s="105"/>
      <c r="F710" s="104"/>
      <c r="G710" s="105"/>
      <c r="H710" s="106"/>
      <c r="I710" s="104"/>
      <c r="J710" s="106"/>
      <c r="K710" s="105"/>
    </row>
    <row r="711" spans="1:11" x14ac:dyDescent="0.25">
      <c r="A711" s="103"/>
      <c r="B711" s="104"/>
      <c r="C711" s="104"/>
      <c r="D711" s="104"/>
      <c r="E711" s="105"/>
      <c r="F711" s="104"/>
      <c r="G711" s="105"/>
      <c r="H711" s="106"/>
      <c r="I711" s="104"/>
      <c r="J711" s="106"/>
      <c r="K711" s="105"/>
    </row>
    <row r="712" spans="1:11" x14ac:dyDescent="0.25">
      <c r="A712" s="103"/>
      <c r="B712" s="104"/>
      <c r="C712" s="104"/>
      <c r="D712" s="104"/>
      <c r="E712" s="105"/>
      <c r="F712" s="104"/>
      <c r="G712" s="105"/>
      <c r="H712" s="106"/>
      <c r="I712" s="104"/>
      <c r="J712" s="106"/>
      <c r="K712" s="105"/>
    </row>
    <row r="713" spans="1:11" x14ac:dyDescent="0.25">
      <c r="A713" s="103"/>
      <c r="B713" s="104"/>
      <c r="C713" s="104"/>
      <c r="D713" s="104"/>
      <c r="E713" s="105"/>
      <c r="F713" s="104"/>
      <c r="G713" s="105"/>
      <c r="H713" s="106"/>
      <c r="I713" s="104"/>
      <c r="J713" s="106"/>
      <c r="K713" s="105"/>
    </row>
    <row r="714" spans="1:11" x14ac:dyDescent="0.25">
      <c r="A714" s="103"/>
      <c r="B714" s="104"/>
      <c r="C714" s="104"/>
      <c r="D714" s="104"/>
      <c r="E714" s="105"/>
      <c r="F714" s="104"/>
      <c r="G714" s="105"/>
      <c r="H714" s="106"/>
      <c r="I714" s="104"/>
      <c r="J714" s="106"/>
      <c r="K714" s="105"/>
    </row>
    <row r="715" spans="1:11" x14ac:dyDescent="0.25">
      <c r="A715" s="103"/>
      <c r="B715" s="104"/>
      <c r="C715" s="104"/>
      <c r="D715" s="104"/>
      <c r="E715" s="105"/>
      <c r="F715" s="104"/>
      <c r="G715" s="105"/>
      <c r="H715" s="106"/>
      <c r="I715" s="104"/>
      <c r="J715" s="106"/>
      <c r="K715" s="105"/>
    </row>
    <row r="716" spans="1:11" x14ac:dyDescent="0.25">
      <c r="A716" s="103"/>
      <c r="B716" s="104"/>
      <c r="C716" s="104"/>
      <c r="D716" s="104"/>
      <c r="E716" s="105"/>
      <c r="F716" s="104"/>
      <c r="G716" s="105"/>
      <c r="H716" s="106"/>
      <c r="I716" s="104"/>
      <c r="J716" s="106"/>
      <c r="K716" s="105"/>
    </row>
    <row r="717" spans="1:11" x14ac:dyDescent="0.25">
      <c r="A717" s="103"/>
      <c r="B717" s="104"/>
      <c r="C717" s="104"/>
      <c r="D717" s="104"/>
      <c r="E717" s="105"/>
      <c r="F717" s="104"/>
      <c r="G717" s="105"/>
      <c r="H717" s="106"/>
      <c r="I717" s="104"/>
      <c r="J717" s="106"/>
      <c r="K717" s="105"/>
    </row>
    <row r="718" spans="1:11" x14ac:dyDescent="0.25">
      <c r="A718" s="103"/>
      <c r="B718" s="104"/>
      <c r="C718" s="104"/>
      <c r="D718" s="104"/>
      <c r="E718" s="105"/>
      <c r="F718" s="104"/>
      <c r="G718" s="105"/>
      <c r="H718" s="106"/>
      <c r="I718" s="104"/>
      <c r="J718" s="106"/>
      <c r="K718" s="105"/>
    </row>
    <row r="719" spans="1:11" x14ac:dyDescent="0.25">
      <c r="A719" s="103"/>
      <c r="B719" s="104"/>
      <c r="C719" s="104"/>
      <c r="D719" s="104"/>
      <c r="E719" s="105"/>
      <c r="F719" s="104"/>
      <c r="G719" s="105"/>
      <c r="H719" s="106"/>
      <c r="I719" s="104"/>
      <c r="J719" s="106"/>
      <c r="K719" s="105"/>
    </row>
    <row r="720" spans="1:11" x14ac:dyDescent="0.25">
      <c r="A720" s="103"/>
      <c r="B720" s="104"/>
      <c r="C720" s="104"/>
      <c r="D720" s="104"/>
      <c r="E720" s="105"/>
      <c r="F720" s="104"/>
      <c r="G720" s="105"/>
      <c r="H720" s="106"/>
      <c r="I720" s="104"/>
      <c r="J720" s="106"/>
      <c r="K720" s="105"/>
    </row>
    <row r="721" spans="1:11" x14ac:dyDescent="0.25">
      <c r="A721" s="103"/>
      <c r="B721" s="104"/>
      <c r="C721" s="104"/>
      <c r="D721" s="104"/>
      <c r="E721" s="105"/>
      <c r="F721" s="104"/>
      <c r="G721" s="105"/>
      <c r="H721" s="106"/>
      <c r="I721" s="104"/>
      <c r="J721" s="106"/>
      <c r="K721" s="105"/>
    </row>
    <row r="722" spans="1:11" x14ac:dyDescent="0.25">
      <c r="A722" s="103"/>
      <c r="B722" s="104"/>
      <c r="C722" s="104"/>
      <c r="D722" s="104"/>
      <c r="E722" s="105"/>
      <c r="F722" s="104"/>
      <c r="G722" s="105"/>
      <c r="H722" s="106"/>
      <c r="I722" s="104"/>
      <c r="J722" s="106"/>
      <c r="K722" s="105"/>
    </row>
    <row r="723" spans="1:11" x14ac:dyDescent="0.25">
      <c r="A723" s="103"/>
      <c r="B723" s="104"/>
      <c r="C723" s="104"/>
      <c r="D723" s="104"/>
      <c r="E723" s="105"/>
      <c r="F723" s="104"/>
      <c r="G723" s="105"/>
      <c r="H723" s="106"/>
      <c r="I723" s="104"/>
      <c r="J723" s="106"/>
      <c r="K723" s="105"/>
    </row>
    <row r="724" spans="1:11" x14ac:dyDescent="0.25">
      <c r="A724" s="103"/>
      <c r="B724" s="104"/>
      <c r="C724" s="104"/>
      <c r="D724" s="104"/>
      <c r="E724" s="105"/>
      <c r="F724" s="104"/>
      <c r="G724" s="105"/>
      <c r="H724" s="106"/>
      <c r="I724" s="104"/>
      <c r="J724" s="106"/>
      <c r="K724" s="105"/>
    </row>
    <row r="725" spans="1:11" x14ac:dyDescent="0.25">
      <c r="A725" s="103"/>
      <c r="B725" s="104"/>
      <c r="C725" s="104"/>
      <c r="D725" s="104"/>
      <c r="E725" s="105"/>
      <c r="F725" s="104"/>
      <c r="G725" s="105"/>
      <c r="H725" s="106"/>
      <c r="I725" s="104"/>
      <c r="J725" s="106"/>
      <c r="K725" s="105"/>
    </row>
    <row r="726" spans="1:11" x14ac:dyDescent="0.25">
      <c r="A726" s="103"/>
      <c r="B726" s="104"/>
      <c r="C726" s="104"/>
      <c r="D726" s="104"/>
      <c r="E726" s="105"/>
      <c r="F726" s="104"/>
      <c r="G726" s="105"/>
      <c r="H726" s="106"/>
      <c r="I726" s="104"/>
      <c r="J726" s="106"/>
      <c r="K726" s="105"/>
    </row>
    <row r="727" spans="1:11" x14ac:dyDescent="0.25">
      <c r="A727" s="103"/>
      <c r="B727" s="104"/>
      <c r="C727" s="104"/>
      <c r="D727" s="104"/>
      <c r="E727" s="105"/>
      <c r="F727" s="104"/>
      <c r="G727" s="105"/>
      <c r="H727" s="106"/>
      <c r="I727" s="104"/>
      <c r="J727" s="106"/>
      <c r="K727" s="105"/>
    </row>
    <row r="728" spans="1:11" x14ac:dyDescent="0.25">
      <c r="A728" s="103"/>
      <c r="B728" s="104"/>
      <c r="C728" s="104"/>
      <c r="D728" s="104"/>
      <c r="E728" s="105"/>
      <c r="F728" s="104"/>
      <c r="G728" s="105"/>
      <c r="H728" s="106"/>
      <c r="I728" s="104"/>
      <c r="J728" s="106"/>
      <c r="K728" s="105"/>
    </row>
    <row r="729" spans="1:11" x14ac:dyDescent="0.25">
      <c r="A729" s="103"/>
      <c r="B729" s="104"/>
      <c r="C729" s="104"/>
      <c r="D729" s="104"/>
      <c r="E729" s="105"/>
      <c r="F729" s="104"/>
      <c r="G729" s="105"/>
      <c r="H729" s="106"/>
      <c r="I729" s="104"/>
      <c r="J729" s="106"/>
      <c r="K729" s="105"/>
    </row>
    <row r="730" spans="1:11" x14ac:dyDescent="0.25">
      <c r="A730" s="103"/>
      <c r="B730" s="104"/>
      <c r="C730" s="104"/>
      <c r="D730" s="104"/>
      <c r="E730" s="105"/>
      <c r="F730" s="104"/>
      <c r="G730" s="105"/>
      <c r="H730" s="106"/>
      <c r="I730" s="104"/>
      <c r="J730" s="106"/>
      <c r="K730" s="105"/>
    </row>
    <row r="731" spans="1:11" x14ac:dyDescent="0.25">
      <c r="A731" s="103"/>
      <c r="B731" s="104"/>
      <c r="C731" s="104"/>
      <c r="D731" s="104"/>
      <c r="E731" s="105"/>
      <c r="F731" s="104"/>
      <c r="G731" s="105"/>
      <c r="H731" s="106"/>
      <c r="I731" s="104"/>
      <c r="J731" s="106"/>
      <c r="K731" s="105"/>
    </row>
    <row r="732" spans="1:11" x14ac:dyDescent="0.25">
      <c r="A732" s="103"/>
      <c r="B732" s="104"/>
      <c r="C732" s="104"/>
      <c r="D732" s="104"/>
      <c r="E732" s="105"/>
      <c r="F732" s="104"/>
      <c r="G732" s="105"/>
      <c r="H732" s="106"/>
      <c r="I732" s="104"/>
      <c r="J732" s="106"/>
      <c r="K732" s="105"/>
    </row>
    <row r="733" spans="1:11" x14ac:dyDescent="0.25">
      <c r="A733" s="103"/>
      <c r="B733" s="104"/>
      <c r="C733" s="104"/>
      <c r="D733" s="104"/>
      <c r="E733" s="105"/>
      <c r="F733" s="104"/>
      <c r="G733" s="105"/>
      <c r="H733" s="106"/>
      <c r="I733" s="104"/>
      <c r="J733" s="106"/>
      <c r="K733" s="105"/>
    </row>
    <row r="734" spans="1:11" x14ac:dyDescent="0.25">
      <c r="A734" s="103"/>
      <c r="B734" s="104"/>
      <c r="C734" s="104"/>
      <c r="D734" s="104"/>
      <c r="E734" s="105"/>
      <c r="F734" s="104"/>
      <c r="G734" s="105"/>
      <c r="H734" s="106"/>
      <c r="I734" s="104"/>
      <c r="J734" s="106"/>
      <c r="K734" s="105"/>
    </row>
    <row r="735" spans="1:11" x14ac:dyDescent="0.25">
      <c r="A735" s="103"/>
      <c r="B735" s="104"/>
      <c r="C735" s="104"/>
      <c r="D735" s="104"/>
      <c r="E735" s="105"/>
      <c r="F735" s="104"/>
      <c r="G735" s="105"/>
      <c r="H735" s="106"/>
      <c r="I735" s="104"/>
      <c r="J735" s="106"/>
      <c r="K735" s="105"/>
    </row>
    <row r="736" spans="1:11" x14ac:dyDescent="0.25">
      <c r="A736" s="103"/>
      <c r="B736" s="104"/>
      <c r="C736" s="104"/>
      <c r="D736" s="104"/>
      <c r="E736" s="105"/>
      <c r="F736" s="104"/>
      <c r="G736" s="105"/>
      <c r="H736" s="106"/>
      <c r="I736" s="104"/>
      <c r="J736" s="106"/>
      <c r="K736" s="105"/>
    </row>
    <row r="737" spans="1:11" x14ac:dyDescent="0.25">
      <c r="A737" s="103"/>
      <c r="B737" s="104"/>
      <c r="C737" s="104"/>
      <c r="D737" s="104"/>
      <c r="E737" s="105"/>
      <c r="F737" s="104"/>
      <c r="G737" s="105"/>
      <c r="H737" s="106"/>
      <c r="I737" s="104"/>
      <c r="J737" s="106"/>
      <c r="K737" s="105"/>
    </row>
    <row r="738" spans="1:11" x14ac:dyDescent="0.25">
      <c r="A738" s="103"/>
      <c r="B738" s="104"/>
      <c r="C738" s="104"/>
      <c r="D738" s="104"/>
      <c r="E738" s="105"/>
      <c r="F738" s="104"/>
      <c r="G738" s="105"/>
      <c r="H738" s="106"/>
      <c r="I738" s="104"/>
      <c r="J738" s="106"/>
      <c r="K738" s="105"/>
    </row>
    <row r="739" spans="1:11" x14ac:dyDescent="0.25">
      <c r="A739" s="103"/>
      <c r="B739" s="104"/>
      <c r="C739" s="104"/>
      <c r="D739" s="104"/>
      <c r="E739" s="105"/>
      <c r="F739" s="104"/>
      <c r="G739" s="105"/>
      <c r="H739" s="106"/>
      <c r="I739" s="104"/>
      <c r="J739" s="106"/>
      <c r="K739" s="105"/>
    </row>
    <row r="740" spans="1:11" x14ac:dyDescent="0.25">
      <c r="A740" s="103"/>
      <c r="B740" s="104"/>
      <c r="C740" s="104"/>
      <c r="D740" s="104"/>
      <c r="E740" s="105"/>
      <c r="F740" s="104"/>
      <c r="G740" s="105"/>
      <c r="H740" s="106"/>
      <c r="I740" s="104"/>
      <c r="J740" s="106"/>
      <c r="K740" s="105"/>
    </row>
    <row r="741" spans="1:11" x14ac:dyDescent="0.25">
      <c r="A741" s="103"/>
      <c r="B741" s="104"/>
      <c r="C741" s="104"/>
      <c r="D741" s="104"/>
      <c r="E741" s="105"/>
      <c r="F741" s="104"/>
      <c r="G741" s="105"/>
      <c r="H741" s="106"/>
      <c r="I741" s="104"/>
      <c r="J741" s="106"/>
      <c r="K741" s="105"/>
    </row>
    <row r="742" spans="1:11" x14ac:dyDescent="0.25">
      <c r="A742" s="103"/>
      <c r="B742" s="104"/>
      <c r="C742" s="104"/>
      <c r="D742" s="104"/>
      <c r="E742" s="105"/>
      <c r="F742" s="104"/>
      <c r="G742" s="105"/>
      <c r="H742" s="106"/>
      <c r="I742" s="104"/>
      <c r="J742" s="106"/>
      <c r="K742" s="105"/>
    </row>
    <row r="743" spans="1:11" x14ac:dyDescent="0.25">
      <c r="A743" s="103"/>
      <c r="B743" s="104"/>
      <c r="C743" s="104"/>
      <c r="D743" s="104"/>
      <c r="E743" s="105"/>
      <c r="F743" s="104"/>
      <c r="G743" s="105"/>
      <c r="H743" s="106"/>
      <c r="I743" s="104"/>
      <c r="J743" s="106"/>
      <c r="K743" s="105"/>
    </row>
    <row r="744" spans="1:11" x14ac:dyDescent="0.25">
      <c r="A744" s="103"/>
      <c r="B744" s="104"/>
      <c r="C744" s="104"/>
      <c r="D744" s="104"/>
      <c r="E744" s="105"/>
      <c r="F744" s="104"/>
      <c r="G744" s="105"/>
      <c r="H744" s="106"/>
      <c r="I744" s="104"/>
      <c r="J744" s="106"/>
      <c r="K744" s="105"/>
    </row>
    <row r="745" spans="1:11" x14ac:dyDescent="0.25">
      <c r="A745" s="103"/>
      <c r="B745" s="104"/>
      <c r="C745" s="104"/>
      <c r="D745" s="104"/>
      <c r="E745" s="105"/>
      <c r="F745" s="104"/>
      <c r="G745" s="105"/>
      <c r="H745" s="106"/>
      <c r="I745" s="104"/>
      <c r="J745" s="106"/>
      <c r="K745" s="105"/>
    </row>
    <row r="746" spans="1:11" x14ac:dyDescent="0.25">
      <c r="A746" s="103"/>
      <c r="B746" s="104"/>
      <c r="C746" s="104"/>
      <c r="D746" s="104"/>
      <c r="E746" s="105"/>
      <c r="F746" s="104"/>
      <c r="G746" s="105"/>
      <c r="H746" s="106"/>
      <c r="I746" s="104"/>
      <c r="J746" s="106"/>
      <c r="K746" s="105"/>
    </row>
    <row r="747" spans="1:11" x14ac:dyDescent="0.25">
      <c r="A747" s="103"/>
      <c r="B747" s="104"/>
      <c r="C747" s="104"/>
      <c r="D747" s="104"/>
      <c r="E747" s="105"/>
      <c r="F747" s="104"/>
      <c r="G747" s="105"/>
      <c r="H747" s="106"/>
      <c r="I747" s="104"/>
      <c r="J747" s="106"/>
      <c r="K747" s="105"/>
    </row>
    <row r="748" spans="1:11" x14ac:dyDescent="0.25">
      <c r="A748" s="103"/>
      <c r="B748" s="104"/>
      <c r="C748" s="104"/>
      <c r="D748" s="104"/>
      <c r="E748" s="105"/>
      <c r="F748" s="104"/>
      <c r="G748" s="105"/>
      <c r="H748" s="106"/>
      <c r="I748" s="104"/>
      <c r="J748" s="106"/>
      <c r="K748" s="105"/>
    </row>
    <row r="749" spans="1:11" x14ac:dyDescent="0.25">
      <c r="A749" s="103"/>
      <c r="B749" s="104"/>
      <c r="C749" s="104"/>
      <c r="D749" s="104"/>
      <c r="E749" s="105"/>
      <c r="F749" s="104"/>
      <c r="G749" s="105"/>
      <c r="H749" s="106"/>
      <c r="I749" s="104"/>
      <c r="J749" s="106"/>
      <c r="K749" s="105"/>
    </row>
    <row r="750" spans="1:11" x14ac:dyDescent="0.25">
      <c r="A750" s="103"/>
      <c r="B750" s="104"/>
      <c r="C750" s="104"/>
      <c r="D750" s="104"/>
      <c r="E750" s="105"/>
      <c r="F750" s="104"/>
      <c r="G750" s="105"/>
      <c r="H750" s="106"/>
      <c r="I750" s="104"/>
      <c r="J750" s="106"/>
      <c r="K750" s="105"/>
    </row>
    <row r="751" spans="1:11" x14ac:dyDescent="0.25">
      <c r="A751" s="103"/>
      <c r="B751" s="104"/>
      <c r="C751" s="104"/>
      <c r="D751" s="104"/>
      <c r="E751" s="105"/>
      <c r="F751" s="104"/>
      <c r="G751" s="105"/>
      <c r="H751" s="106"/>
      <c r="I751" s="104"/>
      <c r="J751" s="106"/>
      <c r="K751" s="105"/>
    </row>
    <row r="752" spans="1:11" x14ac:dyDescent="0.25">
      <c r="A752" s="103"/>
      <c r="B752" s="104"/>
      <c r="C752" s="104"/>
      <c r="D752" s="104"/>
      <c r="E752" s="105"/>
      <c r="F752" s="104"/>
      <c r="G752" s="105"/>
      <c r="H752" s="106"/>
      <c r="I752" s="104"/>
      <c r="J752" s="106"/>
      <c r="K752" s="105"/>
    </row>
    <row r="753" spans="1:11" x14ac:dyDescent="0.25">
      <c r="A753" s="103"/>
      <c r="B753" s="104"/>
      <c r="C753" s="104"/>
      <c r="D753" s="104"/>
      <c r="E753" s="105"/>
      <c r="F753" s="104"/>
      <c r="G753" s="105"/>
      <c r="H753" s="106"/>
      <c r="I753" s="104"/>
      <c r="J753" s="106"/>
      <c r="K753" s="105"/>
    </row>
    <row r="754" spans="1:11" x14ac:dyDescent="0.25">
      <c r="A754" s="103"/>
      <c r="B754" s="104"/>
      <c r="C754" s="104"/>
      <c r="D754" s="104"/>
      <c r="E754" s="105"/>
      <c r="F754" s="104"/>
      <c r="G754" s="105"/>
      <c r="H754" s="106"/>
      <c r="I754" s="104"/>
      <c r="J754" s="106"/>
      <c r="K754" s="105"/>
    </row>
    <row r="755" spans="1:11" x14ac:dyDescent="0.25">
      <c r="A755" s="103"/>
      <c r="B755" s="104"/>
      <c r="C755" s="104"/>
      <c r="D755" s="104"/>
      <c r="E755" s="105"/>
      <c r="F755" s="104"/>
      <c r="G755" s="105"/>
      <c r="H755" s="106"/>
      <c r="I755" s="104"/>
      <c r="J755" s="106"/>
      <c r="K755" s="105"/>
    </row>
    <row r="756" spans="1:11" x14ac:dyDescent="0.25">
      <c r="A756" s="103"/>
      <c r="B756" s="104"/>
      <c r="C756" s="104"/>
      <c r="D756" s="104"/>
      <c r="E756" s="105"/>
      <c r="F756" s="104"/>
      <c r="G756" s="105"/>
      <c r="H756" s="106"/>
      <c r="I756" s="104"/>
      <c r="J756" s="106"/>
      <c r="K756" s="105"/>
    </row>
    <row r="757" spans="1:11" x14ac:dyDescent="0.25">
      <c r="A757" s="103"/>
      <c r="B757" s="104"/>
      <c r="C757" s="104"/>
      <c r="D757" s="104"/>
      <c r="E757" s="105"/>
      <c r="F757" s="104"/>
      <c r="G757" s="105"/>
      <c r="H757" s="106"/>
      <c r="I757" s="104"/>
      <c r="J757" s="106"/>
      <c r="K757" s="105"/>
    </row>
    <row r="758" spans="1:11" x14ac:dyDescent="0.25">
      <c r="A758" s="103"/>
      <c r="B758" s="104"/>
      <c r="C758" s="104"/>
      <c r="D758" s="104"/>
      <c r="E758" s="105"/>
      <c r="F758" s="104"/>
      <c r="G758" s="105"/>
      <c r="H758" s="106"/>
      <c r="I758" s="104"/>
      <c r="J758" s="106"/>
      <c r="K758" s="105"/>
    </row>
    <row r="759" spans="1:11" x14ac:dyDescent="0.25">
      <c r="A759" s="103"/>
      <c r="B759" s="104"/>
      <c r="C759" s="104"/>
      <c r="D759" s="104"/>
      <c r="E759" s="105"/>
      <c r="F759" s="104"/>
      <c r="G759" s="105"/>
      <c r="H759" s="106"/>
      <c r="I759" s="104"/>
      <c r="J759" s="106"/>
      <c r="K759" s="105"/>
    </row>
    <row r="760" spans="1:11" x14ac:dyDescent="0.25">
      <c r="A760" s="103"/>
      <c r="B760" s="104"/>
      <c r="C760" s="104"/>
      <c r="D760" s="104"/>
      <c r="E760" s="105"/>
      <c r="F760" s="104"/>
      <c r="G760" s="105"/>
      <c r="H760" s="106"/>
      <c r="I760" s="104"/>
      <c r="J760" s="106"/>
      <c r="K760" s="105"/>
    </row>
    <row r="761" spans="1:11" x14ac:dyDescent="0.25">
      <c r="A761" s="103"/>
      <c r="B761" s="104"/>
      <c r="C761" s="104"/>
      <c r="D761" s="104"/>
      <c r="E761" s="105"/>
      <c r="F761" s="104"/>
      <c r="G761" s="105"/>
      <c r="H761" s="106"/>
      <c r="I761" s="104"/>
      <c r="J761" s="106"/>
      <c r="K761" s="105"/>
    </row>
    <row r="762" spans="1:11" x14ac:dyDescent="0.25">
      <c r="A762" s="103"/>
      <c r="B762" s="104"/>
      <c r="C762" s="104"/>
      <c r="D762" s="104"/>
      <c r="E762" s="105"/>
      <c r="F762" s="104"/>
      <c r="G762" s="105"/>
      <c r="H762" s="106"/>
      <c r="I762" s="104"/>
      <c r="J762" s="106"/>
      <c r="K762" s="105"/>
    </row>
    <row r="763" spans="1:11" x14ac:dyDescent="0.25">
      <c r="A763" s="103"/>
      <c r="B763" s="104"/>
      <c r="C763" s="104"/>
      <c r="D763" s="104"/>
      <c r="E763" s="105"/>
      <c r="F763" s="104"/>
      <c r="G763" s="105"/>
      <c r="H763" s="106"/>
      <c r="I763" s="104"/>
      <c r="J763" s="106"/>
      <c r="K763" s="105"/>
    </row>
    <row r="764" spans="1:11" x14ac:dyDescent="0.25">
      <c r="A764" s="103"/>
      <c r="B764" s="104"/>
      <c r="C764" s="104"/>
      <c r="D764" s="104"/>
      <c r="E764" s="105"/>
      <c r="F764" s="104"/>
      <c r="G764" s="105"/>
      <c r="H764" s="106"/>
      <c r="I764" s="104"/>
      <c r="J764" s="106"/>
      <c r="K764" s="105"/>
    </row>
    <row r="765" spans="1:11" x14ac:dyDescent="0.25">
      <c r="A765" s="103"/>
      <c r="B765" s="104"/>
      <c r="C765" s="104"/>
      <c r="D765" s="104"/>
      <c r="E765" s="105"/>
      <c r="F765" s="104"/>
      <c r="G765" s="105"/>
      <c r="H765" s="106"/>
      <c r="I765" s="104"/>
      <c r="J765" s="106"/>
      <c r="K765" s="105"/>
    </row>
    <row r="766" spans="1:11" x14ac:dyDescent="0.25">
      <c r="A766" s="103"/>
      <c r="B766" s="104"/>
      <c r="C766" s="104"/>
      <c r="D766" s="104"/>
      <c r="E766" s="105"/>
      <c r="F766" s="104"/>
      <c r="G766" s="105"/>
      <c r="H766" s="106"/>
      <c r="I766" s="104"/>
      <c r="J766" s="106"/>
      <c r="K766" s="105"/>
    </row>
    <row r="767" spans="1:11" x14ac:dyDescent="0.25">
      <c r="A767" s="103"/>
      <c r="B767" s="104"/>
      <c r="C767" s="104"/>
      <c r="D767" s="104"/>
      <c r="E767" s="105"/>
      <c r="F767" s="104"/>
      <c r="G767" s="105"/>
      <c r="H767" s="106"/>
      <c r="I767" s="104"/>
      <c r="J767" s="106"/>
      <c r="K767" s="105"/>
    </row>
    <row r="768" spans="1:11" x14ac:dyDescent="0.25">
      <c r="A768" s="103"/>
      <c r="B768" s="104"/>
      <c r="C768" s="104"/>
      <c r="D768" s="104"/>
      <c r="E768" s="105"/>
      <c r="F768" s="104"/>
      <c r="G768" s="105"/>
      <c r="H768" s="106"/>
      <c r="I768" s="104"/>
      <c r="J768" s="106"/>
      <c r="K768" s="105"/>
    </row>
    <row r="769" spans="1:11" x14ac:dyDescent="0.25">
      <c r="A769" s="103"/>
      <c r="B769" s="104"/>
      <c r="C769" s="104"/>
      <c r="D769" s="104"/>
      <c r="E769" s="105"/>
      <c r="F769" s="104"/>
      <c r="G769" s="105"/>
      <c r="H769" s="106"/>
      <c r="I769" s="104"/>
      <c r="J769" s="106"/>
      <c r="K769" s="105"/>
    </row>
    <row r="770" spans="1:11" x14ac:dyDescent="0.25">
      <c r="A770" s="103"/>
      <c r="B770" s="104"/>
      <c r="C770" s="104"/>
      <c r="D770" s="104"/>
      <c r="E770" s="105"/>
      <c r="F770" s="104"/>
      <c r="G770" s="105"/>
      <c r="H770" s="106"/>
      <c r="I770" s="104"/>
      <c r="J770" s="106"/>
      <c r="K770" s="105"/>
    </row>
    <row r="771" spans="1:11" x14ac:dyDescent="0.25">
      <c r="A771" s="103"/>
      <c r="B771" s="104"/>
      <c r="C771" s="104"/>
      <c r="D771" s="104"/>
      <c r="E771" s="105"/>
      <c r="F771" s="104"/>
      <c r="G771" s="105"/>
      <c r="H771" s="106"/>
      <c r="I771" s="104"/>
      <c r="J771" s="106"/>
      <c r="K771" s="105"/>
    </row>
    <row r="772" spans="1:11" x14ac:dyDescent="0.25">
      <c r="A772" s="103"/>
      <c r="B772" s="104"/>
      <c r="C772" s="104"/>
      <c r="D772" s="104"/>
      <c r="E772" s="105"/>
      <c r="F772" s="104"/>
      <c r="G772" s="105"/>
      <c r="H772" s="106"/>
      <c r="I772" s="104"/>
      <c r="J772" s="106"/>
      <c r="K772" s="105"/>
    </row>
    <row r="773" spans="1:11" x14ac:dyDescent="0.25">
      <c r="A773" s="103"/>
      <c r="B773" s="104"/>
      <c r="C773" s="104"/>
      <c r="D773" s="104"/>
      <c r="E773" s="105"/>
      <c r="F773" s="104"/>
      <c r="G773" s="105"/>
      <c r="H773" s="106"/>
      <c r="I773" s="104"/>
      <c r="J773" s="106"/>
      <c r="K773" s="105"/>
    </row>
    <row r="774" spans="1:11" x14ac:dyDescent="0.25">
      <c r="A774" s="103"/>
      <c r="B774" s="104"/>
      <c r="C774" s="104"/>
      <c r="D774" s="104"/>
      <c r="E774" s="105"/>
      <c r="F774" s="104"/>
      <c r="G774" s="105"/>
      <c r="H774" s="106"/>
      <c r="I774" s="104"/>
      <c r="J774" s="106"/>
      <c r="K774" s="105"/>
    </row>
    <row r="775" spans="1:11" x14ac:dyDescent="0.25">
      <c r="A775" s="103"/>
      <c r="B775" s="104"/>
      <c r="C775" s="104"/>
      <c r="D775" s="104"/>
      <c r="E775" s="105"/>
      <c r="F775" s="104"/>
      <c r="G775" s="105"/>
      <c r="H775" s="106"/>
      <c r="I775" s="104"/>
      <c r="J775" s="106"/>
      <c r="K775" s="105"/>
    </row>
    <row r="776" spans="1:11" x14ac:dyDescent="0.25">
      <c r="A776" s="103"/>
      <c r="B776" s="104"/>
      <c r="C776" s="104"/>
      <c r="D776" s="104"/>
      <c r="E776" s="105"/>
      <c r="F776" s="104"/>
      <c r="G776" s="105"/>
      <c r="H776" s="106"/>
      <c r="I776" s="104"/>
      <c r="J776" s="106"/>
      <c r="K776" s="105"/>
    </row>
    <row r="777" spans="1:11" x14ac:dyDescent="0.25">
      <c r="A777" s="103"/>
      <c r="B777" s="104"/>
      <c r="C777" s="104"/>
      <c r="D777" s="104"/>
      <c r="E777" s="105"/>
      <c r="F777" s="104"/>
      <c r="G777" s="105"/>
      <c r="H777" s="106"/>
      <c r="I777" s="104"/>
      <c r="J777" s="106"/>
      <c r="K777" s="105"/>
    </row>
    <row r="778" spans="1:11" x14ac:dyDescent="0.25">
      <c r="A778" s="103"/>
      <c r="B778" s="104"/>
      <c r="C778" s="104"/>
      <c r="D778" s="104"/>
      <c r="E778" s="105"/>
      <c r="F778" s="104"/>
      <c r="G778" s="105"/>
      <c r="H778" s="106"/>
      <c r="I778" s="104"/>
      <c r="J778" s="106"/>
      <c r="K778" s="105"/>
    </row>
    <row r="779" spans="1:11" x14ac:dyDescent="0.25">
      <c r="A779" s="103"/>
      <c r="B779" s="104"/>
      <c r="C779" s="104"/>
      <c r="D779" s="104"/>
      <c r="E779" s="105"/>
      <c r="F779" s="104"/>
      <c r="G779" s="105"/>
      <c r="H779" s="106"/>
      <c r="I779" s="104"/>
      <c r="J779" s="106"/>
      <c r="K779" s="105"/>
    </row>
    <row r="780" spans="1:11" x14ac:dyDescent="0.25">
      <c r="A780" s="103"/>
      <c r="B780" s="104"/>
      <c r="C780" s="104"/>
      <c r="D780" s="104"/>
      <c r="E780" s="105"/>
      <c r="F780" s="104"/>
      <c r="G780" s="105"/>
      <c r="H780" s="106"/>
      <c r="I780" s="104"/>
      <c r="J780" s="106"/>
      <c r="K780" s="105"/>
    </row>
    <row r="781" spans="1:11" x14ac:dyDescent="0.25">
      <c r="A781" s="103"/>
      <c r="B781" s="104"/>
      <c r="C781" s="104"/>
      <c r="D781" s="104"/>
      <c r="E781" s="105"/>
      <c r="F781" s="104"/>
      <c r="G781" s="105"/>
      <c r="H781" s="106"/>
      <c r="I781" s="104"/>
      <c r="J781" s="106"/>
      <c r="K781" s="105"/>
    </row>
    <row r="782" spans="1:11" x14ac:dyDescent="0.25">
      <c r="A782" s="103"/>
      <c r="B782" s="104"/>
      <c r="C782" s="104"/>
      <c r="D782" s="104"/>
      <c r="E782" s="105"/>
      <c r="F782" s="104"/>
      <c r="G782" s="105"/>
      <c r="H782" s="106"/>
      <c r="I782" s="104"/>
      <c r="J782" s="106"/>
      <c r="K782" s="105"/>
    </row>
    <row r="783" spans="1:11" x14ac:dyDescent="0.25">
      <c r="A783" s="103"/>
      <c r="B783" s="104"/>
      <c r="C783" s="104"/>
      <c r="D783" s="104"/>
      <c r="E783" s="105"/>
      <c r="F783" s="104"/>
      <c r="G783" s="105"/>
      <c r="H783" s="106"/>
      <c r="I783" s="104"/>
      <c r="J783" s="106"/>
      <c r="K783" s="105"/>
    </row>
    <row r="784" spans="1:11" x14ac:dyDescent="0.25">
      <c r="A784" s="103"/>
      <c r="B784" s="104"/>
      <c r="C784" s="104"/>
      <c r="D784" s="104"/>
      <c r="E784" s="105"/>
      <c r="F784" s="104"/>
      <c r="G784" s="105"/>
      <c r="H784" s="106"/>
      <c r="I784" s="104"/>
      <c r="J784" s="106"/>
      <c r="K784" s="105"/>
    </row>
    <row r="785" spans="1:11" x14ac:dyDescent="0.25">
      <c r="A785" s="103"/>
      <c r="B785" s="104"/>
      <c r="C785" s="104"/>
      <c r="D785" s="104"/>
      <c r="E785" s="105"/>
      <c r="F785" s="104"/>
      <c r="G785" s="105"/>
      <c r="H785" s="106"/>
      <c r="I785" s="104"/>
      <c r="J785" s="106"/>
      <c r="K785" s="105"/>
    </row>
    <row r="786" spans="1:11" x14ac:dyDescent="0.25">
      <c r="A786" s="103"/>
      <c r="B786" s="104"/>
      <c r="C786" s="104"/>
      <c r="D786" s="104"/>
      <c r="E786" s="105"/>
      <c r="F786" s="104"/>
      <c r="G786" s="105"/>
      <c r="H786" s="106"/>
      <c r="I786" s="104"/>
      <c r="J786" s="106"/>
      <c r="K786" s="105"/>
    </row>
    <row r="787" spans="1:11" x14ac:dyDescent="0.25">
      <c r="A787" s="103"/>
      <c r="B787" s="104"/>
      <c r="C787" s="104"/>
      <c r="D787" s="104"/>
      <c r="E787" s="105"/>
      <c r="F787" s="104"/>
      <c r="G787" s="105"/>
      <c r="H787" s="106"/>
      <c r="I787" s="104"/>
      <c r="J787" s="106"/>
      <c r="K787" s="105"/>
    </row>
    <row r="788" spans="1:11" x14ac:dyDescent="0.25">
      <c r="A788" s="103"/>
      <c r="B788" s="104"/>
      <c r="C788" s="104"/>
      <c r="D788" s="104"/>
      <c r="E788" s="105"/>
      <c r="F788" s="104"/>
      <c r="G788" s="105"/>
      <c r="H788" s="106"/>
      <c r="I788" s="104"/>
      <c r="J788" s="106"/>
      <c r="K788" s="105"/>
    </row>
    <row r="789" spans="1:11" x14ac:dyDescent="0.25">
      <c r="A789" s="103"/>
      <c r="B789" s="104"/>
      <c r="C789" s="104"/>
      <c r="D789" s="104"/>
      <c r="E789" s="105"/>
      <c r="F789" s="104"/>
      <c r="G789" s="105"/>
      <c r="H789" s="106"/>
      <c r="I789" s="104"/>
      <c r="J789" s="106"/>
      <c r="K789" s="105"/>
    </row>
    <row r="790" spans="1:11" x14ac:dyDescent="0.25">
      <c r="A790" s="103"/>
      <c r="B790" s="104"/>
      <c r="C790" s="104"/>
      <c r="D790" s="104"/>
      <c r="E790" s="105"/>
      <c r="F790" s="104"/>
      <c r="G790" s="105"/>
      <c r="H790" s="106"/>
      <c r="I790" s="104"/>
      <c r="J790" s="106"/>
      <c r="K790" s="105"/>
    </row>
    <row r="791" spans="1:11" x14ac:dyDescent="0.25">
      <c r="A791" s="103"/>
      <c r="B791" s="104"/>
      <c r="C791" s="104"/>
      <c r="D791" s="104"/>
      <c r="E791" s="105"/>
      <c r="F791" s="104"/>
      <c r="G791" s="105"/>
      <c r="H791" s="106"/>
      <c r="I791" s="104"/>
      <c r="J791" s="106"/>
      <c r="K791" s="105"/>
    </row>
    <row r="792" spans="1:11" x14ac:dyDescent="0.25">
      <c r="A792" s="103"/>
      <c r="B792" s="104"/>
      <c r="C792" s="104"/>
      <c r="D792" s="104"/>
      <c r="E792" s="105"/>
      <c r="F792" s="104"/>
      <c r="G792" s="105"/>
      <c r="H792" s="106"/>
      <c r="I792" s="104"/>
      <c r="J792" s="106"/>
      <c r="K792" s="105"/>
    </row>
    <row r="793" spans="1:11" x14ac:dyDescent="0.25">
      <c r="A793" s="103"/>
      <c r="B793" s="104"/>
      <c r="C793" s="104"/>
      <c r="D793" s="104"/>
      <c r="E793" s="105"/>
      <c r="F793" s="104"/>
      <c r="G793" s="105"/>
      <c r="H793" s="106"/>
      <c r="I793" s="104"/>
      <c r="J793" s="106"/>
      <c r="K793" s="105"/>
    </row>
    <row r="794" spans="1:11" x14ac:dyDescent="0.25">
      <c r="A794" s="103"/>
      <c r="B794" s="104"/>
      <c r="C794" s="104"/>
      <c r="D794" s="104"/>
      <c r="E794" s="105"/>
      <c r="F794" s="104"/>
      <c r="G794" s="105"/>
      <c r="H794" s="106"/>
      <c r="I794" s="104"/>
      <c r="J794" s="106"/>
      <c r="K794" s="105"/>
    </row>
    <row r="795" spans="1:11" x14ac:dyDescent="0.25">
      <c r="A795" s="103"/>
      <c r="B795" s="104"/>
      <c r="C795" s="104"/>
      <c r="D795" s="104"/>
      <c r="E795" s="105"/>
      <c r="F795" s="104"/>
      <c r="G795" s="105"/>
      <c r="H795" s="106"/>
      <c r="I795" s="104"/>
      <c r="J795" s="106"/>
      <c r="K795" s="105"/>
    </row>
    <row r="796" spans="1:11" x14ac:dyDescent="0.25">
      <c r="A796" s="103"/>
      <c r="B796" s="104"/>
      <c r="C796" s="104"/>
      <c r="D796" s="104"/>
      <c r="E796" s="105"/>
      <c r="F796" s="104"/>
      <c r="G796" s="105"/>
      <c r="H796" s="106"/>
      <c r="I796" s="104"/>
      <c r="J796" s="106"/>
      <c r="K796" s="105"/>
    </row>
    <row r="797" spans="1:11" x14ac:dyDescent="0.25">
      <c r="A797" s="103"/>
      <c r="B797" s="104"/>
      <c r="C797" s="104"/>
      <c r="D797" s="104"/>
      <c r="E797" s="105"/>
      <c r="F797" s="104"/>
      <c r="G797" s="105"/>
      <c r="H797" s="106"/>
      <c r="I797" s="104"/>
      <c r="J797" s="106"/>
      <c r="K797" s="105"/>
    </row>
    <row r="798" spans="1:11" x14ac:dyDescent="0.25">
      <c r="A798" s="103"/>
      <c r="B798" s="104"/>
      <c r="C798" s="104"/>
      <c r="D798" s="104"/>
      <c r="E798" s="105"/>
      <c r="F798" s="104"/>
      <c r="G798" s="105"/>
      <c r="H798" s="106"/>
      <c r="I798" s="104"/>
      <c r="J798" s="106"/>
      <c r="K798" s="105"/>
    </row>
    <row r="799" spans="1:11" x14ac:dyDescent="0.25">
      <c r="A799" s="103"/>
      <c r="B799" s="104"/>
      <c r="C799" s="104"/>
      <c r="D799" s="104"/>
      <c r="E799" s="105"/>
      <c r="F799" s="104"/>
      <c r="G799" s="105"/>
      <c r="H799" s="106"/>
      <c r="I799" s="104"/>
      <c r="J799" s="106"/>
      <c r="K799" s="105"/>
    </row>
    <row r="800" spans="1:11" x14ac:dyDescent="0.25">
      <c r="A800" s="103"/>
      <c r="B800" s="104"/>
      <c r="C800" s="104"/>
      <c r="D800" s="104"/>
      <c r="E800" s="105"/>
      <c r="F800" s="104"/>
      <c r="G800" s="105"/>
      <c r="H800" s="106"/>
      <c r="I800" s="104"/>
      <c r="J800" s="106"/>
      <c r="K800" s="105"/>
    </row>
    <row r="801" spans="1:11" x14ac:dyDescent="0.25">
      <c r="A801" s="103"/>
      <c r="B801" s="104"/>
      <c r="C801" s="104"/>
      <c r="D801" s="104"/>
      <c r="E801" s="105"/>
      <c r="F801" s="104"/>
      <c r="G801" s="105"/>
      <c r="H801" s="106"/>
      <c r="I801" s="104"/>
      <c r="J801" s="106"/>
      <c r="K801" s="105"/>
    </row>
    <row r="802" spans="1:11" x14ac:dyDescent="0.25">
      <c r="A802" s="103"/>
      <c r="B802" s="104"/>
      <c r="C802" s="104"/>
      <c r="D802" s="104"/>
      <c r="E802" s="105"/>
      <c r="F802" s="104"/>
      <c r="G802" s="105"/>
      <c r="H802" s="106"/>
      <c r="I802" s="104"/>
      <c r="J802" s="106"/>
      <c r="K802" s="105"/>
    </row>
    <row r="803" spans="1:11" x14ac:dyDescent="0.25">
      <c r="A803" s="103"/>
      <c r="B803" s="104"/>
      <c r="C803" s="104"/>
      <c r="D803" s="104"/>
      <c r="E803" s="105"/>
      <c r="F803" s="104"/>
      <c r="G803" s="105"/>
      <c r="H803" s="106"/>
      <c r="I803" s="104"/>
      <c r="J803" s="106"/>
      <c r="K803" s="105"/>
    </row>
    <row r="804" spans="1:11" x14ac:dyDescent="0.25">
      <c r="A804" s="103"/>
      <c r="B804" s="104"/>
      <c r="C804" s="104"/>
      <c r="D804" s="104"/>
      <c r="E804" s="105"/>
      <c r="F804" s="104"/>
      <c r="G804" s="105"/>
      <c r="H804" s="106"/>
      <c r="I804" s="104"/>
      <c r="J804" s="106"/>
      <c r="K804" s="105"/>
    </row>
    <row r="805" spans="1:11" x14ac:dyDescent="0.25">
      <c r="A805" s="103"/>
      <c r="B805" s="104"/>
      <c r="C805" s="104"/>
      <c r="D805" s="104"/>
      <c r="E805" s="105"/>
      <c r="F805" s="104"/>
      <c r="G805" s="105"/>
      <c r="H805" s="106"/>
      <c r="I805" s="104"/>
      <c r="J805" s="106"/>
      <c r="K805" s="105"/>
    </row>
    <row r="806" spans="1:11" x14ac:dyDescent="0.25">
      <c r="A806" s="103"/>
      <c r="B806" s="104"/>
      <c r="C806" s="104"/>
      <c r="D806" s="104"/>
      <c r="E806" s="105"/>
      <c r="F806" s="104"/>
      <c r="G806" s="105"/>
      <c r="H806" s="106"/>
      <c r="I806" s="104"/>
      <c r="J806" s="106"/>
      <c r="K806" s="105"/>
    </row>
    <row r="807" spans="1:11" x14ac:dyDescent="0.25">
      <c r="A807" s="103"/>
      <c r="B807" s="104"/>
      <c r="C807" s="104"/>
      <c r="D807" s="104"/>
      <c r="E807" s="105"/>
      <c r="F807" s="104"/>
      <c r="G807" s="105"/>
      <c r="H807" s="106"/>
      <c r="I807" s="104"/>
      <c r="J807" s="106"/>
      <c r="K807" s="105"/>
    </row>
    <row r="808" spans="1:11" x14ac:dyDescent="0.25">
      <c r="A808" s="103"/>
      <c r="B808" s="104"/>
      <c r="C808" s="104"/>
      <c r="D808" s="104"/>
      <c r="E808" s="105"/>
      <c r="F808" s="104"/>
      <c r="G808" s="105"/>
      <c r="H808" s="106"/>
      <c r="I808" s="104"/>
      <c r="J808" s="106"/>
      <c r="K808" s="105"/>
    </row>
    <row r="809" spans="1:11" x14ac:dyDescent="0.25">
      <c r="A809" s="103"/>
      <c r="B809" s="104"/>
      <c r="C809" s="104"/>
      <c r="D809" s="104"/>
      <c r="E809" s="105"/>
      <c r="F809" s="104"/>
      <c r="G809" s="105"/>
      <c r="H809" s="106"/>
      <c r="I809" s="104"/>
      <c r="J809" s="106"/>
      <c r="K809" s="105"/>
    </row>
    <row r="810" spans="1:11" x14ac:dyDescent="0.25">
      <c r="A810" s="103"/>
      <c r="B810" s="104"/>
      <c r="C810" s="104"/>
      <c r="D810" s="104"/>
      <c r="E810" s="105"/>
      <c r="F810" s="104"/>
      <c r="G810" s="105"/>
      <c r="H810" s="106"/>
      <c r="I810" s="104"/>
      <c r="J810" s="106"/>
      <c r="K810" s="105"/>
    </row>
    <row r="811" spans="1:11" x14ac:dyDescent="0.25">
      <c r="A811" s="103"/>
      <c r="B811" s="104"/>
      <c r="C811" s="104"/>
      <c r="D811" s="104"/>
      <c r="E811" s="105"/>
      <c r="F811" s="104"/>
      <c r="G811" s="105"/>
      <c r="H811" s="106"/>
      <c r="I811" s="104"/>
      <c r="J811" s="106"/>
      <c r="K811" s="105"/>
    </row>
    <row r="812" spans="1:11" x14ac:dyDescent="0.25">
      <c r="A812" s="103"/>
      <c r="B812" s="104"/>
      <c r="C812" s="104"/>
      <c r="D812" s="104"/>
      <c r="E812" s="105"/>
      <c r="F812" s="104"/>
      <c r="G812" s="105"/>
      <c r="H812" s="106"/>
      <c r="I812" s="104"/>
      <c r="J812" s="106"/>
      <c r="K812" s="105"/>
    </row>
    <row r="813" spans="1:11" x14ac:dyDescent="0.25">
      <c r="A813" s="103"/>
      <c r="B813" s="104"/>
      <c r="C813" s="104"/>
      <c r="D813" s="104"/>
      <c r="E813" s="105"/>
      <c r="F813" s="104"/>
      <c r="G813" s="105"/>
      <c r="H813" s="106"/>
      <c r="I813" s="104"/>
      <c r="J813" s="106"/>
      <c r="K813" s="105"/>
    </row>
    <row r="814" spans="1:11" x14ac:dyDescent="0.25">
      <c r="A814" s="103"/>
      <c r="B814" s="104"/>
      <c r="C814" s="104"/>
      <c r="D814" s="104"/>
      <c r="E814" s="105"/>
      <c r="F814" s="104"/>
      <c r="G814" s="105"/>
      <c r="H814" s="106"/>
      <c r="I814" s="104"/>
      <c r="J814" s="106"/>
      <c r="K814" s="105"/>
    </row>
    <row r="815" spans="1:11" x14ac:dyDescent="0.25">
      <c r="A815" s="103"/>
      <c r="B815" s="104"/>
      <c r="C815" s="104"/>
      <c r="D815" s="104"/>
      <c r="E815" s="105"/>
      <c r="F815" s="104"/>
      <c r="G815" s="105"/>
      <c r="H815" s="106"/>
      <c r="I815" s="104"/>
      <c r="J815" s="106"/>
      <c r="K815" s="105"/>
    </row>
    <row r="816" spans="1:11" x14ac:dyDescent="0.25">
      <c r="A816" s="103"/>
      <c r="B816" s="104"/>
      <c r="C816" s="104"/>
      <c r="D816" s="104"/>
      <c r="E816" s="105"/>
      <c r="F816" s="104"/>
      <c r="G816" s="105"/>
      <c r="H816" s="106"/>
      <c r="I816" s="104"/>
      <c r="J816" s="106"/>
      <c r="K816" s="105"/>
    </row>
    <row r="817" spans="1:11" x14ac:dyDescent="0.25">
      <c r="A817" s="103"/>
      <c r="B817" s="104"/>
      <c r="C817" s="104"/>
      <c r="D817" s="104"/>
      <c r="E817" s="105"/>
      <c r="F817" s="104"/>
      <c r="G817" s="105"/>
      <c r="H817" s="106"/>
      <c r="I817" s="104"/>
      <c r="J817" s="106"/>
      <c r="K817" s="105"/>
    </row>
    <row r="818" spans="1:11" x14ac:dyDescent="0.25">
      <c r="A818" s="103"/>
      <c r="B818" s="104"/>
      <c r="C818" s="104"/>
      <c r="D818" s="104"/>
      <c r="E818" s="105"/>
      <c r="F818" s="104"/>
      <c r="G818" s="105"/>
      <c r="H818" s="106"/>
      <c r="I818" s="104"/>
      <c r="J818" s="106"/>
      <c r="K818" s="105"/>
    </row>
    <row r="819" spans="1:11" x14ac:dyDescent="0.25">
      <c r="A819" s="103"/>
      <c r="B819" s="104"/>
      <c r="C819" s="104"/>
      <c r="D819" s="104"/>
      <c r="E819" s="105"/>
      <c r="F819" s="104"/>
      <c r="G819" s="105"/>
      <c r="H819" s="106"/>
      <c r="I819" s="104"/>
      <c r="J819" s="106"/>
      <c r="K819" s="105"/>
    </row>
    <row r="820" spans="1:11" x14ac:dyDescent="0.25">
      <c r="A820" s="103"/>
      <c r="B820" s="104"/>
      <c r="C820" s="104"/>
      <c r="D820" s="104"/>
      <c r="E820" s="105"/>
      <c r="F820" s="104"/>
      <c r="G820" s="105"/>
      <c r="H820" s="106"/>
      <c r="I820" s="104"/>
      <c r="J820" s="106"/>
      <c r="K820" s="105"/>
    </row>
    <row r="821" spans="1:11" x14ac:dyDescent="0.25">
      <c r="A821" s="103"/>
      <c r="B821" s="104"/>
      <c r="C821" s="104"/>
      <c r="D821" s="104"/>
      <c r="E821" s="105"/>
      <c r="F821" s="104"/>
      <c r="G821" s="105"/>
      <c r="H821" s="106"/>
      <c r="I821" s="104"/>
      <c r="J821" s="106"/>
      <c r="K821" s="105"/>
    </row>
    <row r="822" spans="1:11" x14ac:dyDescent="0.25">
      <c r="A822" s="103"/>
      <c r="B822" s="104"/>
      <c r="C822" s="104"/>
      <c r="D822" s="104"/>
      <c r="E822" s="105"/>
      <c r="F822" s="104"/>
      <c r="G822" s="105"/>
      <c r="H822" s="106"/>
      <c r="I822" s="104"/>
      <c r="J822" s="106"/>
      <c r="K822" s="105"/>
    </row>
    <row r="823" spans="1:11" x14ac:dyDescent="0.25">
      <c r="A823" s="103"/>
      <c r="B823" s="104"/>
      <c r="C823" s="104"/>
      <c r="D823" s="104"/>
      <c r="E823" s="105"/>
      <c r="F823" s="104"/>
      <c r="G823" s="105"/>
      <c r="H823" s="106"/>
      <c r="I823" s="104"/>
      <c r="J823" s="106"/>
      <c r="K823" s="105"/>
    </row>
    <row r="824" spans="1:11" x14ac:dyDescent="0.25">
      <c r="A824" s="103"/>
      <c r="B824" s="104"/>
      <c r="C824" s="104"/>
      <c r="D824" s="104"/>
      <c r="E824" s="105"/>
      <c r="F824" s="104"/>
      <c r="G824" s="105"/>
      <c r="H824" s="106"/>
      <c r="I824" s="104"/>
      <c r="J824" s="106"/>
      <c r="K824" s="105"/>
    </row>
    <row r="825" spans="1:11" x14ac:dyDescent="0.25">
      <c r="A825" s="103"/>
      <c r="B825" s="104"/>
      <c r="C825" s="104"/>
      <c r="D825" s="104"/>
      <c r="E825" s="105"/>
      <c r="F825" s="104"/>
      <c r="G825" s="105"/>
      <c r="H825" s="106"/>
      <c r="I825" s="104"/>
      <c r="J825" s="106"/>
      <c r="K825" s="105"/>
    </row>
    <row r="826" spans="1:11" x14ac:dyDescent="0.25">
      <c r="A826" s="103"/>
      <c r="B826" s="104"/>
      <c r="C826" s="104"/>
      <c r="D826" s="104"/>
      <c r="E826" s="105"/>
      <c r="F826" s="104"/>
      <c r="G826" s="105"/>
      <c r="H826" s="106"/>
      <c r="I826" s="104"/>
      <c r="J826" s="106"/>
      <c r="K826" s="105"/>
    </row>
    <row r="827" spans="1:11" x14ac:dyDescent="0.25">
      <c r="A827" s="103"/>
      <c r="B827" s="104"/>
      <c r="C827" s="104"/>
      <c r="D827" s="104"/>
      <c r="E827" s="105"/>
      <c r="F827" s="104"/>
      <c r="G827" s="105"/>
      <c r="H827" s="106"/>
      <c r="I827" s="104"/>
      <c r="J827" s="106"/>
      <c r="K827" s="105"/>
    </row>
    <row r="828" spans="1:11" x14ac:dyDescent="0.25">
      <c r="A828" s="103"/>
      <c r="B828" s="104"/>
      <c r="C828" s="104"/>
      <c r="D828" s="104"/>
      <c r="E828" s="105"/>
      <c r="F828" s="104"/>
      <c r="G828" s="105"/>
      <c r="H828" s="106"/>
      <c r="I828" s="104"/>
      <c r="J828" s="106"/>
      <c r="K828" s="105"/>
    </row>
    <row r="829" spans="1:11" x14ac:dyDescent="0.25">
      <c r="A829" s="103"/>
      <c r="B829" s="104"/>
      <c r="C829" s="104"/>
      <c r="D829" s="104"/>
      <c r="E829" s="105"/>
      <c r="F829" s="104"/>
      <c r="G829" s="105"/>
      <c r="H829" s="106"/>
      <c r="I829" s="104"/>
      <c r="J829" s="106"/>
      <c r="K829" s="105"/>
    </row>
    <row r="830" spans="1:11" x14ac:dyDescent="0.25">
      <c r="A830" s="103"/>
      <c r="B830" s="104"/>
      <c r="C830" s="104"/>
      <c r="D830" s="104"/>
      <c r="E830" s="105"/>
      <c r="F830" s="104"/>
      <c r="G830" s="105"/>
      <c r="H830" s="106"/>
      <c r="I830" s="104"/>
      <c r="J830" s="106"/>
      <c r="K830" s="105"/>
    </row>
    <row r="831" spans="1:11" x14ac:dyDescent="0.25">
      <c r="A831" s="103"/>
      <c r="B831" s="104"/>
      <c r="C831" s="104"/>
      <c r="D831" s="104"/>
      <c r="E831" s="105"/>
      <c r="F831" s="104"/>
      <c r="G831" s="105"/>
      <c r="H831" s="106"/>
      <c r="I831" s="104"/>
      <c r="J831" s="106"/>
      <c r="K831" s="105"/>
    </row>
    <row r="832" spans="1:11" x14ac:dyDescent="0.25">
      <c r="A832" s="103"/>
      <c r="B832" s="104"/>
      <c r="C832" s="104"/>
      <c r="D832" s="104"/>
      <c r="E832" s="105"/>
      <c r="F832" s="104"/>
      <c r="G832" s="105"/>
      <c r="H832" s="106"/>
      <c r="I832" s="104"/>
      <c r="J832" s="106"/>
      <c r="K832" s="105"/>
    </row>
    <row r="833" spans="1:11" x14ac:dyDescent="0.25">
      <c r="A833" s="103"/>
      <c r="B833" s="104"/>
      <c r="C833" s="104"/>
      <c r="D833" s="104"/>
      <c r="E833" s="105"/>
      <c r="F833" s="104"/>
      <c r="G833" s="105"/>
      <c r="H833" s="106"/>
      <c r="I833" s="104"/>
      <c r="J833" s="106"/>
      <c r="K833" s="105"/>
    </row>
    <row r="834" spans="1:11" x14ac:dyDescent="0.25">
      <c r="A834" s="103"/>
      <c r="B834" s="104"/>
      <c r="C834" s="104"/>
      <c r="D834" s="104"/>
      <c r="E834" s="105"/>
      <c r="F834" s="104"/>
      <c r="G834" s="105"/>
      <c r="H834" s="106"/>
      <c r="I834" s="104"/>
      <c r="J834" s="106"/>
      <c r="K834" s="105"/>
    </row>
    <row r="835" spans="1:11" x14ac:dyDescent="0.25">
      <c r="A835" s="103"/>
      <c r="B835" s="104"/>
      <c r="C835" s="104"/>
      <c r="D835" s="104"/>
      <c r="E835" s="105"/>
      <c r="F835" s="104"/>
      <c r="G835" s="105"/>
      <c r="H835" s="106"/>
      <c r="I835" s="104"/>
      <c r="J835" s="106"/>
      <c r="K835" s="105"/>
    </row>
    <row r="836" spans="1:11" x14ac:dyDescent="0.25">
      <c r="A836" s="103"/>
      <c r="B836" s="104"/>
      <c r="C836" s="104"/>
      <c r="D836" s="104"/>
      <c r="E836" s="105"/>
      <c r="F836" s="104"/>
      <c r="G836" s="105"/>
      <c r="H836" s="106"/>
      <c r="I836" s="104"/>
      <c r="J836" s="106"/>
      <c r="K836" s="105"/>
    </row>
    <row r="837" spans="1:11" x14ac:dyDescent="0.25">
      <c r="A837" s="103"/>
      <c r="B837" s="104"/>
      <c r="C837" s="104"/>
      <c r="D837" s="104"/>
      <c r="E837" s="105"/>
      <c r="F837" s="104"/>
      <c r="G837" s="105"/>
      <c r="H837" s="106"/>
      <c r="I837" s="104"/>
      <c r="J837" s="106"/>
      <c r="K837" s="105"/>
    </row>
    <row r="838" spans="1:11" x14ac:dyDescent="0.25">
      <c r="A838" s="103"/>
      <c r="B838" s="104"/>
      <c r="C838" s="104"/>
      <c r="D838" s="104"/>
      <c r="E838" s="105"/>
      <c r="F838" s="104"/>
      <c r="G838" s="105"/>
      <c r="H838" s="106"/>
      <c r="I838" s="104"/>
      <c r="J838" s="106"/>
      <c r="K838" s="105"/>
    </row>
    <row r="839" spans="1:11" x14ac:dyDescent="0.25">
      <c r="A839" s="103"/>
      <c r="B839" s="104"/>
      <c r="C839" s="104"/>
      <c r="D839" s="104"/>
      <c r="E839" s="105"/>
      <c r="F839" s="104"/>
      <c r="G839" s="105"/>
      <c r="H839" s="106"/>
      <c r="I839" s="104"/>
      <c r="J839" s="106"/>
      <c r="K839" s="105"/>
    </row>
    <row r="840" spans="1:11" x14ac:dyDescent="0.25">
      <c r="A840" s="103"/>
      <c r="B840" s="104"/>
      <c r="C840" s="104"/>
      <c r="D840" s="104"/>
      <c r="E840" s="105"/>
      <c r="F840" s="104"/>
      <c r="G840" s="105"/>
      <c r="H840" s="106"/>
      <c r="I840" s="104"/>
      <c r="J840" s="106"/>
      <c r="K840" s="105"/>
    </row>
    <row r="841" spans="1:11" x14ac:dyDescent="0.25">
      <c r="A841" s="103"/>
      <c r="B841" s="104"/>
      <c r="C841" s="104"/>
      <c r="D841" s="104"/>
      <c r="E841" s="105"/>
      <c r="F841" s="104"/>
      <c r="G841" s="105"/>
      <c r="H841" s="106"/>
      <c r="I841" s="104"/>
      <c r="J841" s="106"/>
      <c r="K841" s="105"/>
    </row>
    <row r="842" spans="1:11" x14ac:dyDescent="0.25">
      <c r="A842" s="103"/>
      <c r="B842" s="104"/>
      <c r="C842" s="104"/>
      <c r="D842" s="104"/>
      <c r="E842" s="105"/>
      <c r="F842" s="104"/>
      <c r="G842" s="105"/>
      <c r="H842" s="106"/>
      <c r="I842" s="104"/>
      <c r="J842" s="106"/>
      <c r="K842" s="105"/>
    </row>
    <row r="843" spans="1:11" x14ac:dyDescent="0.25">
      <c r="A843" s="103"/>
      <c r="B843" s="104"/>
      <c r="C843" s="104"/>
      <c r="D843" s="104"/>
      <c r="E843" s="105"/>
      <c r="F843" s="104"/>
      <c r="G843" s="105"/>
      <c r="H843" s="106"/>
      <c r="I843" s="104"/>
      <c r="J843" s="106"/>
      <c r="K843" s="105"/>
    </row>
    <row r="844" spans="1:11" x14ac:dyDescent="0.25">
      <c r="A844" s="103"/>
      <c r="B844" s="104"/>
      <c r="C844" s="104"/>
      <c r="D844" s="104"/>
      <c r="E844" s="105"/>
      <c r="F844" s="104"/>
      <c r="G844" s="105"/>
      <c r="H844" s="106"/>
      <c r="I844" s="104"/>
      <c r="J844" s="106"/>
      <c r="K844" s="105"/>
    </row>
    <row r="845" spans="1:11" x14ac:dyDescent="0.25">
      <c r="A845" s="103"/>
      <c r="B845" s="104"/>
      <c r="C845" s="104"/>
      <c r="D845" s="104"/>
      <c r="E845" s="105"/>
      <c r="F845" s="104"/>
      <c r="G845" s="105"/>
      <c r="H845" s="106"/>
      <c r="I845" s="104"/>
      <c r="J845" s="106"/>
      <c r="K845" s="105"/>
    </row>
    <row r="846" spans="1:11" x14ac:dyDescent="0.25">
      <c r="A846" s="103"/>
      <c r="B846" s="104"/>
      <c r="C846" s="104"/>
      <c r="D846" s="104"/>
      <c r="E846" s="105"/>
      <c r="F846" s="104"/>
      <c r="G846" s="105"/>
      <c r="H846" s="106"/>
      <c r="I846" s="104"/>
      <c r="J846" s="106"/>
      <c r="K846" s="105"/>
    </row>
    <row r="847" spans="1:11" x14ac:dyDescent="0.25">
      <c r="A847" s="103"/>
      <c r="B847" s="104"/>
      <c r="C847" s="104"/>
      <c r="D847" s="104"/>
      <c r="E847" s="105"/>
      <c r="F847" s="104"/>
      <c r="G847" s="105"/>
      <c r="H847" s="106"/>
      <c r="I847" s="104"/>
      <c r="J847" s="106"/>
      <c r="K847" s="105"/>
    </row>
    <row r="848" spans="1:11" x14ac:dyDescent="0.25">
      <c r="A848" s="103"/>
      <c r="B848" s="104"/>
      <c r="C848" s="104"/>
      <c r="D848" s="104"/>
      <c r="E848" s="105"/>
      <c r="F848" s="104"/>
      <c r="G848" s="105"/>
      <c r="H848" s="106"/>
      <c r="I848" s="104"/>
      <c r="J848" s="106"/>
      <c r="K848" s="105"/>
    </row>
    <row r="849" spans="1:11" x14ac:dyDescent="0.25">
      <c r="A849" s="103"/>
      <c r="B849" s="104"/>
      <c r="C849" s="104"/>
      <c r="D849" s="104"/>
      <c r="E849" s="105"/>
      <c r="F849" s="104"/>
      <c r="G849" s="105"/>
      <c r="H849" s="106"/>
      <c r="I849" s="104"/>
      <c r="J849" s="106"/>
      <c r="K849" s="105"/>
    </row>
    <row r="850" spans="1:11" x14ac:dyDescent="0.25">
      <c r="A850" s="103"/>
      <c r="B850" s="104"/>
      <c r="C850" s="104"/>
      <c r="D850" s="104"/>
      <c r="E850" s="105"/>
      <c r="F850" s="104"/>
      <c r="G850" s="105"/>
      <c r="H850" s="106"/>
      <c r="I850" s="104"/>
      <c r="J850" s="106"/>
      <c r="K850" s="105"/>
    </row>
    <row r="851" spans="1:11" x14ac:dyDescent="0.25">
      <c r="A851" s="103"/>
      <c r="B851" s="104"/>
      <c r="C851" s="104"/>
      <c r="D851" s="104"/>
      <c r="E851" s="105"/>
      <c r="F851" s="104"/>
      <c r="G851" s="105"/>
      <c r="H851" s="106"/>
      <c r="I851" s="104"/>
      <c r="J851" s="106"/>
      <c r="K851" s="105"/>
    </row>
    <row r="852" spans="1:11" x14ac:dyDescent="0.25">
      <c r="A852" s="103"/>
      <c r="B852" s="104"/>
      <c r="C852" s="104"/>
      <c r="D852" s="104"/>
      <c r="E852" s="105"/>
      <c r="F852" s="104"/>
      <c r="G852" s="105"/>
      <c r="H852" s="106"/>
      <c r="I852" s="104"/>
      <c r="J852" s="106"/>
      <c r="K852" s="105"/>
    </row>
    <row r="853" spans="1:11" x14ac:dyDescent="0.25">
      <c r="A853" s="103"/>
      <c r="B853" s="104"/>
      <c r="C853" s="104"/>
      <c r="D853" s="104"/>
      <c r="E853" s="105"/>
      <c r="F853" s="104"/>
      <c r="G853" s="105"/>
      <c r="H853" s="106"/>
      <c r="I853" s="104"/>
      <c r="J853" s="106"/>
      <c r="K853" s="105"/>
    </row>
    <row r="854" spans="1:11" x14ac:dyDescent="0.25">
      <c r="A854" s="103"/>
      <c r="B854" s="104"/>
      <c r="C854" s="104"/>
      <c r="D854" s="104"/>
      <c r="E854" s="105"/>
      <c r="F854" s="104"/>
      <c r="G854" s="105"/>
      <c r="H854" s="106"/>
      <c r="I854" s="104"/>
      <c r="J854" s="106"/>
      <c r="K854" s="105"/>
    </row>
    <row r="855" spans="1:11" x14ac:dyDescent="0.25">
      <c r="A855" s="103"/>
      <c r="B855" s="104"/>
      <c r="C855" s="104"/>
      <c r="D855" s="104"/>
      <c r="E855" s="105"/>
      <c r="F855" s="104"/>
      <c r="G855" s="105"/>
      <c r="H855" s="106"/>
      <c r="I855" s="104"/>
      <c r="J855" s="106"/>
      <c r="K855" s="105"/>
    </row>
    <row r="856" spans="1:11" x14ac:dyDescent="0.25">
      <c r="A856" s="103"/>
      <c r="B856" s="104"/>
      <c r="C856" s="104"/>
      <c r="D856" s="104"/>
      <c r="E856" s="105"/>
      <c r="F856" s="104"/>
      <c r="G856" s="105"/>
      <c r="H856" s="106"/>
      <c r="I856" s="104"/>
      <c r="J856" s="106"/>
      <c r="K856" s="105"/>
    </row>
    <row r="857" spans="1:11" x14ac:dyDescent="0.25">
      <c r="A857" s="103"/>
      <c r="B857" s="104"/>
      <c r="C857" s="104"/>
      <c r="D857" s="104"/>
      <c r="E857" s="105"/>
      <c r="F857" s="104"/>
      <c r="G857" s="105"/>
      <c r="H857" s="106"/>
      <c r="I857" s="104"/>
      <c r="J857" s="106"/>
      <c r="K857" s="105"/>
    </row>
    <row r="858" spans="1:11" x14ac:dyDescent="0.25">
      <c r="A858" s="103"/>
      <c r="B858" s="104"/>
      <c r="C858" s="104"/>
      <c r="D858" s="104"/>
      <c r="E858" s="105"/>
      <c r="F858" s="104"/>
      <c r="G858" s="105"/>
      <c r="H858" s="106"/>
      <c r="I858" s="104"/>
      <c r="J858" s="106"/>
      <c r="K858" s="105"/>
    </row>
    <row r="859" spans="1:11" x14ac:dyDescent="0.25">
      <c r="A859" s="103"/>
      <c r="B859" s="104"/>
      <c r="C859" s="104"/>
      <c r="D859" s="104"/>
      <c r="E859" s="105"/>
      <c r="F859" s="104"/>
      <c r="G859" s="105"/>
      <c r="H859" s="106"/>
      <c r="I859" s="104"/>
      <c r="J859" s="106"/>
      <c r="K859" s="105"/>
    </row>
    <row r="860" spans="1:11" x14ac:dyDescent="0.25">
      <c r="A860" s="103"/>
      <c r="B860" s="104"/>
      <c r="C860" s="104"/>
      <c r="D860" s="104"/>
      <c r="E860" s="105"/>
      <c r="F860" s="104"/>
      <c r="G860" s="105"/>
      <c r="H860" s="106"/>
      <c r="I860" s="104"/>
      <c r="J860" s="106"/>
      <c r="K860" s="105"/>
    </row>
    <row r="861" spans="1:11" x14ac:dyDescent="0.25">
      <c r="A861" s="103"/>
      <c r="B861" s="104"/>
      <c r="C861" s="104"/>
      <c r="D861" s="104"/>
      <c r="E861" s="105"/>
      <c r="F861" s="104"/>
      <c r="G861" s="105"/>
      <c r="H861" s="106"/>
      <c r="I861" s="104"/>
      <c r="J861" s="106"/>
      <c r="K861" s="105"/>
    </row>
    <row r="862" spans="1:11" x14ac:dyDescent="0.25">
      <c r="A862" s="103"/>
      <c r="B862" s="104"/>
      <c r="C862" s="104"/>
      <c r="D862" s="104"/>
      <c r="E862" s="105"/>
      <c r="F862" s="104"/>
      <c r="G862" s="105"/>
      <c r="H862" s="106"/>
      <c r="I862" s="104"/>
      <c r="J862" s="106"/>
      <c r="K862" s="105"/>
    </row>
    <row r="863" spans="1:11" x14ac:dyDescent="0.25">
      <c r="A863" s="103"/>
      <c r="B863" s="104"/>
      <c r="C863" s="104"/>
      <c r="D863" s="104"/>
      <c r="E863" s="105"/>
      <c r="F863" s="104"/>
      <c r="G863" s="105"/>
      <c r="H863" s="106"/>
      <c r="I863" s="104"/>
      <c r="J863" s="106"/>
      <c r="K863" s="105"/>
    </row>
    <row r="864" spans="1:11" x14ac:dyDescent="0.25">
      <c r="A864" s="103"/>
      <c r="B864" s="104"/>
      <c r="C864" s="104"/>
      <c r="D864" s="104"/>
      <c r="E864" s="105"/>
      <c r="F864" s="104"/>
      <c r="G864" s="105"/>
      <c r="H864" s="106"/>
      <c r="I864" s="104"/>
      <c r="J864" s="106"/>
      <c r="K864" s="105"/>
    </row>
    <row r="865" spans="1:11" x14ac:dyDescent="0.25">
      <c r="A865" s="103"/>
      <c r="B865" s="104"/>
      <c r="C865" s="104"/>
      <c r="D865" s="104"/>
      <c r="E865" s="105"/>
      <c r="F865" s="104"/>
      <c r="G865" s="105"/>
      <c r="H865" s="106"/>
      <c r="I865" s="104"/>
      <c r="J865" s="106"/>
      <c r="K865" s="105"/>
    </row>
    <row r="866" spans="1:11" x14ac:dyDescent="0.25">
      <c r="A866" s="103"/>
      <c r="B866" s="104"/>
      <c r="C866" s="104"/>
      <c r="D866" s="104"/>
      <c r="E866" s="105"/>
      <c r="F866" s="104"/>
      <c r="G866" s="105"/>
      <c r="H866" s="106"/>
      <c r="I866" s="104"/>
      <c r="J866" s="106"/>
      <c r="K866" s="105"/>
    </row>
    <row r="867" spans="1:11" x14ac:dyDescent="0.25">
      <c r="A867" s="103"/>
      <c r="B867" s="104"/>
      <c r="C867" s="104"/>
      <c r="D867" s="104"/>
      <c r="E867" s="105"/>
      <c r="F867" s="104"/>
      <c r="G867" s="105"/>
      <c r="H867" s="106"/>
      <c r="I867" s="104"/>
      <c r="J867" s="106"/>
      <c r="K867" s="105"/>
    </row>
    <row r="868" spans="1:11" x14ac:dyDescent="0.25">
      <c r="A868" s="103"/>
      <c r="B868" s="104"/>
      <c r="C868" s="104"/>
      <c r="D868" s="104"/>
      <c r="E868" s="105"/>
      <c r="F868" s="104"/>
      <c r="G868" s="105"/>
      <c r="H868" s="106"/>
      <c r="I868" s="104"/>
      <c r="J868" s="106"/>
      <c r="K868" s="105"/>
    </row>
    <row r="869" spans="1:11" x14ac:dyDescent="0.25">
      <c r="A869" s="103"/>
      <c r="B869" s="104"/>
      <c r="C869" s="104"/>
      <c r="D869" s="104"/>
      <c r="E869" s="105"/>
      <c r="F869" s="104"/>
      <c r="G869" s="105"/>
      <c r="H869" s="106"/>
      <c r="I869" s="104"/>
      <c r="J869" s="106"/>
      <c r="K869" s="105"/>
    </row>
    <row r="870" spans="1:11" x14ac:dyDescent="0.25">
      <c r="A870" s="103"/>
      <c r="B870" s="104"/>
      <c r="C870" s="104"/>
      <c r="D870" s="104"/>
      <c r="E870" s="105"/>
      <c r="F870" s="104"/>
      <c r="G870" s="105"/>
      <c r="H870" s="106"/>
      <c r="I870" s="104"/>
      <c r="J870" s="106"/>
      <c r="K870" s="105"/>
    </row>
    <row r="871" spans="1:11" x14ac:dyDescent="0.25">
      <c r="A871" s="103"/>
      <c r="B871" s="104"/>
      <c r="C871" s="104"/>
      <c r="D871" s="104"/>
      <c r="E871" s="105"/>
      <c r="F871" s="104"/>
      <c r="G871" s="105"/>
      <c r="H871" s="106"/>
      <c r="I871" s="104"/>
      <c r="J871" s="106"/>
      <c r="K871" s="105"/>
    </row>
    <row r="872" spans="1:11" x14ac:dyDescent="0.25">
      <c r="A872" s="103"/>
      <c r="B872" s="104"/>
      <c r="C872" s="104"/>
      <c r="D872" s="104"/>
      <c r="E872" s="105"/>
      <c r="F872" s="104"/>
      <c r="G872" s="105"/>
      <c r="H872" s="106"/>
      <c r="I872" s="104"/>
      <c r="J872" s="106"/>
      <c r="K872" s="105"/>
    </row>
    <row r="873" spans="1:11" x14ac:dyDescent="0.25">
      <c r="A873" s="103"/>
      <c r="B873" s="104"/>
      <c r="C873" s="104"/>
      <c r="D873" s="104"/>
      <c r="E873" s="105"/>
      <c r="F873" s="104"/>
      <c r="G873" s="105"/>
      <c r="H873" s="106"/>
      <c r="I873" s="104"/>
      <c r="J873" s="106"/>
      <c r="K873" s="105"/>
    </row>
    <row r="874" spans="1:11" x14ac:dyDescent="0.25">
      <c r="A874" s="103"/>
      <c r="B874" s="104"/>
      <c r="C874" s="104"/>
      <c r="D874" s="104"/>
      <c r="E874" s="105"/>
      <c r="F874" s="104"/>
      <c r="G874" s="105"/>
      <c r="H874" s="106"/>
      <c r="I874" s="104"/>
      <c r="J874" s="106"/>
      <c r="K874" s="105"/>
    </row>
    <row r="875" spans="1:11" x14ac:dyDescent="0.25">
      <c r="A875" s="103"/>
      <c r="B875" s="104"/>
      <c r="C875" s="104"/>
      <c r="D875" s="104"/>
      <c r="E875" s="105"/>
      <c r="F875" s="104"/>
      <c r="G875" s="105"/>
      <c r="H875" s="106"/>
      <c r="I875" s="104"/>
      <c r="J875" s="106"/>
      <c r="K875" s="105"/>
    </row>
    <row r="876" spans="1:11" x14ac:dyDescent="0.25">
      <c r="A876" s="103"/>
      <c r="B876" s="104"/>
      <c r="C876" s="104"/>
      <c r="D876" s="104"/>
      <c r="E876" s="105"/>
      <c r="F876" s="104"/>
      <c r="G876" s="105"/>
      <c r="H876" s="106"/>
      <c r="I876" s="104"/>
      <c r="J876" s="106"/>
      <c r="K876" s="105"/>
    </row>
    <row r="877" spans="1:11" x14ac:dyDescent="0.25">
      <c r="A877" s="103"/>
      <c r="B877" s="104"/>
      <c r="C877" s="104"/>
      <c r="D877" s="104"/>
      <c r="E877" s="105"/>
      <c r="F877" s="104"/>
      <c r="G877" s="105"/>
      <c r="H877" s="106"/>
      <c r="I877" s="104"/>
      <c r="J877" s="106"/>
      <c r="K877" s="105"/>
    </row>
    <row r="878" spans="1:11" x14ac:dyDescent="0.25">
      <c r="A878" s="103"/>
      <c r="B878" s="104"/>
      <c r="C878" s="104"/>
      <c r="D878" s="104"/>
      <c r="E878" s="105"/>
      <c r="F878" s="104"/>
      <c r="G878" s="105"/>
      <c r="H878" s="106"/>
      <c r="I878" s="104"/>
      <c r="J878" s="106"/>
      <c r="K878" s="105"/>
    </row>
    <row r="879" spans="1:11" x14ac:dyDescent="0.25">
      <c r="A879" s="103"/>
      <c r="B879" s="104"/>
      <c r="C879" s="104"/>
      <c r="D879" s="104"/>
      <c r="E879" s="105"/>
      <c r="F879" s="104"/>
      <c r="G879" s="105"/>
      <c r="H879" s="106"/>
      <c r="I879" s="104"/>
      <c r="J879" s="106"/>
      <c r="K879" s="105"/>
    </row>
    <row r="880" spans="1:11" x14ac:dyDescent="0.25">
      <c r="A880" s="103"/>
      <c r="B880" s="104"/>
      <c r="C880" s="104"/>
      <c r="D880" s="104"/>
      <c r="E880" s="105"/>
      <c r="F880" s="104"/>
      <c r="G880" s="105"/>
      <c r="H880" s="106"/>
      <c r="I880" s="104"/>
      <c r="J880" s="106"/>
      <c r="K880" s="105"/>
    </row>
    <row r="881" spans="1:11" x14ac:dyDescent="0.25">
      <c r="A881" s="103"/>
      <c r="B881" s="104"/>
      <c r="C881" s="104"/>
      <c r="D881" s="104"/>
      <c r="E881" s="105"/>
      <c r="F881" s="104"/>
      <c r="G881" s="105"/>
      <c r="H881" s="106"/>
      <c r="I881" s="104"/>
      <c r="J881" s="106"/>
      <c r="K881" s="105"/>
    </row>
    <row r="882" spans="1:11" x14ac:dyDescent="0.25">
      <c r="A882" s="103"/>
      <c r="B882" s="104"/>
      <c r="C882" s="104"/>
      <c r="D882" s="104"/>
      <c r="E882" s="105"/>
      <c r="F882" s="104"/>
      <c r="G882" s="105"/>
      <c r="H882" s="106"/>
      <c r="I882" s="104"/>
      <c r="J882" s="106"/>
      <c r="K882" s="105"/>
    </row>
    <row r="883" spans="1:11" x14ac:dyDescent="0.25">
      <c r="A883" s="103"/>
      <c r="B883" s="104"/>
      <c r="C883" s="104"/>
      <c r="D883" s="104"/>
      <c r="E883" s="105"/>
      <c r="F883" s="104"/>
      <c r="G883" s="105"/>
      <c r="H883" s="106"/>
      <c r="I883" s="104"/>
      <c r="J883" s="106"/>
      <c r="K883" s="105"/>
    </row>
    <row r="884" spans="1:11" x14ac:dyDescent="0.25">
      <c r="A884" s="103"/>
      <c r="B884" s="104"/>
      <c r="C884" s="104"/>
      <c r="D884" s="104"/>
      <c r="E884" s="105"/>
      <c r="F884" s="104"/>
      <c r="G884" s="105"/>
      <c r="H884" s="106"/>
      <c r="I884" s="104"/>
      <c r="J884" s="106"/>
      <c r="K884" s="105"/>
    </row>
    <row r="885" spans="1:11" x14ac:dyDescent="0.25">
      <c r="A885" s="103"/>
      <c r="B885" s="104"/>
      <c r="C885" s="104"/>
      <c r="D885" s="104"/>
      <c r="E885" s="105"/>
      <c r="F885" s="104"/>
      <c r="G885" s="105"/>
      <c r="H885" s="106"/>
      <c r="I885" s="104"/>
      <c r="J885" s="106"/>
      <c r="K885" s="105"/>
    </row>
    <row r="886" spans="1:11" x14ac:dyDescent="0.25">
      <c r="A886" s="103"/>
      <c r="B886" s="104"/>
      <c r="C886" s="104"/>
      <c r="D886" s="104"/>
      <c r="E886" s="105"/>
      <c r="F886" s="104"/>
      <c r="G886" s="105"/>
      <c r="H886" s="106"/>
      <c r="I886" s="104"/>
      <c r="J886" s="106"/>
      <c r="K886" s="105"/>
    </row>
    <row r="887" spans="1:11" x14ac:dyDescent="0.25">
      <c r="A887" s="103"/>
      <c r="B887" s="104"/>
      <c r="C887" s="104"/>
      <c r="D887" s="104"/>
      <c r="E887" s="105"/>
      <c r="F887" s="104"/>
      <c r="G887" s="105"/>
      <c r="H887" s="106"/>
      <c r="I887" s="104"/>
      <c r="J887" s="106"/>
      <c r="K887" s="105"/>
    </row>
    <row r="888" spans="1:11" x14ac:dyDescent="0.25">
      <c r="A888" s="103"/>
      <c r="B888" s="104"/>
      <c r="C888" s="104"/>
      <c r="D888" s="104"/>
      <c r="E888" s="105"/>
      <c r="F888" s="104"/>
      <c r="G888" s="105"/>
      <c r="H888" s="106"/>
      <c r="I888" s="104"/>
      <c r="J888" s="106"/>
      <c r="K888" s="105"/>
    </row>
    <row r="889" spans="1:11" x14ac:dyDescent="0.25">
      <c r="A889" s="103"/>
      <c r="B889" s="104"/>
      <c r="C889" s="104"/>
      <c r="D889" s="104"/>
      <c r="E889" s="105"/>
      <c r="F889" s="104"/>
      <c r="G889" s="105"/>
      <c r="H889" s="106"/>
      <c r="I889" s="104"/>
      <c r="J889" s="106"/>
      <c r="K889" s="105"/>
    </row>
    <row r="890" spans="1:11" x14ac:dyDescent="0.25">
      <c r="A890" s="103"/>
      <c r="B890" s="104"/>
      <c r="C890" s="104"/>
      <c r="D890" s="104"/>
      <c r="E890" s="105"/>
      <c r="F890" s="104"/>
      <c r="G890" s="105"/>
      <c r="H890" s="106"/>
      <c r="I890" s="104"/>
      <c r="J890" s="106"/>
      <c r="K890" s="105"/>
    </row>
    <row r="891" spans="1:11" x14ac:dyDescent="0.25">
      <c r="A891" s="103"/>
      <c r="B891" s="104"/>
      <c r="C891" s="104"/>
      <c r="D891" s="104"/>
      <c r="E891" s="105"/>
      <c r="F891" s="104"/>
      <c r="G891" s="105"/>
      <c r="H891" s="106"/>
      <c r="I891" s="104"/>
      <c r="J891" s="106"/>
      <c r="K891" s="10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mac_plus</vt:lpstr>
      <vt:lpstr>Klein ISD multiple costs </vt:lpstr>
      <vt:lpstr>APP_DATE</vt:lpstr>
      <vt:lpstr>Funded Applications</vt:lpstr>
      <vt:lpstr>Unfunded Applications</vt:lpstr>
      <vt:lpstr>APP_DATE</vt:lpstr>
      <vt:lpstr>'Funded Applications'!FINAL_08022016_ex_b</vt:lpstr>
      <vt:lpstr>'Unfunded Applications'!FINAL_08022016_ex_b</vt:lpstr>
      <vt:lpstr>mac_plus</vt:lpstr>
      <vt:lpstr>'Funded Applications'!Print_Area</vt:lpstr>
      <vt:lpstr>'Unfunded Applications'!Print_Area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Doug</dc:creator>
  <cp:lastModifiedBy>Copeland, Amy</cp:lastModifiedBy>
  <cp:lastPrinted>2016-08-08T19:46:04Z</cp:lastPrinted>
  <dcterms:created xsi:type="dcterms:W3CDTF">2016-07-14T13:13:27Z</dcterms:created>
  <dcterms:modified xsi:type="dcterms:W3CDTF">2017-09-05T16:26:54Z</dcterms:modified>
</cp:coreProperties>
</file>