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60" windowWidth="12120" windowHeight="6075" tabRatio="769" activeTab="1"/>
  </bookViews>
  <sheets>
    <sheet name="INSTRUCTIONS" sheetId="1" r:id="rId1"/>
    <sheet name="ENROLLMENT" sheetId="2" r:id="rId2"/>
    <sheet name="MAINFRAME WHATIF" sheetId="3" state="hidden" r:id="rId3"/>
    <sheet name="STATE AVG " sheetId="4" r:id="rId4"/>
    <sheet name="RESIDENT DISTRICT" sheetId="5" r:id="rId5"/>
    <sheet name="RISD1-8" sheetId="6" r:id="rId6"/>
    <sheet name="RISD9-16" sheetId="7" r:id="rId7"/>
    <sheet name="RISD17-24" sheetId="8" r:id="rId8"/>
    <sheet name="RISD25-32" sheetId="9" r:id="rId9"/>
    <sheet name="RISD33-40" sheetId="10" r:id="rId10"/>
    <sheet name="FSPVAR" sheetId="11" r:id="rId11"/>
    <sheet name="ALLCHARTERS" sheetId="12" r:id="rId12"/>
    <sheet name="ESTIMATE EXTRACT" sheetId="13" state="hidden" r:id="rId13"/>
  </sheets>
  <definedNames>
    <definedName name="_cdn1">'MAINFRAME WHATIF'!$C$3</definedName>
    <definedName name="_cdn10">'MAINFRAME WHATIF'!$C$12</definedName>
    <definedName name="_cdn11">'MAINFRAME WHATIF'!$C$13</definedName>
    <definedName name="_cdn12">'MAINFRAME WHATIF'!$C$14</definedName>
    <definedName name="_cdn13">'MAINFRAME WHATIF'!$C$15</definedName>
    <definedName name="_cdn14">'MAINFRAME WHATIF'!$C$16</definedName>
    <definedName name="_cdn15">'MAINFRAME WHATIF'!$C$17</definedName>
    <definedName name="_cdn16">'MAINFRAME WHATIF'!$C$18</definedName>
    <definedName name="_cdn17">'MAINFRAME WHATIF'!$C$19</definedName>
    <definedName name="_cdn18">'MAINFRAME WHATIF'!$C$20</definedName>
    <definedName name="_cdn19">'MAINFRAME WHATIF'!$C$21</definedName>
    <definedName name="_cdn2">'MAINFRAME WHATIF'!$C$4</definedName>
    <definedName name="_cdn20">'MAINFRAME WHATIF'!$C$22</definedName>
    <definedName name="_cdn21">'MAINFRAME WHATIF'!$C$23</definedName>
    <definedName name="_cdn22">'MAINFRAME WHATIF'!$C$24</definedName>
    <definedName name="_cdn23">'MAINFRAME WHATIF'!$C$25</definedName>
    <definedName name="_cdn24">'MAINFRAME WHATIF'!$C$26</definedName>
    <definedName name="_cdn25">'MAINFRAME WHATIF'!$C$27</definedName>
    <definedName name="_cdn26">'MAINFRAME WHATIF'!$C$28</definedName>
    <definedName name="_cdn27">'MAINFRAME WHATIF'!$C$29</definedName>
    <definedName name="_cdn28">'MAINFRAME WHATIF'!$C$30</definedName>
    <definedName name="_cdn29">'MAINFRAME WHATIF'!$C$31</definedName>
    <definedName name="_cdn3">'MAINFRAME WHATIF'!$C$5</definedName>
    <definedName name="_cdn30">'MAINFRAME WHATIF'!$C$32</definedName>
    <definedName name="_cdn31">'MAINFRAME WHATIF'!$C$33</definedName>
    <definedName name="_cdn32">'MAINFRAME WHATIF'!$C$34</definedName>
    <definedName name="_cdn33">'MAINFRAME WHATIF'!$C$35</definedName>
    <definedName name="_cdn34">'MAINFRAME WHATIF'!$C$36</definedName>
    <definedName name="_cdn35">'MAINFRAME WHATIF'!$C$37</definedName>
    <definedName name="_cdn36">'MAINFRAME WHATIF'!$C$38</definedName>
    <definedName name="_cdn37">'MAINFRAME WHATIF'!$C$39</definedName>
    <definedName name="_cdn38">'MAINFRAME WHATIF'!$C$40</definedName>
    <definedName name="_cdn39">'MAINFRAME WHATIF'!$C$41</definedName>
    <definedName name="_cdn4">'MAINFRAME WHATIF'!$C$6</definedName>
    <definedName name="_cdn40">'MAINFRAME WHATIF'!$C$42</definedName>
    <definedName name="_cdn5">'MAINFRAME WHATIF'!$C$7</definedName>
    <definedName name="_cdn6">'MAINFRAME WHATIF'!$C$8</definedName>
    <definedName name="_cdn7">'MAINFRAME WHATIF'!$C$9</definedName>
    <definedName name="_cdn8">'MAINFRAME WHATIF'!$C$10</definedName>
    <definedName name="_cdn9">'MAINFRAME WHATIF'!$C$11</definedName>
    <definedName name="admin">'MAINFRAME WHATIF'!$A$1</definedName>
    <definedName name="data">'RISD1-8'!$B$6:$I$29</definedName>
    <definedName name="data2">'RISD9-16'!$B$6:$I$29</definedName>
    <definedName name="data3">'RISD17-24'!$B$6:$I$29</definedName>
    <definedName name="data4">'RISD25-32'!$B$6:$I$29</definedName>
    <definedName name="data5">'RISD33-40'!$B$6:$I$29</definedName>
    <definedName name="isdcdn">#REF!</definedName>
    <definedName name="_xlnm.Print_Area" localSheetId="11">'ALLCHARTERS'!$A$1:$F$194</definedName>
    <definedName name="_xlnm.Print_Area" localSheetId="1">'ENROLLMENT'!$A$1:$AP$44</definedName>
    <definedName name="_xlnm.Print_Area" localSheetId="4">'RESIDENT DISTRICT'!$A$1:$F$87</definedName>
    <definedName name="_xlnm.Print_Area" localSheetId="7">'RISD17-24'!$A$1:$J$73</definedName>
    <definedName name="_xlnm.Print_Area" localSheetId="5">'RISD1-8'!$A$1:$J$73</definedName>
    <definedName name="_xlnm.Print_Area" localSheetId="8">'RISD25-32'!$A$1:$J$73</definedName>
    <definedName name="_xlnm.Print_Area" localSheetId="9">'RISD33-40'!$A$1:$J$73</definedName>
    <definedName name="_xlnm.Print_Area" localSheetId="6">'RISD9-16'!$A$1:$J$73</definedName>
    <definedName name="_xlnm.Print_Area" localSheetId="3">'STATE AVG '!$A$1:$D$84</definedName>
    <definedName name="_xlnm.Print_Titles" localSheetId="11">'ALLCHARTERS'!$1:$2</definedName>
    <definedName name="_xlnm.Print_Titles" localSheetId="1">'ENROLLMENT'!$A:$A,'ENROLLMENT'!$1:$3</definedName>
    <definedName name="_xlnm.Print_Titles" localSheetId="0">'INSTRUCTIONS'!$1:$1</definedName>
    <definedName name="_xlnm.Print_Titles" localSheetId="7">'RISD17-24'!$1:$6</definedName>
    <definedName name="_xlnm.Print_Titles" localSheetId="5">'RISD1-8'!$1:$6</definedName>
    <definedName name="_xlnm.Print_Titles" localSheetId="8">'RISD25-32'!$1:$6</definedName>
    <definedName name="_xlnm.Print_Titles" localSheetId="9">'RISD33-40'!$1:$6</definedName>
    <definedName name="_xlnm.Print_Titles" localSheetId="6">'RISD9-16'!$1:$6</definedName>
    <definedName name="whatif">'MAINFRAME WHATIF'!$C$3:$W$42</definedName>
  </definedNames>
  <calcPr fullCalcOnLoad="1"/>
</workbook>
</file>

<file path=xl/comments10.xml><?xml version="1.0" encoding="utf-8"?>
<comments xmlns="http://schemas.openxmlformats.org/spreadsheetml/2006/main">
  <authors>
    <author>nrainey</author>
  </authors>
  <commentList>
    <comment ref="B7" authorId="0">
      <text>
        <r>
          <rPr>
            <b/>
            <sz val="7.5"/>
            <rFont val="Tahoma"/>
            <family val="2"/>
          </rPr>
          <t xml:space="preserve">ENTER THE DATA FROM ROWS 7-27; COLUMNS B-I INTO THE FSP PAYMENT SYSTEM - ESTIMATE MODULE AND SEND BY </t>
        </r>
        <r>
          <rPr>
            <b/>
            <sz val="7.5"/>
            <color indexed="12"/>
            <rFont val="Tahoma"/>
            <family val="2"/>
          </rPr>
          <t>AUGUST 22, 2008.</t>
        </r>
        <r>
          <rPr>
            <b/>
            <sz val="7.5"/>
            <rFont val="Tahoma"/>
            <family val="2"/>
          </rPr>
          <t xml:space="preserve">  DON'T FORGET TO </t>
        </r>
        <r>
          <rPr>
            <b/>
            <u val="single"/>
            <sz val="7.5"/>
            <rFont val="Tahoma"/>
            <family val="2"/>
          </rPr>
          <t>SEND SIGNED COPY VIA US MAIL</t>
        </r>
        <r>
          <rPr>
            <b/>
            <sz val="7.5"/>
            <rFont val="Tahoma"/>
            <family val="2"/>
          </rPr>
          <t xml:space="preserve"> OR FSP ESTIMATE WILL NOT BE PROCESSED.</t>
        </r>
        <r>
          <rPr>
            <sz val="7"/>
            <rFont val="Tahoma"/>
            <family val="2"/>
          </rPr>
          <t xml:space="preserve">
</t>
        </r>
      </text>
    </comment>
  </commentList>
</comments>
</file>

<file path=xl/comments4.xml><?xml version="1.0" encoding="utf-8"?>
<comments xmlns="http://schemas.openxmlformats.org/spreadsheetml/2006/main">
  <authors>
    <author>nrainey</author>
  </authors>
  <commentList>
    <comment ref="B7" authorId="0">
      <text>
        <r>
          <rPr>
            <b/>
            <sz val="8"/>
            <rFont val="Tahoma"/>
            <family val="2"/>
          </rPr>
          <t xml:space="preserve">ENTER THE DATA FROM ROWS 7-27 INTO THE
FSP PAYMENT SYSTEM - ESTIMATE MODULE AND SEND BY </t>
        </r>
        <r>
          <rPr>
            <b/>
            <sz val="8"/>
            <color indexed="12"/>
            <rFont val="Tahoma"/>
            <family val="2"/>
          </rPr>
          <t>AUGUST 22, 2008</t>
        </r>
        <r>
          <rPr>
            <b/>
            <sz val="8"/>
            <rFont val="Tahoma"/>
            <family val="2"/>
          </rPr>
          <t xml:space="preserve">.  DON'T FORGET TO </t>
        </r>
        <r>
          <rPr>
            <b/>
            <u val="single"/>
            <sz val="8"/>
            <rFont val="Tahoma"/>
            <family val="2"/>
          </rPr>
          <t>SEND SIGNED COPY VIA US MAIL</t>
        </r>
        <r>
          <rPr>
            <b/>
            <sz val="8"/>
            <rFont val="Tahoma"/>
            <family val="2"/>
          </rPr>
          <t xml:space="preserve"> OR FSP ESTIMATE WILL NOT BE PROCESSED.</t>
        </r>
        <r>
          <rPr>
            <sz val="8"/>
            <rFont val="Tahoma"/>
            <family val="2"/>
          </rPr>
          <t xml:space="preserve">
</t>
        </r>
      </text>
    </comment>
  </commentList>
</comments>
</file>

<file path=xl/comments6.xml><?xml version="1.0" encoding="utf-8"?>
<comments xmlns="http://schemas.openxmlformats.org/spreadsheetml/2006/main">
  <authors>
    <author>nrainey</author>
  </authors>
  <commentList>
    <comment ref="B7" authorId="0">
      <text>
        <r>
          <rPr>
            <b/>
            <sz val="7.5"/>
            <rFont val="Tahoma"/>
            <family val="2"/>
          </rPr>
          <t xml:space="preserve">ENTER THE DATA FROM ROWS 7-27; COLUMNS B-I INTO THE FSP PAYMENT SYSTEM - ESTIMATE MODULE AND SEND BY </t>
        </r>
        <r>
          <rPr>
            <b/>
            <sz val="7.5"/>
            <color indexed="12"/>
            <rFont val="Tahoma"/>
            <family val="2"/>
          </rPr>
          <t>AUGUST 22, 2008.</t>
        </r>
        <r>
          <rPr>
            <b/>
            <sz val="7.5"/>
            <rFont val="Tahoma"/>
            <family val="2"/>
          </rPr>
          <t xml:space="preserve">  DON'T FORGET TO </t>
        </r>
        <r>
          <rPr>
            <b/>
            <u val="single"/>
            <sz val="7.5"/>
            <rFont val="Tahoma"/>
            <family val="2"/>
          </rPr>
          <t>SEND SIGNED COPY VIA US MAIL</t>
        </r>
        <r>
          <rPr>
            <b/>
            <sz val="7.5"/>
            <rFont val="Tahoma"/>
            <family val="2"/>
          </rPr>
          <t xml:space="preserve"> OR FSP ESTIMATE WILL NOT BE PROCESSED.</t>
        </r>
        <r>
          <rPr>
            <sz val="7"/>
            <rFont val="Tahoma"/>
            <family val="2"/>
          </rPr>
          <t xml:space="preserve">
</t>
        </r>
      </text>
    </comment>
  </commentList>
</comments>
</file>

<file path=xl/comments7.xml><?xml version="1.0" encoding="utf-8"?>
<comments xmlns="http://schemas.openxmlformats.org/spreadsheetml/2006/main">
  <authors>
    <author>nrainey</author>
  </authors>
  <commentList>
    <comment ref="B7" authorId="0">
      <text>
        <r>
          <rPr>
            <b/>
            <sz val="7.5"/>
            <rFont val="Tahoma"/>
            <family val="2"/>
          </rPr>
          <t xml:space="preserve">ENTER THE DATA FROM ROWS 7-27; COLUMNS B-I INTO THE FSP PAYMENT SYSTEM - ESTIMATE MODULE AND SEND BY </t>
        </r>
        <r>
          <rPr>
            <b/>
            <sz val="7.5"/>
            <color indexed="12"/>
            <rFont val="Tahoma"/>
            <family val="2"/>
          </rPr>
          <t>AUGUST 22, 2008.</t>
        </r>
        <r>
          <rPr>
            <b/>
            <sz val="7.5"/>
            <rFont val="Tahoma"/>
            <family val="2"/>
          </rPr>
          <t xml:space="preserve">  DON'T FORGET TO </t>
        </r>
        <r>
          <rPr>
            <b/>
            <u val="single"/>
            <sz val="7.5"/>
            <rFont val="Tahoma"/>
            <family val="2"/>
          </rPr>
          <t>SEND SIGNED COPY VIA US MAIL</t>
        </r>
        <r>
          <rPr>
            <b/>
            <sz val="7.5"/>
            <rFont val="Tahoma"/>
            <family val="2"/>
          </rPr>
          <t xml:space="preserve"> OR FSP ESTIMATE WILL NOT BE PROCESSED.</t>
        </r>
        <r>
          <rPr>
            <sz val="7"/>
            <rFont val="Tahoma"/>
            <family val="2"/>
          </rPr>
          <t xml:space="preserve">
</t>
        </r>
      </text>
    </comment>
  </commentList>
</comments>
</file>

<file path=xl/comments8.xml><?xml version="1.0" encoding="utf-8"?>
<comments xmlns="http://schemas.openxmlformats.org/spreadsheetml/2006/main">
  <authors>
    <author>nrainey</author>
  </authors>
  <commentList>
    <comment ref="B7" authorId="0">
      <text>
        <r>
          <rPr>
            <b/>
            <sz val="7.5"/>
            <rFont val="Tahoma"/>
            <family val="2"/>
          </rPr>
          <t xml:space="preserve">ENTER THE DATA FROM ROWS 7-27; COLUMNS B-I INTO THE FSP PAYMENT SYSTEM - ESTIMATE MODULE AND SEND BY </t>
        </r>
        <r>
          <rPr>
            <b/>
            <sz val="7.5"/>
            <color indexed="12"/>
            <rFont val="Tahoma"/>
            <family val="2"/>
          </rPr>
          <t>AUGUST 22, 2008.</t>
        </r>
        <r>
          <rPr>
            <b/>
            <sz val="7.5"/>
            <rFont val="Tahoma"/>
            <family val="2"/>
          </rPr>
          <t xml:space="preserve">  DON'T FORGET TO </t>
        </r>
        <r>
          <rPr>
            <b/>
            <u val="single"/>
            <sz val="7.5"/>
            <rFont val="Tahoma"/>
            <family val="2"/>
          </rPr>
          <t>SEND SIGNED COPY VIA US MAIL</t>
        </r>
        <r>
          <rPr>
            <b/>
            <sz val="7.5"/>
            <rFont val="Tahoma"/>
            <family val="2"/>
          </rPr>
          <t xml:space="preserve"> OR FSP ESTIMATE WILL NOT BE PROCESSED.</t>
        </r>
        <r>
          <rPr>
            <sz val="7"/>
            <rFont val="Tahoma"/>
            <family val="2"/>
          </rPr>
          <t xml:space="preserve">
</t>
        </r>
      </text>
    </comment>
  </commentList>
</comments>
</file>

<file path=xl/comments9.xml><?xml version="1.0" encoding="utf-8"?>
<comments xmlns="http://schemas.openxmlformats.org/spreadsheetml/2006/main">
  <authors>
    <author>nrainey</author>
  </authors>
  <commentList>
    <comment ref="B7" authorId="0">
      <text>
        <r>
          <rPr>
            <b/>
            <sz val="7.5"/>
            <rFont val="Tahoma"/>
            <family val="2"/>
          </rPr>
          <t xml:space="preserve">ENTER THE DATA FROM ROWS 7-27; COLUMNS B-I INTO THE FSP PAYMENT SYSTEM - ESTIMATE MODULE AND SEND BY </t>
        </r>
        <r>
          <rPr>
            <b/>
            <sz val="7.5"/>
            <color indexed="12"/>
            <rFont val="Tahoma"/>
            <family val="2"/>
          </rPr>
          <t>AUGUST 22, 2008.</t>
        </r>
        <r>
          <rPr>
            <b/>
            <sz val="7.5"/>
            <rFont val="Tahoma"/>
            <family val="2"/>
          </rPr>
          <t xml:space="preserve">  DON'T FORGET TO </t>
        </r>
        <r>
          <rPr>
            <b/>
            <u val="single"/>
            <sz val="7.5"/>
            <rFont val="Tahoma"/>
            <family val="2"/>
          </rPr>
          <t>SEND SIGNED COPY VIA US MAIL</t>
        </r>
        <r>
          <rPr>
            <b/>
            <sz val="7.5"/>
            <rFont val="Tahoma"/>
            <family val="2"/>
          </rPr>
          <t xml:space="preserve"> OR FSP ESTIMATE WILL NOT BE PROCESSED.</t>
        </r>
        <r>
          <rPr>
            <sz val="7"/>
            <rFont val="Tahoma"/>
            <family val="2"/>
          </rPr>
          <t xml:space="preserve">
</t>
        </r>
      </text>
    </comment>
  </commentList>
</comments>
</file>

<file path=xl/sharedStrings.xml><?xml version="1.0" encoding="utf-8"?>
<sst xmlns="http://schemas.openxmlformats.org/spreadsheetml/2006/main" count="1945" uniqueCount="1182">
  <si>
    <t>WEST HOUSTON CHARTER SCHOOL</t>
  </si>
  <si>
    <t>GIRLS &amp; BOYS PREP ACADEMY</t>
  </si>
  <si>
    <t>RAUL YZAGUIRRE SCHOOL FOR SUCCESS</t>
  </si>
  <si>
    <t>BAY AREA CHARTER SCHOOL</t>
  </si>
  <si>
    <t>ACADEMY OF ACCELERATED LEARNING, INC</t>
  </si>
  <si>
    <t>HARRIS COUNTY JUVENILE JUSTICE CHARTER SCHOOL</t>
  </si>
  <si>
    <t>HOUSTON CAN ACADEMY CHARTER SCHOOL</t>
  </si>
  <si>
    <t>KIPP, INC CHARTER</t>
  </si>
  <si>
    <t>VARNETT CHARTER SCHOOL</t>
  </si>
  <si>
    <t>ALIEF MONTESSORI COMMUNITY SCHOOL</t>
  </si>
  <si>
    <t>% change</t>
  </si>
  <si>
    <t>Difference</t>
  </si>
  <si>
    <t>Explanation Required?</t>
  </si>
  <si>
    <t>Data in columns H-K only accurate for Charter School for which template is completed)</t>
  </si>
  <si>
    <t>Did Charter Holder Participate in TRS Active Care in 2005-06?</t>
  </si>
  <si>
    <r>
      <t xml:space="preserve">Was this Charter Holder in operation on 01/01/06? Type </t>
    </r>
    <r>
      <rPr>
        <b/>
        <sz val="11"/>
        <color indexed="8"/>
        <rFont val="Arial"/>
        <family val="2"/>
      </rPr>
      <t>YES</t>
    </r>
    <r>
      <rPr>
        <sz val="11"/>
        <color indexed="8"/>
        <rFont val="Arial"/>
        <family val="2"/>
      </rPr>
      <t xml:space="preserve"> or </t>
    </r>
    <r>
      <rPr>
        <b/>
        <sz val="11"/>
        <color indexed="8"/>
        <rFont val="Arial"/>
        <family val="2"/>
      </rPr>
      <t>NO.</t>
    </r>
  </si>
  <si>
    <t>Enter the number of full time staff (do not include administrators).</t>
  </si>
  <si>
    <t>Enter the number of part time staff (do not include administrators).</t>
  </si>
  <si>
    <t>ALPHONSO CRUTCH'S-LIFE SUPPORT CENTER</t>
  </si>
  <si>
    <t>BENJI'S SPECIAL EDUCATIONAL ACADEMY CHARTER SCHOOL</t>
  </si>
  <si>
    <t>JAMIE'S HOUSE CHARTER SCHOOL</t>
  </si>
  <si>
    <t>CHILDREN FIRST ACADEMY OF HOUSTON</t>
  </si>
  <si>
    <t>HOUSTON HEIGHTS LEARNING ACADEMY INC</t>
  </si>
  <si>
    <t>JESSE JACKSON ACADEMY</t>
  </si>
  <si>
    <t>LA AMISTAD LOVE &amp; LEARNING ACADEMY</t>
  </si>
  <si>
    <t>NORTH HOUSTON H S FOR BUSINESS</t>
  </si>
  <si>
    <t>TWO DIMENSIONS PREPARATORY ACADEMY</t>
  </si>
  <si>
    <t>COMQUEST ACADEMY</t>
  </si>
  <si>
    <t>GULF SHORES ACADEMY</t>
  </si>
  <si>
    <t>DISTRICT</t>
  </si>
  <si>
    <t>DST30010</t>
  </si>
  <si>
    <t>FACTOR</t>
  </si>
  <si>
    <t>M1</t>
  </si>
  <si>
    <t>M2</t>
  </si>
  <si>
    <t>ST_ABA</t>
  </si>
  <si>
    <t>ST_ALL</t>
  </si>
  <si>
    <t>ST_RTE</t>
  </si>
  <si>
    <t>State Average Basic Allotment</t>
  </si>
  <si>
    <t>HARMONY SCIENCE ACADEMY</t>
  </si>
  <si>
    <t>BEATRICE MAYES INSTITUTE CHARTER SCHOOL</t>
  </si>
  <si>
    <t>NORTHWEST PREPARATORY</t>
  </si>
  <si>
    <t>JUAN B GALAVIZ CHARTER SCHOOL</t>
  </si>
  <si>
    <t>RIPLEY HOUSE CHARTER SCHOOL</t>
  </si>
  <si>
    <t>DRAW ACADEMY</t>
  </si>
  <si>
    <t>KATHERINE ANNE PORTER SCHOOL</t>
  </si>
  <si>
    <t xml:space="preserve">RISD                </t>
  </si>
  <si>
    <t>High School ADA</t>
  </si>
  <si>
    <t>Highschool Allotment</t>
  </si>
  <si>
    <t>State Average DTR - Level I</t>
  </si>
  <si>
    <t>State Average DTR- Level I</t>
  </si>
  <si>
    <t>State Average DTR- Level II</t>
  </si>
  <si>
    <t>Superintendent Name (Please Print)</t>
  </si>
  <si>
    <t>Funding Formula</t>
  </si>
  <si>
    <t>CHARTER NAME</t>
  </si>
  <si>
    <t>CHARTER HOLDER</t>
  </si>
  <si>
    <t>Pineywoods Community Academy</t>
  </si>
  <si>
    <t>St. Mary's Charter School</t>
  </si>
  <si>
    <t>RICHARD MILBURN ALTER HIGH SCHOOL (KILLEEN)</t>
  </si>
  <si>
    <t>Richard Milburn Academy, Inc.</t>
  </si>
  <si>
    <t>Transformative Learning Systems</t>
  </si>
  <si>
    <t>TEMPLE EDUCATION CENTER</t>
  </si>
  <si>
    <t>Priority Systems</t>
  </si>
  <si>
    <t>CEDAR CREST SCHOOL</t>
  </si>
  <si>
    <t>Cedar Crest Foundation</t>
  </si>
  <si>
    <t>POR VIDA ACADEMY</t>
  </si>
  <si>
    <t>Por Vida, Inc.</t>
  </si>
  <si>
    <t>George Gervin Youth Center, Inc.</t>
  </si>
  <si>
    <t>HIGGS, CARTER, KING GIFTED &amp; TALENTED CHARTER ACAD</t>
  </si>
  <si>
    <t>Youth Empowerment Services, Inc.</t>
  </si>
  <si>
    <t>New Frontiers Charter School, Inc.</t>
  </si>
  <si>
    <t>School of Excellence in Education</t>
  </si>
  <si>
    <t>Southwest Winners Foundation, Inc.</t>
  </si>
  <si>
    <t>JOHN H WOOD JR PUBLIC CHARTER DISTRICT</t>
  </si>
  <si>
    <t>Educational Resource Center ,Inc(The</t>
  </si>
  <si>
    <t>BEXAR COUNTY ACADEMY</t>
  </si>
  <si>
    <t>Academy of America</t>
  </si>
  <si>
    <t>La Escuela de las Americas Public Charter School*</t>
  </si>
  <si>
    <t>Ass. for the Advancement of Mexican Americans*</t>
  </si>
  <si>
    <t>GUARDIAN ANGEL PERFORMANCE ARTS ACADEMY</t>
  </si>
  <si>
    <t>Guardian Angel Dance Studio, Inc.</t>
  </si>
  <si>
    <t>San Antonio Positive Solutions, Inc.</t>
  </si>
  <si>
    <t>Shekinah Learning Institute</t>
  </si>
  <si>
    <t>Academy of Careers and Technologies</t>
  </si>
  <si>
    <t>SAN ANTONIO CAN! HIGH SCHOOL</t>
  </si>
  <si>
    <t>America Can!</t>
  </si>
  <si>
    <t>SHEKINAH RADIANCE ACADEMY</t>
  </si>
  <si>
    <t>Democratic Schools Research Institute</t>
  </si>
  <si>
    <t>Jubilee Academic Center, Inc.</t>
  </si>
  <si>
    <t>SAN ANTONIO TECHNOLOGY  ACADEMY</t>
  </si>
  <si>
    <t>Center for Juvenile Management, Inc.</t>
  </si>
  <si>
    <t>SAN ANTONIO PREPARATORY ACADEMY</t>
  </si>
  <si>
    <t>Sendero Academy</t>
  </si>
  <si>
    <t>Imagine Educational Foundation</t>
  </si>
  <si>
    <t>KIPP ASPIRE ACADEMY</t>
  </si>
  <si>
    <t>KIPP Foundation</t>
  </si>
  <si>
    <t>SCHOOL OF SCIENCE AND TECHNOLOGY</t>
  </si>
  <si>
    <t>Riverwalk Education Foundation, Inc.</t>
  </si>
  <si>
    <t>HARMONY SCIENCE ACAD (SAN ANTONIO)</t>
  </si>
  <si>
    <t>Cosmos Foundation, Inc.</t>
  </si>
  <si>
    <t>Somerset Academy, Inc.</t>
  </si>
  <si>
    <t>Democratic Schools Research, Inc.</t>
  </si>
  <si>
    <t>Encino Save Our School Corporation</t>
  </si>
  <si>
    <t>Casa Gracia</t>
  </si>
  <si>
    <t>PEGASUS SCHOOL OF LIBERAL ARTS AND SCIENCES</t>
  </si>
  <si>
    <t>Genesis Schools</t>
  </si>
  <si>
    <t>NORTH HILLS SCHOOL, THE</t>
  </si>
  <si>
    <t>LIFT Education</t>
  </si>
  <si>
    <t>Neighbors United for Quality Education, Inc.</t>
  </si>
  <si>
    <t>EAGLE ADVANTAGE SCHOOLS</t>
  </si>
  <si>
    <t>Eagle Advantage Schools, Inc.</t>
  </si>
  <si>
    <t>LIFE SCHOOL</t>
  </si>
  <si>
    <t>LifeSchool of Dallas</t>
  </si>
  <si>
    <t>LTTS Charter School, Inc.</t>
  </si>
  <si>
    <t>NOVA ACADEMY (OAK CLIFF)</t>
  </si>
  <si>
    <t>Nova Charter School</t>
  </si>
  <si>
    <t>ACADEMY OF DALLAS</t>
  </si>
  <si>
    <t>Excellence 2000, Inc.</t>
  </si>
  <si>
    <t>TRINITY BASIN PREPARATORY</t>
  </si>
  <si>
    <t>Dallas County Juvenile Board</t>
  </si>
  <si>
    <t>Faith Family Kids, Inc.</t>
  </si>
  <si>
    <t>AW BROWN-FELLOWSHIP CHARTER SCHOOL</t>
  </si>
  <si>
    <t>A.W. Brown-Fellowship Charter School</t>
  </si>
  <si>
    <t>The Focus Learning Academy, Incorporated</t>
  </si>
  <si>
    <t>Jean Massieu Foundation</t>
  </si>
  <si>
    <t>Honors Academy</t>
  </si>
  <si>
    <t>NOVA ACADEMY (SOUTHEAST)</t>
  </si>
  <si>
    <t>Winfree Academy Charter School</t>
  </si>
  <si>
    <t>Rylie Family Faith Academy</t>
  </si>
  <si>
    <t>Gateway Charter Academy</t>
  </si>
  <si>
    <t>Alpha Academy</t>
  </si>
  <si>
    <t>ARISE *</t>
  </si>
  <si>
    <t>EVOLUTION ACADEMY</t>
  </si>
  <si>
    <t>Evolution Academy</t>
  </si>
  <si>
    <t>Golden Rule Schools Inc.</t>
  </si>
  <si>
    <t>ST ANTHONY SCHOOL</t>
  </si>
  <si>
    <t>St. Anthony Foundation</t>
  </si>
  <si>
    <t>La Academia de Estrellas</t>
  </si>
  <si>
    <t>RICHLAND COLLEGIATE HS OF MATH SCIENCE ENGINEERING</t>
  </si>
  <si>
    <t>EDUCATION CENTER</t>
  </si>
  <si>
    <t>Salvaging Teens at Risk, Inc.</t>
  </si>
  <si>
    <t>Richard Milburn Academy/Texas, Inc.</t>
  </si>
  <si>
    <t>El Paso Education Initiative, Inc. (The)</t>
  </si>
  <si>
    <t>PASO DEL NORTE</t>
  </si>
  <si>
    <t>Student Alternatives Program, Inc.</t>
  </si>
  <si>
    <t>EL PASO ACADEMY</t>
  </si>
  <si>
    <t>El Paso Academy, Inc.</t>
  </si>
  <si>
    <t>HARMONY SCIENCE ACAD (EL PASO)</t>
  </si>
  <si>
    <t>PARADIGM ACCELERATED CHARTER SCHOOL</t>
  </si>
  <si>
    <t>Paradigm Alternative School, Inc.</t>
  </si>
  <si>
    <t>ERATH EXCELS ACADEMY, INC.</t>
  </si>
  <si>
    <t>Erath Excels! Academy, Inc</t>
  </si>
  <si>
    <t>Partnership to Ensure the Acquisition of Knowledg*</t>
  </si>
  <si>
    <t>ODYSSEY ACADEMY, THE</t>
  </si>
  <si>
    <t>Odyssey 2020 Academy, Inc.</t>
  </si>
  <si>
    <t>EAST TEXAS CHARTER SCHOOLS</t>
  </si>
  <si>
    <t>Sails Forever</t>
  </si>
  <si>
    <t>Medical Center Charter Schools</t>
  </si>
  <si>
    <t>Ser-Ninos, Inc.</t>
  </si>
  <si>
    <t>West Houston Charter Alliance, Inc.</t>
  </si>
  <si>
    <t>GEORGE I SANCHEZ CHARTER</t>
  </si>
  <si>
    <t>Association for Development of Academic Excellence</t>
  </si>
  <si>
    <t>Tejano Center for Community Concerns, Inc.</t>
  </si>
  <si>
    <t>UNIVERSITY OF HOUSTON CHARTER SCHOOL</t>
  </si>
  <si>
    <t>University of Houston</t>
  </si>
  <si>
    <t>Bay Area Charter School, Inc.</t>
  </si>
  <si>
    <t>Academy of Accelerated Learning, Inc</t>
  </si>
  <si>
    <t>Harris County Juvenile Board</t>
  </si>
  <si>
    <t>Kipp, Inc.</t>
  </si>
  <si>
    <t>Varnett Schools, Inc. (The )</t>
  </si>
  <si>
    <t>Alief Montessori Community School</t>
  </si>
  <si>
    <t>Alphonso Crutch’s-“Life Support Center” Inc.</t>
  </si>
  <si>
    <t>AMIGOS POR VIDA-FRIENDS FOR LIFE PUBLIC CHARTER SC</t>
  </si>
  <si>
    <t>Amigos Por Vida-Friends for Life Housing and Ed*</t>
  </si>
  <si>
    <t>Benji's Special Educational Academy, Inc.</t>
  </si>
  <si>
    <t>HOUSTON HEIGHTS HIGH SCHOOL</t>
  </si>
  <si>
    <t>Foundation for Recovering Youth (The )</t>
  </si>
  <si>
    <t>Jamie's House Charter School, Inc.</t>
  </si>
  <si>
    <t>HOUSTON GATEWAY ACADEMY, INC.</t>
  </si>
  <si>
    <t>Houston Gateway Academy, Inc.</t>
  </si>
  <si>
    <t>Houston Heights Learning Academy, Inc. (The )</t>
  </si>
  <si>
    <t>YES Youth for Education &amp; Success, Inc.</t>
  </si>
  <si>
    <t>L. Lowell Byrd Memorial Educat. &amp; Com.  Dev. Corp*</t>
  </si>
  <si>
    <t>Because Education Matters</t>
  </si>
  <si>
    <t>CALVIN NELMS CHARTER SCHOOLS</t>
  </si>
  <si>
    <t>Calvin Nelms Charter High School</t>
  </si>
  <si>
    <t>SOUTHWEST SCHOOL</t>
  </si>
  <si>
    <t>Educational Leadership, Inc.</t>
  </si>
  <si>
    <t>Two Dimensions Preparatory Academy, Inc.</t>
  </si>
  <si>
    <t>Comquest Academy</t>
  </si>
  <si>
    <t>Gulf Shores Academy, Inc.</t>
  </si>
  <si>
    <t>Project YES, Inc.</t>
  </si>
  <si>
    <t>Wonderland Educational Estate Association, Inc.</t>
  </si>
  <si>
    <t>Miracle Educational Systems</t>
  </si>
  <si>
    <t>ACCELERATED INTERMEDIATE ACADEMY</t>
  </si>
  <si>
    <t>Accelerated Intermediate Academy</t>
  </si>
  <si>
    <t>ZOE LEARNING ACADEMY</t>
  </si>
  <si>
    <t>CAYUGA ISD</t>
  </si>
  <si>
    <t>ELKHART ISD</t>
  </si>
  <si>
    <t>FRANKSTON ISD</t>
  </si>
  <si>
    <t>NECHES ISD</t>
  </si>
  <si>
    <t>WESTWOOD ISD</t>
  </si>
  <si>
    <t>SLOCUM ISD</t>
  </si>
  <si>
    <t>HUDSON ISD</t>
  </si>
  <si>
    <t>LUFKIN ISD</t>
  </si>
  <si>
    <t>HUNTINGTON ISD</t>
  </si>
  <si>
    <t>DIBOLL ISD</t>
  </si>
  <si>
    <t>2007-08 FSP ADA as of July 7, 2008'</t>
  </si>
  <si>
    <t>2008-09        MAX ENROLL</t>
  </si>
  <si>
    <t>Enter the charter school's estimated percentage rate of attendance.  If the charter school was in operation in the 2007-2008 school year, a good guide for estimating the percentage rate of attendance for the 2008-2009 school year is the  2007-2008 Edit + PRF7D010 Report, or the 2007-08 FSP Track Projection of Submitted Reports.</t>
  </si>
  <si>
    <t>DANBURY ISD</t>
  </si>
  <si>
    <t>BROOKESMITH ISD</t>
  </si>
  <si>
    <t>CALDWELL ISD</t>
  </si>
  <si>
    <t>BAIRD ISD</t>
  </si>
  <si>
    <t>SHERMAN ISD</t>
  </si>
  <si>
    <t>SILSBEE ISD</t>
  </si>
  <si>
    <t>LUMBERTON ISD</t>
  </si>
  <si>
    <t>CROSBY ISD</t>
  </si>
  <si>
    <t>ITASCA ISD</t>
  </si>
  <si>
    <t>AXTELL ISD</t>
  </si>
  <si>
    <t>MULLIN ISD</t>
  </si>
  <si>
    <t>GARRISON ISD</t>
  </si>
  <si>
    <t>BRIDGE CITY ISD</t>
  </si>
  <si>
    <t>POOLVILLE ISD</t>
  </si>
  <si>
    <t>SPRINGTOWN ISD</t>
  </si>
  <si>
    <t>MILLSAP ISD</t>
  </si>
  <si>
    <t>PEASTER ISD</t>
  </si>
  <si>
    <t>COUPLAND ISD</t>
  </si>
  <si>
    <t>BRIDGEPORT ISD</t>
  </si>
  <si>
    <t>PARADISE ISD</t>
  </si>
  <si>
    <t xml:space="preserve">Enter the data from rows 7-27 of the STATE AVG page into the FSP PAYMENT SYSTEM-ESTIMATE MODULE and send by AUGUST 22, 2008. </t>
  </si>
  <si>
    <t>Mail the signed and completed STATE AVG and ENROLLMENT pages by AUGUST 22, 2008 to:</t>
  </si>
  <si>
    <t>Division of State Funding, Room 6-120</t>
  </si>
  <si>
    <t>Texas Education Agency, William B. Travis Building</t>
  </si>
  <si>
    <t>1701 N. Congress Avenue</t>
  </si>
  <si>
    <t>Austin, TX 78701-1494</t>
  </si>
  <si>
    <t xml:space="preserve">Enter the data from rows 7-27; columns B-I of the RISD page(s) applicable into the FSP PAYMENT SYSTEM-ESTIMATE MODULE and send by AUGUST 22, 2008. </t>
  </si>
  <si>
    <t>Mail the signed and completed ENROLLMENT, RESIDENT DISTRICT AND RISD pages by AUGUST 22, 2008 to:</t>
  </si>
  <si>
    <t>960 Enrollment Increase</t>
  </si>
  <si>
    <t>School of Science and Technology Discovery</t>
  </si>
  <si>
    <t xml:space="preserve">Riverwalk Education Foundation, Inc. </t>
  </si>
  <si>
    <t>New 2008-09</t>
  </si>
  <si>
    <t xml:space="preserve">Harmony Science Academy-Brownsville </t>
  </si>
  <si>
    <t>RECONCILIATION  ACADEMY</t>
  </si>
  <si>
    <t>RECONCILIATION SCHOLAR'S ACADEMY, INC.</t>
  </si>
  <si>
    <t>Williams Preparatory</t>
  </si>
  <si>
    <t>Uplift Education</t>
  </si>
  <si>
    <t>Hampton Preparatory</t>
  </si>
  <si>
    <t>4000 Enrollment Increase</t>
  </si>
  <si>
    <t>250 Enrollment Increase</t>
  </si>
  <si>
    <t>1650 Enrollment Increase</t>
  </si>
  <si>
    <t>Harmony School of Science-Houston</t>
  </si>
  <si>
    <t>MeadowLand Charter School</t>
  </si>
  <si>
    <t>Roy Maas' Youth Alternatives, Inc.</t>
  </si>
  <si>
    <t>300 Enrollment Increase</t>
  </si>
  <si>
    <t>Stephen F. Austin State University Charter School</t>
  </si>
  <si>
    <t>Stephen F. Austin State University</t>
  </si>
  <si>
    <t>Chapel Hill Academy</t>
  </si>
  <si>
    <t xml:space="preserve">Lena Pope Home, Inc. </t>
  </si>
  <si>
    <t>Summit International Preparatory</t>
  </si>
  <si>
    <t>3700 Enrollment Increase</t>
  </si>
  <si>
    <t>4080 Enrollment Increase</t>
  </si>
  <si>
    <t>76 Enrollment Increase</t>
  </si>
  <si>
    <t>Harmony Science Academy-Laredo</t>
  </si>
  <si>
    <t>Status Change</t>
  </si>
  <si>
    <t>ZAVALLA ISD</t>
  </si>
  <si>
    <t>CENTRAL ISD</t>
  </si>
  <si>
    <t>ARCHER CITY ISD</t>
  </si>
  <si>
    <t>HOLLIDAY ISD</t>
  </si>
  <si>
    <t>WINDTHORST ISD</t>
  </si>
  <si>
    <t>LYTLE ISD</t>
  </si>
  <si>
    <t>POTEET ISD</t>
  </si>
  <si>
    <t>BRAZOS ISD</t>
  </si>
  <si>
    <t>BASTROP ISD</t>
  </si>
  <si>
    <t>ELGIN ISD</t>
  </si>
  <si>
    <t>SMITHVILLE ISD</t>
  </si>
  <si>
    <t>ACADEMY ISD</t>
  </si>
  <si>
    <t>BELTON ISD</t>
  </si>
  <si>
    <t>KILLEEN ISD</t>
  </si>
  <si>
    <t>ROGERS ISD</t>
  </si>
  <si>
    <t>TEMPLE ISD</t>
  </si>
  <si>
    <t>TROY ISD</t>
  </si>
  <si>
    <t>MERIDIAN ISD</t>
  </si>
  <si>
    <t>MORGAN ISD</t>
  </si>
  <si>
    <t>WALNUT SPRINGS ISD</t>
  </si>
  <si>
    <t>KOPPERL ISD</t>
  </si>
  <si>
    <t>ALVIN ISD</t>
  </si>
  <si>
    <t>ANGLETON ISD</t>
  </si>
  <si>
    <t>BRAZOSPORT ISD</t>
  </si>
  <si>
    <t>SWEENY ISD</t>
  </si>
  <si>
    <t>COLUMBIA-BRAZORIA ISD</t>
  </si>
  <si>
    <t>PEARLAND ISD</t>
  </si>
  <si>
    <t>DAMON ISD</t>
  </si>
  <si>
    <t>COLLEGE STATION ISD</t>
  </si>
  <si>
    <t>BRYAN ISD</t>
  </si>
  <si>
    <t>BROOKS COUNTY ISD</t>
  </si>
  <si>
    <t>BANGS ISD</t>
  </si>
  <si>
    <t>BROWNWOOD ISD</t>
  </si>
  <si>
    <t>BLANKET ISD</t>
  </si>
  <si>
    <t>MAY ISD</t>
  </si>
  <si>
    <t>ZEPHYR ISD</t>
  </si>
  <si>
    <t>EARLY ISD</t>
  </si>
  <si>
    <t>LOCKHART ISD</t>
  </si>
  <si>
    <t>BROWNSVILLE ISD</t>
  </si>
  <si>
    <t>HARLINGEN CISD</t>
  </si>
  <si>
    <t>LA FERIA ISD</t>
  </si>
  <si>
    <t>LOS FRESNOS CISD</t>
  </si>
  <si>
    <t>POINT ISABEL ISD</t>
  </si>
  <si>
    <t>RIO HONDO ISD</t>
  </si>
  <si>
    <t>SAN BENITO CISD</t>
  </si>
  <si>
    <t>SANTA MARIA ISD</t>
  </si>
  <si>
    <t>SANTA ROSA ISD</t>
  </si>
  <si>
    <t>SOUTH TEXAS ISD</t>
  </si>
  <si>
    <t>ALTO ISD</t>
  </si>
  <si>
    <t>JACKSONVILLE ISD</t>
  </si>
  <si>
    <t>HENRIETTA ISD</t>
  </si>
  <si>
    <t>PETROLIA ISD</t>
  </si>
  <si>
    <t>ALLEN ISD</t>
  </si>
  <si>
    <t>ANNA ISD</t>
  </si>
  <si>
    <t>FARMERSVILLE ISD</t>
  </si>
  <si>
    <t>FRISCO ISD</t>
  </si>
  <si>
    <t>MCKINNEY ISD</t>
  </si>
  <si>
    <t>PLANO ISD</t>
  </si>
  <si>
    <t>PRINCETON ISD</t>
  </si>
  <si>
    <t>PROSPER ISD</t>
  </si>
  <si>
    <t>WYLIE ISD</t>
  </si>
  <si>
    <t>COMMUNITY ISD</t>
  </si>
  <si>
    <t>NEW BRAUNFELS ISD</t>
  </si>
  <si>
    <t>COMANCHE ISD</t>
  </si>
  <si>
    <t>DE LEON ISD</t>
  </si>
  <si>
    <t>GUSTINE ISD</t>
  </si>
  <si>
    <t>SIDNEY ISD</t>
  </si>
  <si>
    <t>GAINESVILLE ISD</t>
  </si>
  <si>
    <t>VALLEY VIEW ISD</t>
  </si>
  <si>
    <t>CALLISBURG ISD</t>
  </si>
  <si>
    <t>COPPERAS COVE ISD</t>
  </si>
  <si>
    <t>CARROLLTON-FARMERS BRANCH ISD</t>
  </si>
  <si>
    <t>CEDAR HILL ISD</t>
  </si>
  <si>
    <t>DALLAS ISD</t>
  </si>
  <si>
    <t>DESOTO ISD</t>
  </si>
  <si>
    <t>DUNCANVILLE ISD</t>
  </si>
  <si>
    <t>GARLAND ISD</t>
  </si>
  <si>
    <t>GRAND PRAIRIE ISD</t>
  </si>
  <si>
    <t>HIGHLAND PARK ISD</t>
  </si>
  <si>
    <t>IRVING ISD</t>
  </si>
  <si>
    <t>LANCASTER ISD</t>
  </si>
  <si>
    <t>MESQUITE ISD</t>
  </si>
  <si>
    <t>RICHARDSON ISD</t>
  </si>
  <si>
    <t>COPPELL ISD</t>
  </si>
  <si>
    <t>DENTON ISD</t>
  </si>
  <si>
    <t>LEWISVILLE ISD</t>
  </si>
  <si>
    <t>PILOT POINT ISD</t>
  </si>
  <si>
    <t>KRUM ISD</t>
  </si>
  <si>
    <t>PONDER ISD</t>
  </si>
  <si>
    <t>AUBREY ISD</t>
  </si>
  <si>
    <t>SANGER ISD</t>
  </si>
  <si>
    <t>ARGYLE ISD</t>
  </si>
  <si>
    <t>NORTHWEST ISD</t>
  </si>
  <si>
    <t>LAKE DALLAS ISD</t>
  </si>
  <si>
    <t>LITTLE ELM ISD</t>
  </si>
  <si>
    <t>RANGER ISD</t>
  </si>
  <si>
    <t>RISING STAR ISD</t>
  </si>
  <si>
    <t>ECTOR COUNTY ISD</t>
  </si>
  <si>
    <t>AVALON ISD</t>
  </si>
  <si>
    <t>ENNIS ISD</t>
  </si>
  <si>
    <t>FERRIS ISD</t>
  </si>
  <si>
    <t>SAN ANGELO ISD</t>
  </si>
  <si>
    <t>ITALY ISD</t>
  </si>
  <si>
    <t>MIDLOTHIAN ISD</t>
  </si>
  <si>
    <t>MILFORD ISD</t>
  </si>
  <si>
    <t>PALMER ISD</t>
  </si>
  <si>
    <t>RED OAK ISD</t>
  </si>
  <si>
    <t>WAXAHACHIE ISD</t>
  </si>
  <si>
    <t>MAYPEARL ISD</t>
  </si>
  <si>
    <t>CLINT ISD</t>
  </si>
  <si>
    <t>EL PASO ISD</t>
  </si>
  <si>
    <t>SAN ELIZARIO ISD</t>
  </si>
  <si>
    <t>YSLETA ISD</t>
  </si>
  <si>
    <t>ANTHONY ISD</t>
  </si>
  <si>
    <t>CANUTILLO ISD</t>
  </si>
  <si>
    <t>SOCORRO ISD</t>
  </si>
  <si>
    <t>DUBLIN ISD</t>
  </si>
  <si>
    <t>STEPHENVILLE</t>
  </si>
  <si>
    <t>HUCKABAY ISD</t>
  </si>
  <si>
    <t>LINGLEVILLE ISD</t>
  </si>
  <si>
    <t>ROSEBUD-LOTT ISD</t>
  </si>
  <si>
    <t>LA GRANGE ISD</t>
  </si>
  <si>
    <t>LAMAR CISD</t>
  </si>
  <si>
    <t>FORT BEND ISD</t>
  </si>
  <si>
    <t>STAFFORD MSD</t>
  </si>
  <si>
    <t>DICKINSON ISD</t>
  </si>
  <si>
    <t>GALVESTON ISD</t>
  </si>
  <si>
    <t>LA MARQUE ISD</t>
  </si>
  <si>
    <t>TEXAS CITY ISD</t>
  </si>
  <si>
    <t>HITCHCOCK ISD</t>
  </si>
  <si>
    <t>SANTA FE ISD</t>
  </si>
  <si>
    <t>CLEAR CREEK ISD</t>
  </si>
  <si>
    <t>FRIENDSWOOD ISD</t>
  </si>
  <si>
    <t>VAN ALSTYNE ISD</t>
  </si>
  <si>
    <t>GLADEWATER ISD</t>
  </si>
  <si>
    <t>KILGORE ISD</t>
  </si>
  <si>
    <t>LONGVIEW ISD</t>
  </si>
  <si>
    <t>PINE TREE ISD</t>
  </si>
  <si>
    <t>SABINE ISD</t>
  </si>
  <si>
    <t>SPRING HILL ISD</t>
  </si>
  <si>
    <t>WHITE OAK ISD</t>
  </si>
  <si>
    <t>NAVASOTA ISD</t>
  </si>
  <si>
    <t>SEGUIN ISD</t>
  </si>
  <si>
    <t>MARION ISD</t>
  </si>
  <si>
    <t>ABERNATHY ISD</t>
  </si>
  <si>
    <t>HAMILTON ISD</t>
  </si>
  <si>
    <t>HICO ISD</t>
  </si>
  <si>
    <t>ALDINE ISD</t>
  </si>
  <si>
    <t>ALIEF ISD</t>
  </si>
  <si>
    <t>CHANNELVIEW ISD</t>
  </si>
  <si>
    <t>CYPRESS-FAIRBANKS ISD</t>
  </si>
  <si>
    <t>DEER PARK ISD</t>
  </si>
  <si>
    <t>NORTH FOREST ISD</t>
  </si>
  <si>
    <t>GALENA PARK ISD</t>
  </si>
  <si>
    <t>GOOSE CREEK CISD</t>
  </si>
  <si>
    <t>HOUSTON ISD</t>
  </si>
  <si>
    <t>HUMBLE ISD</t>
  </si>
  <si>
    <t>KATY ISD</t>
  </si>
  <si>
    <t>KLEIN ISD</t>
  </si>
  <si>
    <t>LA PORTE ISD</t>
  </si>
  <si>
    <t>PASADENA ISD</t>
  </si>
  <si>
    <t>SPRING ISD</t>
  </si>
  <si>
    <t>SPRING BRANCH ISD</t>
  </si>
  <si>
    <t>TOMBALL ISD</t>
  </si>
  <si>
    <t>SHELDON ISD</t>
  </si>
  <si>
    <t>MARSHALL ISD</t>
  </si>
  <si>
    <t>WASKOM ISD</t>
  </si>
  <si>
    <t>HALLSVILLE ISD</t>
  </si>
  <si>
    <t>HARLETON ISD</t>
  </si>
  <si>
    <t>ELYSIAN FIELDS ISD</t>
  </si>
  <si>
    <t>SAN MARCOS CISD</t>
  </si>
  <si>
    <t>DRIPPING SPRINGS ISD</t>
  </si>
  <si>
    <t>WIMBERLEY ISD</t>
  </si>
  <si>
    <t>HAYS CISD</t>
  </si>
  <si>
    <t>BROWNSBORO ISD</t>
  </si>
  <si>
    <t>DONNA ISD</t>
  </si>
  <si>
    <t>EDCOUCH-ELSA ISD</t>
  </si>
  <si>
    <t>EDINBURG CISD</t>
  </si>
  <si>
    <t>HIDALGO ISD</t>
  </si>
  <si>
    <t>MCALLEN ISD</t>
  </si>
  <si>
    <t>MERCEDES ISD</t>
  </si>
  <si>
    <t>MISSION CISD</t>
  </si>
  <si>
    <t>PHARR-SAN JUAN-ALAMO ISD</t>
  </si>
  <si>
    <t>PROGRESO ISD</t>
  </si>
  <si>
    <t>SHARYLAND ISD</t>
  </si>
  <si>
    <t>LA JOYA ISD</t>
  </si>
  <si>
    <t>WESLACO ISD</t>
  </si>
  <si>
    <t>LA VILLA ISD</t>
  </si>
  <si>
    <t>MONTE ALTO ISD</t>
  </si>
  <si>
    <t>COVINGTON ISD</t>
  </si>
  <si>
    <t>SMYER ISD</t>
  </si>
  <si>
    <t>GRANBURY ISD</t>
  </si>
  <si>
    <t>LIPAN ISD</t>
  </si>
  <si>
    <t>TOLAR ISD</t>
  </si>
  <si>
    <t>GRAPELAND ISD</t>
  </si>
  <si>
    <t>NEDERLAND ISD</t>
  </si>
  <si>
    <t>PORT ARTHUR ISD</t>
  </si>
  <si>
    <t>PORT NECHES-GROVES ISD</t>
  </si>
  <si>
    <t>BEAUMONT ISD</t>
  </si>
  <si>
    <t>HAMSHIRE-FANNETT ISD</t>
  </si>
  <si>
    <t>ALVARADO ISD</t>
  </si>
  <si>
    <t>BURLESON ISD</t>
  </si>
  <si>
    <t>CLEBURNE ISD</t>
  </si>
  <si>
    <t>GRANDVIEW ISD</t>
  </si>
  <si>
    <t>JOSHUA ISD</t>
  </si>
  <si>
    <t>KEENE ISD</t>
  </si>
  <si>
    <t>RIO VISTA ISD</t>
  </si>
  <si>
    <t>VENUS ISD</t>
  </si>
  <si>
    <t>GODLEY ISD</t>
  </si>
  <si>
    <t>CRANDALL ISD</t>
  </si>
  <si>
    <t>FORNEY ISD</t>
  </si>
  <si>
    <t>KAUFMAN ISD</t>
  </si>
  <si>
    <t>KEMP ISD</t>
  </si>
  <si>
    <t>MABANK ISD</t>
  </si>
  <si>
    <t>TERRELL ISD</t>
  </si>
  <si>
    <t>SCURRY-ROSSER ISD</t>
  </si>
  <si>
    <t>INGRAM ISD</t>
  </si>
  <si>
    <t>KINGSVILLE ISD</t>
  </si>
  <si>
    <t>BUFFALO ISD</t>
  </si>
  <si>
    <t>OAKWOOD ISD</t>
  </si>
  <si>
    <t>LUBBOCK ISD</t>
  </si>
  <si>
    <t>NEW DEAL ISD</t>
  </si>
  <si>
    <t>SLATON ISD</t>
  </si>
  <si>
    <t>LUBBOCK-COOPER ISD</t>
  </si>
  <si>
    <t>FRENSHIP ISD</t>
  </si>
  <si>
    <t>ROOSEVELT ISD</t>
  </si>
  <si>
    <t>SHALLOWATER ISD</t>
  </si>
  <si>
    <t>IDALOU ISD</t>
  </si>
  <si>
    <t>JEFFERSON ISD</t>
  </si>
  <si>
    <t>STANTON ISD</t>
  </si>
  <si>
    <t>MIDWAY ISD</t>
  </si>
  <si>
    <t>LA VEGA ISD</t>
  </si>
  <si>
    <t>RIESEL ISD</t>
  </si>
  <si>
    <t>WACO ISD</t>
  </si>
  <si>
    <t>CHINA SPRING ISD</t>
  </si>
  <si>
    <t>CONNALLY ISD</t>
  </si>
  <si>
    <t>ROBINSON ISD</t>
  </si>
  <si>
    <t>NATALIA ISD</t>
  </si>
  <si>
    <t>MIDLAND ISD</t>
  </si>
  <si>
    <t>GREENWOOD ISD</t>
  </si>
  <si>
    <t>CONROE ISD</t>
  </si>
  <si>
    <t>MONTGOMERY ISD</t>
  </si>
  <si>
    <t>WILLIS ISD</t>
  </si>
  <si>
    <t>MAGNOLIA ISD</t>
  </si>
  <si>
    <t>WODEN ISD</t>
  </si>
  <si>
    <t>CORSICANA ISD</t>
  </si>
  <si>
    <t>FROST ISD</t>
  </si>
  <si>
    <t>AGUA DULCE ISD</t>
  </si>
  <si>
    <t>CALALLEN ISD</t>
  </si>
  <si>
    <t>CORPUS CHRISTI ISD</t>
  </si>
  <si>
    <t>PORT ARANSAS ISD</t>
  </si>
  <si>
    <t>ROBSTOWN ISD</t>
  </si>
  <si>
    <t>TULOSO-MIDWAY ISD</t>
  </si>
  <si>
    <t>FLOUR BLUFF ISD</t>
  </si>
  <si>
    <t>WEST OSO ISD</t>
  </si>
  <si>
    <t>WEST ORANGE-COVE CISD</t>
  </si>
  <si>
    <t>VIDOR ISD</t>
  </si>
  <si>
    <t>GRAFORD ISD</t>
  </si>
  <si>
    <t>BECKVILLE ISD</t>
  </si>
  <si>
    <t>CARTHAGE ISD</t>
  </si>
  <si>
    <t>GARY ISD</t>
  </si>
  <si>
    <t>WEATHERFORD ISD</t>
  </si>
  <si>
    <t>ALEDO ISD</t>
  </si>
  <si>
    <t>CORRIGAN-CAMDEN ISD</t>
  </si>
  <si>
    <t>AMARILLO ISD</t>
  </si>
  <si>
    <t>RIVER ROAD ISD</t>
  </si>
  <si>
    <t>CANYON ISD</t>
  </si>
  <si>
    <t>LEAKEY ISD</t>
  </si>
  <si>
    <t>HEARNE ISD</t>
  </si>
  <si>
    <t>ROCKWALL ISD</t>
  </si>
  <si>
    <t>ROYSE CITY ISD</t>
  </si>
  <si>
    <t>HENDERSON ISD</t>
  </si>
  <si>
    <t>OVERTON ISD</t>
  </si>
  <si>
    <t>TATUM ISD</t>
  </si>
  <si>
    <t>BROADDUS ISD</t>
  </si>
  <si>
    <t>ARANSAS PASS ISD</t>
  </si>
  <si>
    <t>GREGORY-PORTLAND ISD</t>
  </si>
  <si>
    <t>INGLESIDE ISD</t>
  </si>
  <si>
    <t>ODEM-EDROY ISD</t>
  </si>
  <si>
    <t>SINTON ISD</t>
  </si>
  <si>
    <t>TAFT ISD</t>
  </si>
  <si>
    <t>CENTER ISD</t>
  </si>
  <si>
    <t>JOAQUIN ISD</t>
  </si>
  <si>
    <t>TENAHA ISD</t>
  </si>
  <si>
    <t>TIMPSON ISD</t>
  </si>
  <si>
    <t>ARP ISD</t>
  </si>
  <si>
    <t>BULLARD ISD</t>
  </si>
  <si>
    <t>LINDALE ISD</t>
  </si>
  <si>
    <t>TROUP ISD</t>
  </si>
  <si>
    <t>TYLER ISD</t>
  </si>
  <si>
    <t>WHITEHOUSE ISD</t>
  </si>
  <si>
    <t>CHAPEL HILL ISD</t>
  </si>
  <si>
    <t>WINONA ISD</t>
  </si>
  <si>
    <t>GLEN ROSE ISD</t>
  </si>
  <si>
    <t>RIO GRANDE CITY CISD</t>
  </si>
  <si>
    <t>ROMA ISD</t>
  </si>
  <si>
    <t>ARLINGTON ISD</t>
  </si>
  <si>
    <t>BIRDVILLE ISD</t>
  </si>
  <si>
    <t>EVERMAN ISD</t>
  </si>
  <si>
    <t>GRAPEVINE-COLLEYVILLE ISD</t>
  </si>
  <si>
    <t>KELLER ISD</t>
  </si>
  <si>
    <t>MANSFIELD ISD</t>
  </si>
  <si>
    <t>LAKE WORTH ISD</t>
  </si>
  <si>
    <t>CROWLEY ISD</t>
  </si>
  <si>
    <t>KENNEDALE ISD</t>
  </si>
  <si>
    <t>AZLE ISD</t>
  </si>
  <si>
    <t>HURST-EULESS-BEDFORD ISD</t>
  </si>
  <si>
    <t>CASTLEBERRY ISD</t>
  </si>
  <si>
    <t>EAGLE MT-SAGINAW ISD</t>
  </si>
  <si>
    <t>CARROLL ISD</t>
  </si>
  <si>
    <t>WHITE SETTLEMENT ISD</t>
  </si>
  <si>
    <t>ABILENE ISD</t>
  </si>
  <si>
    <t>TRENT ISD</t>
  </si>
  <si>
    <t>AUSTIN ISD</t>
  </si>
  <si>
    <t>PFLUGERVILLE ISD</t>
  </si>
  <si>
    <t>MANOR ISD</t>
  </si>
  <si>
    <t>EANES ISD</t>
  </si>
  <si>
    <t>DEL VALLE ISD</t>
  </si>
  <si>
    <t>LAKE TRAVIS ISD</t>
  </si>
  <si>
    <t>APPLE SPRINGS ISD</t>
  </si>
  <si>
    <t>BIG SANDY ISD</t>
  </si>
  <si>
    <t>GILMER ISD</t>
  </si>
  <si>
    <t>ORE CITY ISD</t>
  </si>
  <si>
    <t>NEW DIANA ISD</t>
  </si>
  <si>
    <t>UNION GROVE ISD</t>
  </si>
  <si>
    <t>KNIPPA ISD</t>
  </si>
  <si>
    <t>SABINAL ISD</t>
  </si>
  <si>
    <t>UVALDE CISD</t>
  </si>
  <si>
    <t>SAN FELIPE-DEL RIO CISD</t>
  </si>
  <si>
    <t>CANTON ISD</t>
  </si>
  <si>
    <t>MARTINS MILL ISD</t>
  </si>
  <si>
    <t>VAN ISD</t>
  </si>
  <si>
    <t>WILLS POINT ISD</t>
  </si>
  <si>
    <t>NEW WAVERLY ISD</t>
  </si>
  <si>
    <t>HUNTSVILLE ISD</t>
  </si>
  <si>
    <t>HEMPSTEAD ISD</t>
  </si>
  <si>
    <t>WALLER ISD</t>
  </si>
  <si>
    <t>ROYAL ISD</t>
  </si>
  <si>
    <t>BRENHAM ISD</t>
  </si>
  <si>
    <t>LAREDO ISD</t>
  </si>
  <si>
    <t>UNITED ISD</t>
  </si>
  <si>
    <t>BURKBURNETT ISD</t>
  </si>
  <si>
    <t>IOWA PARK CISD</t>
  </si>
  <si>
    <t>WICHITA FALLS ISD</t>
  </si>
  <si>
    <t>CITY VIEW ISD</t>
  </si>
  <si>
    <t>LYFORD CISD</t>
  </si>
  <si>
    <t>RAYMONDVILLE ISD</t>
  </si>
  <si>
    <t>SAN PERLITA ISD</t>
  </si>
  <si>
    <t>GEORGETOWN ISD</t>
  </si>
  <si>
    <t>HUTTO ISD</t>
  </si>
  <si>
    <t>JARRELL ISD</t>
  </si>
  <si>
    <t>LIBERTY HILL ISD</t>
  </si>
  <si>
    <t>ROUND ROCK ISD</t>
  </si>
  <si>
    <t>LEANDER ISD</t>
  </si>
  <si>
    <t>FLORESVILLE ISD</t>
  </si>
  <si>
    <t>LA VERNIA ISD</t>
  </si>
  <si>
    <t>DECATUR ISD</t>
  </si>
  <si>
    <t>SLIDELL ISD</t>
  </si>
  <si>
    <t>HAWKINS ISD</t>
  </si>
  <si>
    <t>ZOE Learning Academy, Inc.</t>
  </si>
  <si>
    <t>HOUSTON ALTERNATIVE PREPARATORY CHARTER SCHOOL</t>
  </si>
  <si>
    <t>Houston Alternative Preparatory Charter School</t>
  </si>
  <si>
    <t>Galaviz Academy, Inc.</t>
  </si>
  <si>
    <t>Neighborhood Centers Inc.</t>
  </si>
  <si>
    <t>MEYERPARK ELEMENTARY</t>
  </si>
  <si>
    <t>ECAP Enterprises, Inc.</t>
  </si>
  <si>
    <t>The DRAW Academy Incorporated</t>
  </si>
  <si>
    <t>STEPPING STONES CHARTER EL</t>
  </si>
  <si>
    <t>Stepping Stones Charter Elementary</t>
  </si>
  <si>
    <r>
      <t xml:space="preserve">Did this Charter Holder Participate in TRS Active Care in 2005-06? Type: </t>
    </r>
    <r>
      <rPr>
        <b/>
        <sz val="11"/>
        <color indexed="8"/>
        <rFont val="Arial"/>
        <family val="2"/>
      </rPr>
      <t>YES</t>
    </r>
    <r>
      <rPr>
        <sz val="11"/>
        <color indexed="8"/>
        <rFont val="Arial"/>
        <family val="2"/>
      </rPr>
      <t xml:space="preserve"> or </t>
    </r>
    <r>
      <rPr>
        <b/>
        <sz val="11"/>
        <color indexed="8"/>
        <rFont val="Arial"/>
        <family val="2"/>
      </rPr>
      <t>NO</t>
    </r>
    <r>
      <rPr>
        <sz val="11"/>
        <color indexed="8"/>
        <rFont val="Arial"/>
        <family val="2"/>
      </rPr>
      <t>.</t>
    </r>
  </si>
  <si>
    <t>Katherine Anne Porter School</t>
  </si>
  <si>
    <t>RICE CISD</t>
  </si>
  <si>
    <t>EVADALE ISD</t>
  </si>
  <si>
    <t>MART ISD</t>
  </si>
  <si>
    <t>UNION HILL ISD</t>
  </si>
  <si>
    <t>TEXAS PREPARATORY SCHOOL</t>
  </si>
  <si>
    <t>Boys &amp; Girls Clubs of South Central Texas</t>
  </si>
  <si>
    <t>Information Referral Resource Assistance, Inc</t>
  </si>
  <si>
    <t>South Texas Educational Technologies, Inc.</t>
  </si>
  <si>
    <t>IDEA  ACADEMY</t>
  </si>
  <si>
    <t>IDEA Academy, Inc.</t>
  </si>
  <si>
    <t>Vanguard Academy, Inc.</t>
  </si>
  <si>
    <t>PHOENIX CHARTER SCHOOL</t>
  </si>
  <si>
    <t>Phoenix School (The )</t>
  </si>
  <si>
    <t>TEKOA ACADEMY OF ACCELERATED STUDIES</t>
  </si>
  <si>
    <t>TEKOA Charter School, Inc.</t>
  </si>
  <si>
    <t>EHRHART SCHOOL</t>
  </si>
  <si>
    <t>Girls' Haven</t>
  </si>
  <si>
    <t>FT  Staff Allotment</t>
  </si>
  <si>
    <t>FT Staff Allotment</t>
  </si>
  <si>
    <t>PT Staff Allotment</t>
  </si>
  <si>
    <t>RICHARD MILBURN ALTER HIGH SCHOOL (LUBBOCK)</t>
  </si>
  <si>
    <t>Rise Academy</t>
  </si>
  <si>
    <t>SOUTH PLAINS</t>
  </si>
  <si>
    <t>WACO CHARTER SCHOOL</t>
  </si>
  <si>
    <t>Economic Opportunities Advancement Corp. *</t>
  </si>
  <si>
    <t>AUDRE AND BERNARD RAPOPORT ACADEMY</t>
  </si>
  <si>
    <t>East Waco Innovative School Development, Inc.</t>
  </si>
  <si>
    <t>CROSSTIMBERS ACADEMY</t>
  </si>
  <si>
    <t>Brazos River School</t>
  </si>
  <si>
    <t>RICHARD MILBURN ACADEMY (MIDLAND)</t>
  </si>
  <si>
    <t>Midland Academy Charter School, Inc.</t>
  </si>
  <si>
    <t>Texas Serenity Academy</t>
  </si>
  <si>
    <t>DR. M.L. GARZA-GONZALEZ CHARTER SCHOOL</t>
  </si>
  <si>
    <t>Gulf Coast Council of LaRaza, Inc.</t>
  </si>
  <si>
    <t>Island Foundation,</t>
  </si>
  <si>
    <t>RICHARD MILBURN ALTER HIGH SCHOOL (CORPUS CHRISTI)</t>
  </si>
  <si>
    <t>Montessori Association of South Texas (MAST)</t>
  </si>
  <si>
    <t>Panola School</t>
  </si>
  <si>
    <t>Hill Country Youth Ranch</t>
  </si>
  <si>
    <t>Academy of Skills and Knowledge</t>
  </si>
  <si>
    <t>Azleway, Inc.</t>
  </si>
  <si>
    <t>Mid-Cities Learning Center, Inc.</t>
  </si>
  <si>
    <t>Arlington Classics Academy</t>
  </si>
  <si>
    <t>METRO ACADEMY OF MATH AND SCIENCE</t>
  </si>
  <si>
    <t>Metro Charter Academy</t>
  </si>
  <si>
    <t>Texas Boys Choir Walsh Endowment Fund (The )</t>
  </si>
  <si>
    <t>WESTLAKE ACADEMY CHARTER SCHOOL</t>
  </si>
  <si>
    <t>Town of Westlake</t>
  </si>
  <si>
    <t>East Fort Worth Montessori School</t>
  </si>
  <si>
    <t>HARMONY SCIENCE ACAD (FORT WORTH)</t>
  </si>
  <si>
    <t>AMERICAN YOUTHWORKS CHARTER SCHOOL</t>
  </si>
  <si>
    <t>American YouthWorks</t>
  </si>
  <si>
    <t>Eden Park Academy</t>
  </si>
  <si>
    <t>NYOS Charter School, Inc.</t>
  </si>
  <si>
    <t>T.A. Unlimited, Inc.</t>
  </si>
  <si>
    <t>2008-2009 Estimate of State Aid Entitlement Template</t>
  </si>
  <si>
    <t>2008-09 ESTIMATE OF STATE AID TEMPLATE INSTRUCTIONS</t>
  </si>
  <si>
    <r>
      <t xml:space="preserve">Enter the estimated </t>
    </r>
    <r>
      <rPr>
        <b/>
        <sz val="11"/>
        <rFont val="Arial"/>
        <family val="2"/>
      </rPr>
      <t xml:space="preserve">average </t>
    </r>
    <r>
      <rPr>
        <sz val="11"/>
        <rFont val="Arial"/>
        <family val="2"/>
      </rPr>
      <t xml:space="preserve"> number of students expected to be enrolled during the first six weeks attendance reporting period for all tracks.  Depending on the charter school's funding method, these students will be entered by their corresponding </t>
    </r>
    <r>
      <rPr>
        <b/>
        <sz val="11"/>
        <rFont val="Arial"/>
        <family val="2"/>
      </rPr>
      <t>RISD</t>
    </r>
    <r>
      <rPr>
        <sz val="11"/>
        <rFont val="Arial"/>
        <family val="2"/>
      </rPr>
      <t xml:space="preserve"> or </t>
    </r>
    <r>
      <rPr>
        <b/>
        <sz val="11"/>
        <rFont val="Arial"/>
        <family val="2"/>
      </rPr>
      <t>Grade Level</t>
    </r>
    <r>
      <rPr>
        <sz val="11"/>
        <rFont val="Arial"/>
        <family val="2"/>
      </rPr>
      <t xml:space="preserve"> (Once the charter school's CDN has been entered, the headings will update automatically to the correct funding method).  (</t>
    </r>
    <r>
      <rPr>
        <b/>
        <sz val="11"/>
        <rFont val="Arial"/>
        <family val="2"/>
      </rPr>
      <t>Please note that for FSP purposes, pre-kindergarten students only count for half a student.</t>
    </r>
    <r>
      <rPr>
        <sz val="11"/>
        <rFont val="Arial"/>
        <family val="2"/>
      </rPr>
      <t xml:space="preserve"> </t>
    </r>
    <r>
      <rPr>
        <b/>
        <sz val="11"/>
        <color indexed="10"/>
        <rFont val="Arial"/>
        <family val="2"/>
      </rPr>
      <t>(Student Attendance Accounting Handbook, Section III)</t>
    </r>
    <r>
      <rPr>
        <sz val="11"/>
        <rFont val="Arial"/>
        <family val="2"/>
      </rPr>
      <t>.</t>
    </r>
  </si>
  <si>
    <r>
      <t xml:space="preserve">Enter the estimated number of students that will have a Special Education A.R.D and IEP requiring services in the </t>
    </r>
    <r>
      <rPr>
        <b/>
        <sz val="11"/>
        <rFont val="Arial"/>
        <family val="2"/>
      </rPr>
      <t>01-Homebound</t>
    </r>
    <r>
      <rPr>
        <sz val="11"/>
        <rFont val="Arial"/>
        <family val="2"/>
      </rPr>
      <t xml:space="preserve"> Special Education instructional arrangement.</t>
    </r>
    <r>
      <rPr>
        <b/>
        <sz val="11"/>
        <rFont val="Arial"/>
        <family val="2"/>
      </rPr>
      <t xml:space="preserve">  </t>
    </r>
    <r>
      <rPr>
        <b/>
        <sz val="11"/>
        <color indexed="10"/>
        <rFont val="Arial"/>
        <family val="2"/>
      </rPr>
      <t>(Student Attendance Accounting Handbook, Section IV)</t>
    </r>
    <r>
      <rPr>
        <sz val="11"/>
        <rFont val="Arial"/>
        <family val="2"/>
      </rPr>
      <t>.</t>
    </r>
  </si>
  <si>
    <t xml:space="preserve">ALSO SEND  DATA FROM COLUMN B OF THIS PAGE VIA THE </t>
  </si>
  <si>
    <r>
      <t xml:space="preserve">Enter the estimated number of students that will have a Special Education A.R.D and IEP requiring services in the </t>
    </r>
    <r>
      <rPr>
        <b/>
        <sz val="11"/>
        <rFont val="Arial"/>
        <family val="2"/>
      </rPr>
      <t>02-Hospital Class</t>
    </r>
    <r>
      <rPr>
        <sz val="11"/>
        <rFont val="Arial"/>
        <family val="2"/>
      </rPr>
      <t xml:space="preserve"> Special Education instructional arrangement.</t>
    </r>
    <r>
      <rPr>
        <b/>
        <sz val="11"/>
        <rFont val="Arial"/>
        <family val="2"/>
      </rPr>
      <t xml:space="preserve">  </t>
    </r>
    <r>
      <rPr>
        <b/>
        <sz val="11"/>
        <color indexed="10"/>
        <rFont val="Arial"/>
        <family val="2"/>
      </rPr>
      <t>(Student Attendance Accounting Handbook, Section IV)</t>
    </r>
    <r>
      <rPr>
        <sz val="11"/>
        <rFont val="Arial"/>
        <family val="2"/>
      </rPr>
      <t>.</t>
    </r>
  </si>
  <si>
    <r>
      <t xml:space="preserve">Enter the estimated number of students that will have a Special Education A.R.D and IEP requiring services in the </t>
    </r>
    <r>
      <rPr>
        <b/>
        <sz val="11"/>
        <rFont val="Arial"/>
        <family val="2"/>
      </rPr>
      <t>00-Speech</t>
    </r>
    <r>
      <rPr>
        <sz val="11"/>
        <rFont val="Arial"/>
        <family val="2"/>
      </rPr>
      <t xml:space="preserve"> Special Education instructional arrangement. </t>
    </r>
    <r>
      <rPr>
        <b/>
        <sz val="11"/>
        <rFont val="Arial"/>
        <family val="2"/>
      </rPr>
      <t xml:space="preserve"> </t>
    </r>
    <r>
      <rPr>
        <b/>
        <sz val="11"/>
        <color indexed="10"/>
        <rFont val="Arial"/>
        <family val="2"/>
      </rPr>
      <t>(Student Attendance Accounting Handbook, Section IV)</t>
    </r>
    <r>
      <rPr>
        <sz val="11"/>
        <rFont val="Arial"/>
        <family val="2"/>
      </rPr>
      <t>.</t>
    </r>
  </si>
  <si>
    <r>
      <t xml:space="preserve">Enter the estimated number of students that will have a Special Education A.R.D and IEP requiring services in the </t>
    </r>
    <r>
      <rPr>
        <b/>
        <sz val="11"/>
        <rFont val="Arial"/>
        <family val="2"/>
      </rPr>
      <t>41 &amp; 42 - Resource</t>
    </r>
    <r>
      <rPr>
        <sz val="11"/>
        <rFont val="Arial"/>
        <family val="2"/>
      </rPr>
      <t xml:space="preserve"> Special Education instructional arrangements.</t>
    </r>
    <r>
      <rPr>
        <b/>
        <sz val="11"/>
        <rFont val="Arial"/>
        <family val="2"/>
      </rPr>
      <t xml:space="preserve">  </t>
    </r>
    <r>
      <rPr>
        <b/>
        <sz val="11"/>
        <color indexed="10"/>
        <rFont val="Arial"/>
        <family val="2"/>
      </rPr>
      <t>(Student Attendance Accounting Handbook, Section IV)</t>
    </r>
    <r>
      <rPr>
        <sz val="11"/>
        <rFont val="Arial"/>
        <family val="2"/>
      </rPr>
      <t>.</t>
    </r>
  </si>
  <si>
    <r>
      <t xml:space="preserve">Enter the estimated number of students that will have a Special Education A.R.D and IEP requiring services in the </t>
    </r>
    <r>
      <rPr>
        <b/>
        <sz val="11"/>
        <rFont val="Arial"/>
        <family val="2"/>
      </rPr>
      <t>43 &amp; 44 - SC Mild/Moderate/Severe</t>
    </r>
    <r>
      <rPr>
        <sz val="11"/>
        <rFont val="Arial"/>
        <family val="2"/>
      </rPr>
      <t xml:space="preserve"> Special Education instructional arrangements. </t>
    </r>
    <r>
      <rPr>
        <b/>
        <sz val="11"/>
        <rFont val="Arial"/>
        <family val="2"/>
      </rPr>
      <t xml:space="preserve"> </t>
    </r>
    <r>
      <rPr>
        <b/>
        <sz val="11"/>
        <color indexed="10"/>
        <rFont val="Arial"/>
        <family val="2"/>
      </rPr>
      <t>(Student Attendance Accounting Handbook, Section IV)</t>
    </r>
    <r>
      <rPr>
        <sz val="11"/>
        <rFont val="Arial"/>
        <family val="2"/>
      </rPr>
      <t>.</t>
    </r>
  </si>
  <si>
    <r>
      <t xml:space="preserve">Enter the estimated number of students that will have a Special Education A.R.D and IEP requiring services in the </t>
    </r>
    <r>
      <rPr>
        <b/>
        <sz val="11"/>
        <rFont val="Arial"/>
        <family val="2"/>
      </rPr>
      <t>45 - Full-Time Early Childhood</t>
    </r>
    <r>
      <rPr>
        <sz val="11"/>
        <rFont val="Arial"/>
        <family val="2"/>
      </rPr>
      <t xml:space="preserve"> Special Education instructional arrangement. </t>
    </r>
    <r>
      <rPr>
        <b/>
        <sz val="11"/>
        <rFont val="Arial"/>
        <family val="2"/>
      </rPr>
      <t xml:space="preserve"> </t>
    </r>
    <r>
      <rPr>
        <b/>
        <sz val="11"/>
        <color indexed="10"/>
        <rFont val="Arial"/>
        <family val="2"/>
      </rPr>
      <t>(Student Attendance Accounting Handbook, Section IV)</t>
    </r>
    <r>
      <rPr>
        <sz val="11"/>
        <rFont val="Arial"/>
        <family val="2"/>
      </rPr>
      <t>.</t>
    </r>
  </si>
  <si>
    <r>
      <t xml:space="preserve">Enter the estimated number of students that will have a Special Education A.R.D and IEP requiring services in the </t>
    </r>
    <r>
      <rPr>
        <b/>
        <sz val="11"/>
        <rFont val="Arial"/>
        <family val="2"/>
      </rPr>
      <t xml:space="preserve">91-98 Off-Home Campus </t>
    </r>
    <r>
      <rPr>
        <sz val="11"/>
        <rFont val="Arial"/>
        <family val="2"/>
      </rPr>
      <t xml:space="preserve"> Special Education instructional arrangements. </t>
    </r>
    <r>
      <rPr>
        <b/>
        <sz val="11"/>
        <color indexed="10"/>
        <rFont val="Arial"/>
        <family val="2"/>
      </rPr>
      <t xml:space="preserve"> (Student Attendance Accounting Handbook, Section IV)</t>
    </r>
    <r>
      <rPr>
        <sz val="11"/>
        <rFont val="Arial"/>
        <family val="2"/>
      </rPr>
      <t>.</t>
    </r>
  </si>
  <si>
    <r>
      <t xml:space="preserve">Enter the estimated number of students that will have a Special Education A.R.D and IEP requiring services in the </t>
    </r>
    <r>
      <rPr>
        <b/>
        <sz val="11"/>
        <rFont val="Arial"/>
        <family val="2"/>
      </rPr>
      <t>08-VAC</t>
    </r>
    <r>
      <rPr>
        <sz val="11"/>
        <rFont val="Arial"/>
        <family val="2"/>
      </rPr>
      <t xml:space="preserve"> Special Education instructional arrangement.</t>
    </r>
    <r>
      <rPr>
        <b/>
        <sz val="11"/>
        <rFont val="Arial"/>
        <family val="2"/>
      </rPr>
      <t xml:space="preserve">  </t>
    </r>
    <r>
      <rPr>
        <b/>
        <sz val="11"/>
        <color indexed="10"/>
        <rFont val="Arial"/>
        <family val="2"/>
      </rPr>
      <t>(Student Attendance Accounting Handbook, Section IV).</t>
    </r>
  </si>
  <si>
    <r>
      <t xml:space="preserve">Enter the estimated number of students that will have a Special Education A.R.D and IEP requiring services in the </t>
    </r>
    <r>
      <rPr>
        <b/>
        <sz val="11"/>
        <rFont val="Arial"/>
        <family val="2"/>
      </rPr>
      <t>30-State School</t>
    </r>
    <r>
      <rPr>
        <sz val="11"/>
        <rFont val="Arial"/>
        <family val="2"/>
      </rPr>
      <t>Special Education instructional arrangement.</t>
    </r>
    <r>
      <rPr>
        <b/>
        <sz val="11"/>
        <rFont val="Arial"/>
        <family val="2"/>
      </rPr>
      <t xml:space="preserve">  </t>
    </r>
    <r>
      <rPr>
        <b/>
        <sz val="11"/>
        <color indexed="10"/>
        <rFont val="Arial"/>
        <family val="2"/>
      </rPr>
      <t>(Student Attendance Accounting Handbook, Section IV)</t>
    </r>
    <r>
      <rPr>
        <sz val="11"/>
        <rFont val="Arial"/>
        <family val="2"/>
      </rPr>
      <t>.</t>
    </r>
  </si>
  <si>
    <r>
      <t xml:space="preserve">Enter the estimated number of students that will have a Special Education A.R.D and IEP requiring services in the </t>
    </r>
    <r>
      <rPr>
        <b/>
        <sz val="11"/>
        <rFont val="Arial"/>
        <family val="2"/>
      </rPr>
      <t>81-89-Residential Care &amp; Treatment</t>
    </r>
    <r>
      <rPr>
        <sz val="11"/>
        <rFont val="Arial"/>
        <family val="2"/>
      </rPr>
      <t xml:space="preserve"> Special Education instructional arrangements. </t>
    </r>
    <r>
      <rPr>
        <b/>
        <sz val="11"/>
        <rFont val="Arial"/>
        <family val="2"/>
      </rPr>
      <t xml:space="preserve"> </t>
    </r>
    <r>
      <rPr>
        <b/>
        <sz val="11"/>
        <color indexed="10"/>
        <rFont val="Arial"/>
        <family val="2"/>
      </rPr>
      <t>(Student Attendance Accounting Handbook, Section IV)</t>
    </r>
    <r>
      <rPr>
        <sz val="11"/>
        <rFont val="Arial"/>
        <family val="2"/>
      </rPr>
      <t>.</t>
    </r>
  </si>
  <si>
    <r>
      <t xml:space="preserve">Enter the estimated number of students that will participate in a </t>
    </r>
    <r>
      <rPr>
        <b/>
        <sz val="11"/>
        <rFont val="Arial"/>
        <family val="2"/>
      </rPr>
      <t>Texas state-approved Career and Technology (Vocational) course for an average of 45-89 minutes per day.</t>
    </r>
    <r>
      <rPr>
        <sz val="11"/>
        <rFont val="Arial"/>
        <family val="2"/>
      </rPr>
      <t xml:space="preserve">  </t>
    </r>
    <r>
      <rPr>
        <b/>
        <sz val="11"/>
        <color indexed="10"/>
        <rFont val="Arial"/>
        <family val="2"/>
      </rPr>
      <t>(Student Attendance Accounting Handbook, Section V)</t>
    </r>
    <r>
      <rPr>
        <sz val="11"/>
        <rFont val="Arial"/>
        <family val="2"/>
      </rPr>
      <t>.</t>
    </r>
  </si>
  <si>
    <r>
      <t xml:space="preserve">Enter the estimated number of students that will have a Special Education A.R.D and IEP requiring services in the </t>
    </r>
    <r>
      <rPr>
        <b/>
        <sz val="11"/>
        <rFont val="Arial"/>
        <family val="2"/>
      </rPr>
      <t>40-Mainstream</t>
    </r>
    <r>
      <rPr>
        <sz val="11"/>
        <rFont val="Arial"/>
        <family val="2"/>
      </rPr>
      <t xml:space="preserve"> Special Education instructional arrangement. </t>
    </r>
    <r>
      <rPr>
        <b/>
        <sz val="11"/>
        <rFont val="Arial"/>
        <family val="2"/>
      </rPr>
      <t xml:space="preserve"> </t>
    </r>
    <r>
      <rPr>
        <b/>
        <sz val="11"/>
        <color indexed="10"/>
        <rFont val="Arial"/>
        <family val="2"/>
      </rPr>
      <t>(Student Attendance Accounting Handbook, Section IV)</t>
    </r>
    <r>
      <rPr>
        <sz val="11"/>
        <rFont val="Arial"/>
        <family val="2"/>
      </rPr>
      <t>.</t>
    </r>
  </si>
  <si>
    <r>
      <t xml:space="preserve">Enter the estimated number of students that will participate in a </t>
    </r>
    <r>
      <rPr>
        <b/>
        <sz val="11"/>
        <rFont val="Arial"/>
        <family val="2"/>
      </rPr>
      <t>Texas state-approved Career and Technology (Vocational) course for an average of 90-149 minutes per day</t>
    </r>
    <r>
      <rPr>
        <sz val="11"/>
        <rFont val="Arial"/>
        <family val="2"/>
      </rPr>
      <t xml:space="preserve">.  </t>
    </r>
    <r>
      <rPr>
        <b/>
        <sz val="11"/>
        <color indexed="10"/>
        <rFont val="Arial"/>
        <family val="2"/>
      </rPr>
      <t>(Student Attendance Accounting Handbook, Section V)</t>
    </r>
    <r>
      <rPr>
        <sz val="11"/>
        <rFont val="Arial"/>
        <family val="2"/>
      </rPr>
      <t>.</t>
    </r>
  </si>
  <si>
    <r>
      <t xml:space="preserve">Enter the estimated number of students that will participate in a </t>
    </r>
    <r>
      <rPr>
        <b/>
        <sz val="11"/>
        <rFont val="Arial"/>
        <family val="2"/>
      </rPr>
      <t>Texas state-approved Career and Technology (Vocational) course for an average of 150-180 minutes per day</t>
    </r>
    <r>
      <rPr>
        <sz val="11"/>
        <rFont val="Arial"/>
        <family val="2"/>
      </rPr>
      <t xml:space="preserve">.  </t>
    </r>
    <r>
      <rPr>
        <b/>
        <sz val="11"/>
        <color indexed="10"/>
        <rFont val="Arial"/>
        <family val="2"/>
      </rPr>
      <t>(Student Attendance Accounting Handbook, Section V)</t>
    </r>
    <r>
      <rPr>
        <sz val="11"/>
        <rFont val="Arial"/>
        <family val="2"/>
      </rPr>
      <t>.</t>
    </r>
  </si>
  <si>
    <r>
      <t xml:space="preserve">Enter the estimated number of students that will participate in </t>
    </r>
    <r>
      <rPr>
        <b/>
        <sz val="11"/>
        <rFont val="Arial"/>
        <family val="2"/>
      </rPr>
      <t xml:space="preserve">more than one Texas state-approved Career and Technology (Vocational) course </t>
    </r>
    <r>
      <rPr>
        <sz val="11"/>
        <rFont val="Arial"/>
        <family val="2"/>
      </rPr>
      <t xml:space="preserve">(Example, one V1 class and One V3 class) </t>
    </r>
    <r>
      <rPr>
        <b/>
        <sz val="11"/>
        <color indexed="10"/>
        <rFont val="Arial"/>
        <family val="2"/>
      </rPr>
      <t>(Student Attendance Accounting Handbook, Section V)</t>
    </r>
    <r>
      <rPr>
        <sz val="11"/>
        <rFont val="Arial"/>
        <family val="2"/>
      </rPr>
      <t>.</t>
    </r>
  </si>
  <si>
    <r>
      <t xml:space="preserve">Enter the estimated number of students that will participate in </t>
    </r>
    <r>
      <rPr>
        <b/>
        <sz val="11"/>
        <rFont val="Arial"/>
        <family val="2"/>
      </rPr>
      <t>more than one Texas state-approved Career and Technology (Vocational) course</t>
    </r>
    <r>
      <rPr>
        <sz val="11"/>
        <rFont val="Arial"/>
        <family val="2"/>
      </rPr>
      <t xml:space="preserve"> (Example, one V2 class and One V3 class) </t>
    </r>
    <r>
      <rPr>
        <b/>
        <sz val="11"/>
        <color indexed="10"/>
        <rFont val="Arial"/>
        <family val="2"/>
      </rPr>
      <t>(Student Attendance Accounting Handbook, Section V)</t>
    </r>
    <r>
      <rPr>
        <sz val="11"/>
        <rFont val="Arial"/>
        <family val="2"/>
      </rPr>
      <t>.</t>
    </r>
  </si>
  <si>
    <r>
      <t xml:space="preserve">Enter the estimated number of students that will  participate in </t>
    </r>
    <r>
      <rPr>
        <b/>
        <sz val="11"/>
        <rFont val="Arial"/>
        <family val="2"/>
      </rPr>
      <t xml:space="preserve">more than one Texas state-approved Career and Technology (Vocational) course </t>
    </r>
    <r>
      <rPr>
        <sz val="11"/>
        <rFont val="Arial"/>
        <family val="2"/>
      </rPr>
      <t xml:space="preserve">(Example, two V3 classes) </t>
    </r>
    <r>
      <rPr>
        <b/>
        <sz val="11"/>
        <color indexed="10"/>
        <rFont val="Arial"/>
        <family val="2"/>
      </rPr>
      <t>(Student Attendance Accounting Handbook, Section V)</t>
    </r>
    <r>
      <rPr>
        <sz val="11"/>
        <rFont val="Arial"/>
        <family val="2"/>
      </rPr>
      <t>.</t>
    </r>
  </si>
  <si>
    <r>
      <t xml:space="preserve">Enter the estimated number of students that will be identified as Gifted and Talented and served in a </t>
    </r>
    <r>
      <rPr>
        <b/>
        <sz val="11"/>
        <rFont val="Arial"/>
        <family val="2"/>
      </rPr>
      <t>Gifted and Talented program</t>
    </r>
    <r>
      <rPr>
        <sz val="11"/>
        <rFont val="Arial"/>
        <family val="2"/>
      </rPr>
      <t xml:space="preserve"> pursuant to </t>
    </r>
    <r>
      <rPr>
        <b/>
        <sz val="11"/>
        <rFont val="Arial"/>
        <family val="2"/>
      </rPr>
      <t>Texas Education Code 29.121.</t>
    </r>
    <r>
      <rPr>
        <sz val="11"/>
        <rFont val="Arial"/>
        <family val="2"/>
      </rPr>
      <t xml:space="preserve">  </t>
    </r>
    <r>
      <rPr>
        <b/>
        <sz val="11"/>
        <color indexed="10"/>
        <rFont val="Arial"/>
        <family val="2"/>
      </rPr>
      <t>(Student Attendance Accounting Handbook, Section VIII)</t>
    </r>
    <r>
      <rPr>
        <sz val="11"/>
        <rFont val="Arial"/>
        <family val="2"/>
      </rPr>
      <t>.</t>
    </r>
  </si>
  <si>
    <r>
      <t xml:space="preserve">Enter the estimated number of students that may be </t>
    </r>
    <r>
      <rPr>
        <b/>
        <sz val="11"/>
        <rFont val="Arial"/>
        <family val="2"/>
      </rPr>
      <t>pregnant and receiving Pregnancy Related Services</t>
    </r>
    <r>
      <rPr>
        <sz val="11"/>
        <rFont val="Arial"/>
        <family val="2"/>
      </rPr>
      <t xml:space="preserve">.  </t>
    </r>
    <r>
      <rPr>
        <b/>
        <sz val="11"/>
        <color indexed="10"/>
        <rFont val="Arial"/>
        <family val="2"/>
      </rPr>
      <t>(Student Attendance Accounting Handbook, Section IX)</t>
    </r>
    <r>
      <rPr>
        <sz val="11"/>
        <rFont val="Arial"/>
        <family val="2"/>
      </rPr>
      <t>. (Example: If one student is estimated to be pregnant for 90 days this school year and another student is estimated to be pregnant 100 days; then enter 1.055 which is the result of 190/180).</t>
    </r>
  </si>
  <si>
    <r>
      <t xml:space="preserve">Enter the estimated number of students that will be placed in the </t>
    </r>
    <r>
      <rPr>
        <b/>
        <sz val="11"/>
        <rFont val="Arial"/>
        <family val="2"/>
      </rPr>
      <t>Bilingual/ESL</t>
    </r>
    <r>
      <rPr>
        <sz val="11"/>
        <rFont val="Arial"/>
        <family val="2"/>
      </rPr>
      <t xml:space="preserve"> Program by the Language Proficiency Assessment Committee (LPAC).  </t>
    </r>
    <r>
      <rPr>
        <b/>
        <sz val="11"/>
        <color indexed="10"/>
        <rFont val="Arial"/>
        <family val="2"/>
      </rPr>
      <t>(Student Attendance Accounting Handbook, Section VI)</t>
    </r>
    <r>
      <rPr>
        <sz val="11"/>
        <rFont val="Arial"/>
        <family val="2"/>
      </rPr>
      <t>.</t>
    </r>
  </si>
  <si>
    <t xml:space="preserve">Enter the number of High School ADA (Grades 9-12) this charter will have in 2008-09. </t>
  </si>
  <si>
    <t>Enter the estimated Regular Program Transportation Allotment from 2007-08</t>
  </si>
  <si>
    <t>Enter the estimated Special Education Program Transportation Allotment from 2007-08</t>
  </si>
  <si>
    <t>State Average Target Revenue</t>
  </si>
  <si>
    <t>Enter the estimated Career and Technology Program Transportation Allotment from 2007-08</t>
  </si>
  <si>
    <t>Enter the estimated Additional State Aid for Employee Benefits from 2007-08.</t>
  </si>
  <si>
    <t>40% TOTAL</t>
  </si>
  <si>
    <t>60% TOTAL</t>
  </si>
  <si>
    <t>UNIVERSITY OF TEXAS UNIVERSITY CHARTER SCHOOL</t>
  </si>
  <si>
    <t>University of Texas at Austin</t>
  </si>
  <si>
    <t>Fruit of Excellence Program</t>
  </si>
  <si>
    <t>Chaparral Star Academy, Inc.</t>
  </si>
  <si>
    <t>HARMONY SCIENCE ACADEMY (AUSTIN)</t>
  </si>
  <si>
    <t>Cedars Academy</t>
  </si>
  <si>
    <t>UNIVERSITY OF TEXAS ELEMENTARY CHARTER SCHOOL</t>
  </si>
  <si>
    <t>KIPP Austin College Preparatory School, Inc.</t>
  </si>
  <si>
    <t>ADSI</t>
  </si>
  <si>
    <t>HARMONY ELEMENTARY (AUSTIN)</t>
  </si>
  <si>
    <t>Community Council of Southwest Texas, Inc.</t>
  </si>
  <si>
    <t>Ranch Academy and Life Skills Center (The )</t>
  </si>
  <si>
    <t>Outreach Word Academy</t>
  </si>
  <si>
    <t>Gulf Coast Trades Center, Inc.</t>
  </si>
  <si>
    <t>GATEWAY (STUDENT ALTERNATIVE PROGRAM INC)</t>
  </si>
  <si>
    <t>Bright Ideas School</t>
  </si>
  <si>
    <t>AP</t>
  </si>
  <si>
    <t>ST_RTE4</t>
  </si>
  <si>
    <t>State AVerage DTR4</t>
  </si>
  <si>
    <t>Additional State Aid Under HB1 78th Session ($110 per WADA)</t>
  </si>
  <si>
    <t>Full-Time Staff (Does not include Administrators)</t>
  </si>
  <si>
    <t>Part-Time Staff  (Does not include Administrators)</t>
  </si>
  <si>
    <t>FM073130</t>
  </si>
  <si>
    <t>ONE STOP MULTISERVICE CHARTER SCHOOL</t>
  </si>
  <si>
    <t>TECHNOLOGY EDUCATION CHARTER HIGH SCHOOL</t>
  </si>
  <si>
    <t>MID-VALLEY ACADEMY</t>
  </si>
  <si>
    <t>VANGUARD ACADEMY</t>
  </si>
  <si>
    <t>ACADEMY OF BEAUMONT</t>
  </si>
  <si>
    <t>RICHARD MILBURN ACADEMY (BEAUMONT)</t>
  </si>
  <si>
    <t>RISE ACADEMY</t>
  </si>
  <si>
    <t>MIDLAND ACADEMY CHARTER SCHOOL</t>
  </si>
  <si>
    <t>TEXAS SERENITY ACADEMY</t>
  </si>
  <si>
    <t>SEASHORE LEARNING CTR CHARTER</t>
  </si>
  <si>
    <t>PANOLA CHARTER SCHOOL</t>
  </si>
  <si>
    <t>RICHARD MILBURN ACADEMY (AMARILLO)</t>
  </si>
  <si>
    <t>BIG SPRINGS CHARTER SCHOOL</t>
  </si>
  <si>
    <t>CUMBERLAND ACADEMY</t>
  </si>
  <si>
    <t>AZLEWAY CHARTER SCHOOL</t>
  </si>
  <si>
    <t>BRAZOS RIVER CHARTER SCHOOL</t>
  </si>
  <si>
    <t>TREETOPS SCHOOL INTERNATIONAL</t>
  </si>
  <si>
    <t>ARLINGTON CLASSICS ACADEMY</t>
  </si>
  <si>
    <t>FORT WORTH CAN ACADEMY</t>
  </si>
  <si>
    <t>THERESA B LEE ACADEMY</t>
  </si>
  <si>
    <t>FORT WORTH ACADEMY OF FINE ARTS</t>
  </si>
  <si>
    <t>EDEN PARK ACADEMY</t>
  </si>
  <si>
    <t>NYOS CHARTER SCHOOL</t>
  </si>
  <si>
    <t>TEXAS EMPOWERMENT ACADEMY</t>
  </si>
  <si>
    <t>FRUIT OF EXCELLENCE</t>
  </si>
  <si>
    <t>STAR CHARTER SCHOOL</t>
  </si>
  <si>
    <t>CEDARS INTERNATIONAL ACADEMY</t>
  </si>
  <si>
    <t>AUSTIN CAN ACADEMY CHARTER SCHOOL</t>
  </si>
  <si>
    <t>KIPP AUSTIN COLLEGE PREP</t>
  </si>
  <si>
    <t>GABRIEL TAFOLLA CHARTER SCHOOL</t>
  </si>
  <si>
    <t>RANCH ACADEMY</t>
  </si>
  <si>
    <t>OUTREACH WORD ACADEMY</t>
  </si>
  <si>
    <t>RAVEN SCHOOL</t>
  </si>
  <si>
    <t>BRIGHT IDEAS CHARTER</t>
  </si>
  <si>
    <t>NONE</t>
  </si>
  <si>
    <t>COLUMN</t>
  </si>
  <si>
    <t xml:space="preserve">Number of Pregnancy Related Students </t>
  </si>
  <si>
    <t>Number Enrolled in Bilingual/ESL</t>
  </si>
  <si>
    <t>Transportation:</t>
  </si>
  <si>
    <t>Regular Program</t>
  </si>
  <si>
    <t>Special Education</t>
  </si>
  <si>
    <t>Career and Technology</t>
  </si>
  <si>
    <t>State Average Adjusted Allotment</t>
  </si>
  <si>
    <t>State Average DTR</t>
  </si>
  <si>
    <t xml:space="preserve">Did Charter Holder have a charter in Opertion on January 1, 2006? </t>
  </si>
  <si>
    <t>WINFREE ACADEMY CHARTER SCHOOLS</t>
  </si>
  <si>
    <t>PEAK PREPARATORY SCHOOL</t>
  </si>
  <si>
    <t>BURNHAM WOOD CHARTER SCHOOL DISTRICT</t>
  </si>
  <si>
    <t>YES PREPARATORY PUBLIC SCHOOLS</t>
  </si>
  <si>
    <t>PLEASANTON ISD</t>
  </si>
  <si>
    <t>SEALY ISD</t>
  </si>
  <si>
    <t>JOHNSON CITY ISD</t>
  </si>
  <si>
    <t>VALLEY MILLS ISD</t>
  </si>
  <si>
    <t>CLYDE CISD</t>
  </si>
  <si>
    <t>EULA ISD</t>
  </si>
  <si>
    <t>MELISSA ISD</t>
  </si>
  <si>
    <t>BLUE RIDGE ISD</t>
  </si>
  <si>
    <t>LOVEJOY ISD</t>
  </si>
  <si>
    <t>CHILTON ISD</t>
  </si>
  <si>
    <t>NEEDVILLE ISD</t>
  </si>
  <si>
    <t>NIXON-SMILEY CISD</t>
  </si>
  <si>
    <t>ANDERSON-SHIRO CISD</t>
  </si>
  <si>
    <t>RICHARDS ISD</t>
  </si>
  <si>
    <t>KOUNTZE ISD</t>
  </si>
  <si>
    <t>CROCKETT ISD</t>
  </si>
  <si>
    <t>LOVELADY ISD</t>
  </si>
  <si>
    <t>QUINLAN ISD</t>
  </si>
  <si>
    <t>HAWLEY ISD</t>
  </si>
  <si>
    <t>STAMFORD ISD</t>
  </si>
  <si>
    <t>CLEVELAND ISD</t>
  </si>
  <si>
    <t>MADISONVILLE CISD</t>
  </si>
  <si>
    <t>VAN VLECK ISD</t>
  </si>
  <si>
    <t>CRAWFORD ISD</t>
  </si>
  <si>
    <t>LORENA ISD</t>
  </si>
  <si>
    <t>MCGREGOR ISD</t>
  </si>
  <si>
    <t>WEST ISD</t>
  </si>
  <si>
    <t>BRUCEVILLE-EDDY ISD</t>
  </si>
  <si>
    <t>BOSQUEVILLE ISD</t>
  </si>
  <si>
    <t>DEVINE ISD</t>
  </si>
  <si>
    <t>ROCKDALE ISD</t>
  </si>
  <si>
    <t>ONALASKA ISD</t>
  </si>
  <si>
    <t>MUMFORD ISD</t>
  </si>
  <si>
    <t>CARLISLE ISD</t>
  </si>
  <si>
    <t>COLDSPRING-OAKHURST CISD</t>
  </si>
  <si>
    <t>MERKEL ISD</t>
  </si>
  <si>
    <t>JIM NED CISD</t>
  </si>
  <si>
    <t>TRINITY ISD</t>
  </si>
  <si>
    <t>WHARTON ISD</t>
  </si>
  <si>
    <t>LASARA ISD</t>
  </si>
  <si>
    <t>HARMONY SCHOOL OF INNOVATION</t>
  </si>
  <si>
    <t>THE SCHOOL OF LIBERAL ARTS AND SCIENCE</t>
  </si>
  <si>
    <t>The School of Liberal Arts and Science, Inc.</t>
  </si>
  <si>
    <t>HARMONY SCIENCE ACADEMY- College Station</t>
  </si>
  <si>
    <t>LA FE PREPARATORY SCHOOL</t>
  </si>
  <si>
    <t>La Fe Community Development Corporation</t>
  </si>
  <si>
    <t>AMBASSADORS PREPARATORY ACADEMY</t>
  </si>
  <si>
    <t>FOCUS (Family of Communities United in Service)</t>
  </si>
  <si>
    <t>HARMONY SCIENCE ACADEMY- BEAUMONT</t>
  </si>
  <si>
    <t>HARMONY SCIENCE ACADEMY- LUBBOCK</t>
  </si>
  <si>
    <t>SEASHORE MIDDLE ACADEMY</t>
  </si>
  <si>
    <t>Island Foundation</t>
  </si>
  <si>
    <t>NORTH TEXAS ELEMENTARY SCHOOL OF THE ARTS</t>
  </si>
  <si>
    <t>Texas Boys Choir, Inc.</t>
  </si>
  <si>
    <t>Harmony Science Academy-Waco</t>
  </si>
  <si>
    <t xml:space="preserve">Cosmos Foundation, Inc. </t>
  </si>
  <si>
    <t>Rhodes School, The [Houston]</t>
  </si>
  <si>
    <t>Rhodes School, The</t>
  </si>
  <si>
    <t>SAILL [Austin]</t>
  </si>
  <si>
    <t>Technology and Inclusion Incorporated</t>
  </si>
  <si>
    <t>Trinity Basin Preparatory, Inc.</t>
  </si>
  <si>
    <t>Responsive Education Solutions</t>
  </si>
  <si>
    <t>Dallas County Community College District</t>
  </si>
  <si>
    <t>2007-08 Template ADA</t>
  </si>
  <si>
    <t>Preparer Name and Title (Please Print)</t>
  </si>
  <si>
    <t>Preparer Signature</t>
  </si>
  <si>
    <t>Number Enrolled in Homebound (Code 01)</t>
  </si>
  <si>
    <t>Number Enrolled in Hospital Class (Code 02)</t>
  </si>
  <si>
    <t>AUSTIN DISCOVERY SCHOOL</t>
  </si>
  <si>
    <t>CORPUS CHRISTI MONTESSORI SCHOOL</t>
  </si>
  <si>
    <t>Number Enrolled in Speech Therapy (Code 00)</t>
  </si>
  <si>
    <t>Number Enrolled in Resource Room (Code 41 &amp; 42)</t>
  </si>
  <si>
    <t>Number Enrolled in VAC (Code 08)</t>
  </si>
  <si>
    <t>Number Enrolled from State Schools (Code 30)</t>
  </si>
  <si>
    <t>DUE DATE: FRIDAY, AUGUST 22, 2008</t>
  </si>
  <si>
    <t>Number Enrolled in Residential Care &amp; Treatment (Code 81-89)</t>
  </si>
  <si>
    <t>Number Enrolled in Mainstream (Code 40)</t>
  </si>
  <si>
    <t>Column</t>
  </si>
  <si>
    <t>TOTAL FSP</t>
  </si>
  <si>
    <t>EAGLE ACADEMIES OF TEXAS</t>
  </si>
  <si>
    <t>Gifted &amp; Talented Enrollment</t>
  </si>
  <si>
    <t>Refined ADA</t>
  </si>
  <si>
    <t>Special Education FTEs:</t>
  </si>
  <si>
    <t>Career &amp; Technology FTEs</t>
  </si>
  <si>
    <t>Regular Program ADA</t>
  </si>
  <si>
    <t>Mainstream ADA</t>
  </si>
  <si>
    <t>Compensatory Ed Enrollment</t>
  </si>
  <si>
    <t>Pregnancy-related FTEs</t>
  </si>
  <si>
    <t>Bilingual ADA</t>
  </si>
  <si>
    <t>Regular Program Participation</t>
  </si>
  <si>
    <t>Special Education Participation</t>
  </si>
  <si>
    <t>Mainstream Program Participation</t>
  </si>
  <si>
    <t>Career &amp; Technology Program Participation</t>
  </si>
  <si>
    <t>Gifted &amp; Talented Program Participation</t>
  </si>
  <si>
    <t>Compensatory Education Program Participation</t>
  </si>
  <si>
    <t>Bilingual Education Participation</t>
  </si>
  <si>
    <t>Pregnancy-related Program Participation</t>
  </si>
  <si>
    <t>Total Weighted ADA</t>
  </si>
  <si>
    <t>Funding Data:</t>
  </si>
  <si>
    <t>Method 1 Revenue per ADA</t>
  </si>
  <si>
    <t>Method 2 Revenue per Weighted ADA</t>
  </si>
  <si>
    <t>Total Estimated State Aid Entitlement (larger method)</t>
  </si>
  <si>
    <t>Funding Breakdown by Program:</t>
  </si>
  <si>
    <t>Full Time Early Childhood (Code 45)</t>
  </si>
  <si>
    <t>CDN</t>
  </si>
  <si>
    <t>School District</t>
  </si>
  <si>
    <t>Weighted Adjustment Factor</t>
  </si>
  <si>
    <t>Method 1 Variable per ADA</t>
  </si>
  <si>
    <t>Method 2 Variable per WADA</t>
  </si>
  <si>
    <t>ALAMO HEIGHTS ISD</t>
  </si>
  <si>
    <t>EDGEWOOD ISD</t>
  </si>
  <si>
    <t>SAN ANTONIO ISD</t>
  </si>
  <si>
    <t>SOMERSET ISD</t>
  </si>
  <si>
    <t>EAST CENTRAL ISD</t>
  </si>
  <si>
    <t>SOUTHWEST ISD</t>
  </si>
  <si>
    <t>LACKLAND ISD</t>
  </si>
  <si>
    <t>NORTHSIDE ISD</t>
  </si>
  <si>
    <t>JUDSON ISD</t>
  </si>
  <si>
    <t>Technology Allotment ($30 per ADA)</t>
  </si>
  <si>
    <t>Additional State Aid Under HB1 ($110 X WADA)</t>
  </si>
  <si>
    <t>Regular Program Block Grant</t>
  </si>
  <si>
    <t>Special Education Block Grant (85%)</t>
  </si>
  <si>
    <t>Mainstream Special Education (85%)</t>
  </si>
  <si>
    <t>Gifted &amp; Talented Operational Grant (85%)</t>
  </si>
  <si>
    <t>Regular Compensatory Ed (85%)</t>
  </si>
  <si>
    <t>Pregnancy Related Services Allocation (85%)</t>
  </si>
  <si>
    <t>Bilingual Education Block Grant (85%)</t>
  </si>
  <si>
    <t>Career &amp; Technology Block Grant (90%)</t>
  </si>
  <si>
    <r>
      <t>Enter the charter school's county district number (CDN)</t>
    </r>
    <r>
      <rPr>
        <b/>
        <sz val="11"/>
        <rFont val="Arial"/>
        <family val="2"/>
      </rPr>
      <t xml:space="preserve"> </t>
    </r>
    <r>
      <rPr>
        <sz val="11"/>
        <rFont val="Arial"/>
        <family val="2"/>
      </rPr>
      <t>without using dashes or spaces.</t>
    </r>
  </si>
  <si>
    <t xml:space="preserve">PLEASE MAIL </t>
  </si>
  <si>
    <t>THIS PAGE, ENROLLMENT AND  RISD PAGES TO:</t>
  </si>
  <si>
    <t>Texas Education Agency</t>
  </si>
  <si>
    <t>Division of State Funding</t>
  </si>
  <si>
    <t>PLEASE MAIL THIS PAGE AND ENROLLMENT PAGES TO:</t>
  </si>
  <si>
    <t>Upon completion of the template, print the STATE AVG and ENROLLMENT pages</t>
  </si>
  <si>
    <t>Upon completion of the template, print the ENROLLMENT, RESIDENT DISTRICT AND RISD pages.</t>
  </si>
  <si>
    <r>
      <t xml:space="preserve">Preparer </t>
    </r>
    <r>
      <rPr>
        <b/>
        <u val="single"/>
        <sz val="11"/>
        <rFont val="Arial"/>
        <family val="2"/>
      </rPr>
      <t xml:space="preserve">and </t>
    </r>
    <r>
      <rPr>
        <b/>
        <sz val="11"/>
        <rFont val="Arial"/>
        <family val="2"/>
      </rPr>
      <t>Superintendent must sign, date and include contact numbers.</t>
    </r>
  </si>
  <si>
    <r>
      <t xml:space="preserve">STATE AVG  WORKSHEET INSTRUCTIONS (For Charter Schools initially in operation </t>
    </r>
    <r>
      <rPr>
        <b/>
        <u val="single"/>
        <sz val="11"/>
        <rFont val="Arial"/>
        <family val="2"/>
      </rPr>
      <t>on or after</t>
    </r>
    <r>
      <rPr>
        <b/>
        <sz val="11"/>
        <rFont val="Arial"/>
        <family val="2"/>
      </rPr>
      <t xml:space="preserve"> 09/01/01) Charter schools initially in operation </t>
    </r>
    <r>
      <rPr>
        <b/>
        <u val="single"/>
        <sz val="11"/>
        <rFont val="Arial"/>
        <family val="2"/>
      </rPr>
      <t>prior to</t>
    </r>
    <r>
      <rPr>
        <b/>
        <sz val="11"/>
        <rFont val="Arial"/>
        <family val="2"/>
      </rPr>
      <t xml:space="preserve"> 09/01/01, RESIDENT DISTRICT WORKSHEET INSTRUCTIONS BELOW.</t>
    </r>
  </si>
  <si>
    <t>State Share of Tier I</t>
  </si>
  <si>
    <r>
      <t xml:space="preserve">Enter the </t>
    </r>
    <r>
      <rPr>
        <b/>
        <sz val="11"/>
        <rFont val="Arial"/>
        <family val="2"/>
      </rPr>
      <t>highest six months average</t>
    </r>
    <r>
      <rPr>
        <sz val="11"/>
        <rFont val="Arial"/>
        <family val="2"/>
      </rPr>
      <t xml:space="preserve"> of students that were eligible to participate in the National School Lunch and Breakfast Program(NSLBP) from </t>
    </r>
    <r>
      <rPr>
        <b/>
        <sz val="11"/>
        <rFont val="Arial"/>
        <family val="2"/>
      </rPr>
      <t>October 2007 through September 2008</t>
    </r>
    <r>
      <rPr>
        <sz val="11"/>
        <rFont val="Arial"/>
        <family val="2"/>
      </rPr>
      <t xml:space="preserve">.  This information may be obtained from </t>
    </r>
    <r>
      <rPr>
        <b/>
        <sz val="11"/>
        <rFont val="Arial"/>
        <family val="2"/>
      </rPr>
      <t>1)</t>
    </r>
    <r>
      <rPr>
        <sz val="11"/>
        <rFont val="Arial"/>
        <family val="2"/>
      </rPr>
      <t xml:space="preserve">  CNPIMS Claims submitted to the Texas Department of Agriculture Division of Child Nutrition or  </t>
    </r>
    <r>
      <rPr>
        <b/>
        <sz val="11"/>
        <rFont val="Arial"/>
        <family val="2"/>
      </rPr>
      <t>2)</t>
    </r>
    <r>
      <rPr>
        <sz val="11"/>
        <rFont val="Arial"/>
        <family val="2"/>
      </rPr>
      <t xml:space="preserve"> Alternative  Funding Basic Monthly Claims submitted to the Division of State Funding, or </t>
    </r>
    <r>
      <rPr>
        <b/>
        <sz val="11"/>
        <rFont val="Arial"/>
        <family val="2"/>
      </rPr>
      <t>3)</t>
    </r>
    <r>
      <rPr>
        <sz val="11"/>
        <rFont val="Arial"/>
        <family val="2"/>
      </rPr>
      <t xml:space="preserve"> TXDHS or ISD NSLBP Contract or </t>
    </r>
    <r>
      <rPr>
        <b/>
        <sz val="11"/>
        <rFont val="Arial"/>
        <family val="2"/>
      </rPr>
      <t xml:space="preserve">4) </t>
    </r>
    <r>
      <rPr>
        <sz val="11"/>
        <rFont val="Arial"/>
        <family val="2"/>
      </rPr>
      <t xml:space="preserve">Residential Care and Treatment documentation submitted to the Division of State Funding.  </t>
    </r>
    <r>
      <rPr>
        <b/>
        <sz val="11"/>
        <rFont val="Arial"/>
        <family val="2"/>
      </rPr>
      <t xml:space="preserve">New Schools whose first year of operation is the 2008-2009 school year </t>
    </r>
    <r>
      <rPr>
        <sz val="11"/>
        <rFont val="Arial"/>
        <family val="2"/>
      </rPr>
      <t xml:space="preserve">may estimate the the first year's State Comp Ed Eligibility by using the projected </t>
    </r>
    <r>
      <rPr>
        <b/>
        <sz val="11"/>
        <rFont val="Arial"/>
        <family val="2"/>
      </rPr>
      <t>October 2008 through September 2009</t>
    </r>
    <r>
      <rPr>
        <sz val="11"/>
        <rFont val="Arial"/>
        <family val="2"/>
      </rPr>
      <t xml:space="preserve"> counts to be submitted in the documention described in items 1-4.</t>
    </r>
  </si>
  <si>
    <t>Total Cost of Tier I</t>
  </si>
  <si>
    <t>Total Tier II</t>
  </si>
  <si>
    <t>Total Foundation</t>
  </si>
  <si>
    <r>
      <t xml:space="preserve">If in cell </t>
    </r>
    <r>
      <rPr>
        <b/>
        <u val="single"/>
        <sz val="11"/>
        <rFont val="Arial"/>
        <family val="2"/>
      </rPr>
      <t>D8</t>
    </r>
    <r>
      <rPr>
        <b/>
        <sz val="11"/>
        <rFont val="Arial"/>
        <family val="2"/>
      </rPr>
      <t xml:space="preserve"> this template indicates that the charter school had a material increase in ADA from the prior year FSP ADA, the Superintendent </t>
    </r>
    <r>
      <rPr>
        <b/>
        <u val="single"/>
        <sz val="11"/>
        <rFont val="Arial"/>
        <family val="2"/>
      </rPr>
      <t>must provide justification for the increase</t>
    </r>
    <r>
      <rPr>
        <b/>
        <sz val="11"/>
        <rFont val="Arial"/>
        <family val="2"/>
      </rPr>
      <t xml:space="preserve"> and must specify if the charter school is utilizing new or existing facilities to serve these additional students.  </t>
    </r>
    <r>
      <rPr>
        <b/>
        <u val="single"/>
        <sz val="11"/>
        <rFont val="Arial"/>
        <family val="2"/>
      </rPr>
      <t>Please provide explanation in the box in cells D10-D19</t>
    </r>
    <r>
      <rPr>
        <b/>
        <sz val="11"/>
        <rFont val="Arial"/>
        <family val="2"/>
      </rPr>
      <t>.  Some justifications for a material increase in ADA include but are not limited to expansion amendments that were granted for increasing the maximum enrollment, adding campuses, adding grade levels, or adding districts to the charter school's geographic boundaries.</t>
    </r>
  </si>
  <si>
    <r>
      <t xml:space="preserve">If in cell </t>
    </r>
    <r>
      <rPr>
        <b/>
        <u val="single"/>
        <sz val="11"/>
        <rFont val="Arial"/>
        <family val="2"/>
      </rPr>
      <t>F8</t>
    </r>
    <r>
      <rPr>
        <b/>
        <sz val="11"/>
        <rFont val="Arial"/>
        <family val="2"/>
      </rPr>
      <t xml:space="preserve"> this template indicates that the charter school had a material increase in ADA from the prior year FSP ADA, the Superintendent </t>
    </r>
    <r>
      <rPr>
        <b/>
        <u val="single"/>
        <sz val="11"/>
        <rFont val="Arial"/>
        <family val="2"/>
      </rPr>
      <t>must provide justification for the increase</t>
    </r>
    <r>
      <rPr>
        <b/>
        <sz val="11"/>
        <rFont val="Arial"/>
        <family val="2"/>
      </rPr>
      <t xml:space="preserve"> and must specify if the charter school is utilizing new or existing facilities to serve these additional students.  </t>
    </r>
    <r>
      <rPr>
        <b/>
        <u val="single"/>
        <sz val="11"/>
        <rFont val="Arial"/>
        <family val="2"/>
      </rPr>
      <t>Please provide explanation in the box in cells D11-D20</t>
    </r>
    <r>
      <rPr>
        <b/>
        <sz val="11"/>
        <rFont val="Arial"/>
        <family val="2"/>
      </rPr>
      <t>.  Some justifications for a material increase in ADA include but are not limited to expansion amendments that were granted for increasing the maximum enrollment, adding campuses, adding grade levels, or adding districts to the charter school's geographic boundaries.</t>
    </r>
  </si>
  <si>
    <t>Type "sf161" (lowercase) in cell A1 to Override Enrollment Tab</t>
  </si>
  <si>
    <t>LIGHTHOUSE CHARTER SCHOOL</t>
  </si>
  <si>
    <t>RICHARD MILBURN ACADEMY (ECTOR COUNTY)</t>
  </si>
  <si>
    <t>RICHARD MILBURN ACADEMY (SUBURBAN HOUSTON)</t>
  </si>
  <si>
    <t>EAST FORT WORTH MONTESSORI ACADEMY</t>
  </si>
  <si>
    <t>RICHARD MILBURN ACADEMY (FORT WORTH)</t>
  </si>
  <si>
    <t>ENTER CHARTER SCHOOL CDN BELOW (NO DASHES):</t>
  </si>
  <si>
    <t>Stave Average Adjusted Basic Allotment</t>
  </si>
  <si>
    <t>State Average Adjusted Basic Allotment</t>
  </si>
  <si>
    <t>Adjusted GYA</t>
  </si>
  <si>
    <t>A</t>
  </si>
  <si>
    <t>B-AO</t>
  </si>
  <si>
    <t>Funding</t>
  </si>
  <si>
    <t>DistResPartCDN</t>
  </si>
  <si>
    <t>PreKandKGrant</t>
  </si>
  <si>
    <t>HomeBound</t>
  </si>
  <si>
    <t>Hospital</t>
  </si>
  <si>
    <t>Speech</t>
  </si>
  <si>
    <t>Resource</t>
  </si>
  <si>
    <t>SC_Mild_Mod_Severe</t>
  </si>
  <si>
    <t>Full_Time_Early_Childhood</t>
  </si>
  <si>
    <t>Off_Home_Campus</t>
  </si>
  <si>
    <t>VAC</t>
  </si>
  <si>
    <t>State_schools</t>
  </si>
  <si>
    <t>Res_Care_And_Treat</t>
  </si>
  <si>
    <t>Tot_Spec_Ed_Fte</t>
  </si>
  <si>
    <t>C_and_T_Fte</t>
  </si>
  <si>
    <t>MainStream</t>
  </si>
  <si>
    <t>G_And_T</t>
  </si>
  <si>
    <t>Comp_Ed</t>
  </si>
  <si>
    <t>PRS</t>
  </si>
  <si>
    <t>BIL_ESL_ADA</t>
  </si>
  <si>
    <t>Reg Pgm ADA</t>
  </si>
  <si>
    <t>PEG ADA</t>
  </si>
  <si>
    <t>EYS_Home_Bound</t>
  </si>
  <si>
    <t>EYS_Hospital</t>
  </si>
  <si>
    <t>EYS_Speech</t>
  </si>
  <si>
    <t>EYS_Resource</t>
  </si>
  <si>
    <t>EYS_SC_Mild</t>
  </si>
  <si>
    <t>EYS Off Home Campus</t>
  </si>
  <si>
    <t>EYS VAC</t>
  </si>
  <si>
    <t>EYS State School</t>
  </si>
  <si>
    <t>EYS Res Care Treat</t>
  </si>
  <si>
    <t>PALESTINE ISD</t>
  </si>
  <si>
    <t>Adjusted  Allotment</t>
  </si>
  <si>
    <t>HARLANDALE ISD</t>
  </si>
  <si>
    <t>RANDOLPH FIELD ISD</t>
  </si>
  <si>
    <t>SOUTH SAN ANTONIO ISD</t>
  </si>
  <si>
    <t>NORTH EAST ISD</t>
  </si>
  <si>
    <t>FT SAM HOUSTON ISD</t>
  </si>
  <si>
    <t>SOUTHSIDE ISD</t>
  </si>
  <si>
    <t>BLANCO ISD</t>
  </si>
  <si>
    <t>COMAL ISD</t>
  </si>
  <si>
    <t>FSP PAYMENT SYSTEM - ESTIMATE REPORT</t>
  </si>
  <si>
    <r>
      <t xml:space="preserve">FSP ESTIMATE </t>
    </r>
    <r>
      <rPr>
        <b/>
        <u val="single"/>
        <sz val="10"/>
        <color indexed="12"/>
        <rFont val="Arial"/>
        <family val="2"/>
      </rPr>
      <t>WILL NOT BE PROCESSED</t>
    </r>
  </si>
  <si>
    <t>RESIDENT DISTRICT  WORKSHEET INSTRUCTIONS (For Charter Schools initially in operation before 09/01/01)</t>
  </si>
  <si>
    <t xml:space="preserve">ALSO SEND  DATA FROM RISD PAGES VIA THE </t>
  </si>
  <si>
    <t>Percentage Rate of Attendance</t>
  </si>
  <si>
    <t>State Avg</t>
  </si>
  <si>
    <t>BROOKS ACADEMY OF SCIENCE AND ENGINEERING</t>
  </si>
  <si>
    <t>LA ACADEMIA DE ESTRELLAS</t>
  </si>
  <si>
    <t>HARMONY SCHOOL OF EXCELLENCE</t>
  </si>
  <si>
    <t>KIPP SOUTHEAST HOUSTON</t>
  </si>
  <si>
    <t>Additional State Aid for Tax Relief</t>
  </si>
  <si>
    <t>State Average DTR- Level III</t>
  </si>
  <si>
    <t>SCHERTZ-CIBOLO-U CITY ISD</t>
  </si>
  <si>
    <t>Enter the number of Classroom Teachers, FT Librarian, FT RN and FT Counselors</t>
  </si>
  <si>
    <t xml:space="preserve">Classroom Teacher, FT Librarian, RN, &amp; Counselors </t>
  </si>
  <si>
    <t xml:space="preserve"> INITIALLY IN OPERATION AFTER 09/01/01</t>
  </si>
  <si>
    <t>ONLY APPLICABLE TO CHARTER SCHOOLS INITIALLY IN OPERATION ON OR BEFORE 09/01/01</t>
  </si>
  <si>
    <t>Enter the number of Part-Time Classroom Teachers</t>
  </si>
  <si>
    <t>1701 N. Congress, Austin TX 78701</t>
  </si>
  <si>
    <t>UNTIL PAPER COPY IS RECEIVED VIA USPS</t>
  </si>
  <si>
    <r>
      <t xml:space="preserve">If the charter school was </t>
    </r>
    <r>
      <rPr>
        <b/>
        <sz val="11"/>
        <rFont val="Arial"/>
        <family val="2"/>
      </rPr>
      <t>INITIALLY</t>
    </r>
    <r>
      <rPr>
        <sz val="11"/>
        <rFont val="Arial"/>
        <family val="2"/>
      </rPr>
      <t xml:space="preserve"> in operation </t>
    </r>
    <r>
      <rPr>
        <b/>
        <sz val="11"/>
        <rFont val="Arial"/>
        <family val="2"/>
      </rPr>
      <t xml:space="preserve">ON OR AFTER 09/01/01, SKIP THIS STEP.  </t>
    </r>
    <r>
      <rPr>
        <sz val="11"/>
        <rFont val="Arial"/>
        <family val="2"/>
      </rPr>
      <t>Otherwise</t>
    </r>
    <r>
      <rPr>
        <b/>
        <sz val="11"/>
        <rFont val="Arial"/>
        <family val="2"/>
      </rPr>
      <t xml:space="preserve">, </t>
    </r>
    <r>
      <rPr>
        <sz val="11"/>
        <rFont val="Arial"/>
        <family val="2"/>
      </rPr>
      <t>enter the Resident District (RISD) CDNs without using dashes or spaces</t>
    </r>
    <r>
      <rPr>
        <b/>
        <sz val="11"/>
        <rFont val="Arial"/>
        <family val="2"/>
      </rPr>
      <t>.</t>
    </r>
    <r>
      <rPr>
        <sz val="11"/>
        <rFont val="Arial"/>
        <family val="2"/>
      </rPr>
      <t xml:space="preserve">  Be sure to enter the RISD CDNs in </t>
    </r>
    <r>
      <rPr>
        <b/>
        <u val="single"/>
        <sz val="11"/>
        <color indexed="12"/>
        <rFont val="Arial"/>
        <family val="2"/>
      </rPr>
      <t>numerical order</t>
    </r>
    <r>
      <rPr>
        <sz val="11"/>
        <rFont val="Arial"/>
        <family val="2"/>
      </rPr>
      <t xml:space="preserve"> (ie: 057905, 057909, 057910, etc...)</t>
    </r>
  </si>
  <si>
    <t>Date, E-Mail Address, and Phone Number</t>
  </si>
  <si>
    <r>
      <t>If the "</t>
    </r>
    <r>
      <rPr>
        <b/>
        <sz val="11"/>
        <color indexed="12"/>
        <rFont val="Arial"/>
        <family val="2"/>
      </rPr>
      <t>Sped Total Error</t>
    </r>
    <r>
      <rPr>
        <sz val="11"/>
        <rFont val="Arial"/>
        <family val="2"/>
      </rPr>
      <t>" is Displayed, then the sum of Students in Special Education Instructional Arrangements 01 though 98 is greater than the number of Students enrolled in row 9.  Please correct data before submitting.</t>
    </r>
    <r>
      <rPr>
        <sz val="11"/>
        <color indexed="10"/>
        <rFont val="Arial"/>
        <family val="2"/>
      </rPr>
      <t xml:space="preserve"> </t>
    </r>
    <r>
      <rPr>
        <b/>
        <sz val="11"/>
        <color indexed="12"/>
        <rFont val="Arial"/>
        <family val="2"/>
      </rPr>
      <t>Estimates with Special Education enrollment errors will not be processed</t>
    </r>
    <r>
      <rPr>
        <sz val="11"/>
        <color indexed="10"/>
        <rFont val="Arial"/>
        <family val="2"/>
      </rPr>
      <t>.</t>
    </r>
  </si>
  <si>
    <r>
      <t>If the "</t>
    </r>
    <r>
      <rPr>
        <b/>
        <sz val="11"/>
        <color indexed="12"/>
        <rFont val="Arial"/>
        <family val="2"/>
      </rPr>
      <t>CATE Total Error</t>
    </r>
    <r>
      <rPr>
        <sz val="11"/>
        <rFont val="Arial"/>
        <family val="2"/>
      </rPr>
      <t xml:space="preserve">" is Displayed, then the sum of Students in Career and Technology Vocational Settings 1 though 6 is greater than the number of Students enrolled in row 9.  Please correct data before submitting. </t>
    </r>
    <r>
      <rPr>
        <b/>
        <sz val="11"/>
        <color indexed="12"/>
        <rFont val="Arial"/>
        <family val="2"/>
      </rPr>
      <t>Estimates with Career and Technology Education enrollment errors will not be processed.</t>
    </r>
  </si>
  <si>
    <r>
      <t>If the "</t>
    </r>
    <r>
      <rPr>
        <b/>
        <sz val="11"/>
        <color indexed="12"/>
        <rFont val="Arial"/>
        <family val="2"/>
      </rPr>
      <t>ENROLLMENT CAP VIOLATION</t>
    </r>
    <r>
      <rPr>
        <sz val="11"/>
        <rFont val="Arial"/>
        <family val="2"/>
      </rPr>
      <t xml:space="preserve">" is Displayed, then the sum of Students enrolled is greater than the charter schools approved maximum enrollment.  Please correct data before submitting. </t>
    </r>
    <r>
      <rPr>
        <sz val="11"/>
        <color indexed="10"/>
        <rFont val="Arial"/>
        <family val="2"/>
      </rPr>
      <t xml:space="preserve"> </t>
    </r>
    <r>
      <rPr>
        <b/>
        <sz val="11"/>
        <color indexed="12"/>
        <rFont val="Arial"/>
        <family val="2"/>
      </rPr>
      <t>Estimates with enrollment cap violations will not be processed</t>
    </r>
    <r>
      <rPr>
        <sz val="11"/>
        <color indexed="10"/>
        <rFont val="Arial"/>
        <family val="2"/>
      </rPr>
      <t>.</t>
    </r>
  </si>
  <si>
    <t>F</t>
  </si>
  <si>
    <t>MEDINA VALLEY ISD</t>
  </si>
  <si>
    <t>Educator Salary Increase ($23.63 per WADA)</t>
  </si>
  <si>
    <t>RISD</t>
  </si>
  <si>
    <t>FORT WORTH ISD</t>
  </si>
  <si>
    <t>State AVerage DTR5</t>
  </si>
  <si>
    <t>ST_RTE5</t>
  </si>
  <si>
    <t>State Average DTR - Level II</t>
  </si>
  <si>
    <t>State Average DTR - Level III</t>
  </si>
  <si>
    <t>Part-Time Classroom Teacher</t>
  </si>
  <si>
    <t>Page Total</t>
  </si>
  <si>
    <t>All Pages</t>
  </si>
  <si>
    <t>TOTAL</t>
  </si>
  <si>
    <t>Total Number of Students Enrolled</t>
  </si>
  <si>
    <t>Special Education Data:</t>
  </si>
  <si>
    <t>Career &amp; Technology Data:</t>
  </si>
  <si>
    <t>Compensatory Education Enrollment</t>
  </si>
  <si>
    <t>Row</t>
  </si>
  <si>
    <t>Superintendent Signature</t>
  </si>
  <si>
    <t>ENROLLMENT WORKSHEET INSTRUCTIONS</t>
  </si>
  <si>
    <t>D</t>
  </si>
  <si>
    <t>B</t>
  </si>
  <si>
    <t>TOTAL STATE AID</t>
  </si>
  <si>
    <t>Estimate of State Aid</t>
  </si>
  <si>
    <t>Additional State Aid for Employee Benefits</t>
  </si>
  <si>
    <t>Number Enrolled in One-hour Class (Code V1)</t>
  </si>
  <si>
    <t>Number Enrolled in Two-hour Class (Code V2)</t>
  </si>
  <si>
    <t>Number Enrolled in Three-hour Class (Code V3)</t>
  </si>
  <si>
    <t>Number Enrolled in Four-hour Class (Code V4)</t>
  </si>
  <si>
    <t>Number Enrolled in Five-hour Class (Code V5)</t>
  </si>
  <si>
    <t>Number Enrolled in Six-hour Class (Code V6)</t>
  </si>
  <si>
    <t>Number Enrolled in Self-Contained Mild/Mod/Sev (Code 43 &amp; 44)</t>
  </si>
  <si>
    <t>Number Enrolled in Full-Time Early Childhood (Code 45)</t>
  </si>
  <si>
    <t>Number Enrolled in Off-Home Campus (Code 91-98)</t>
  </si>
  <si>
    <t>Homebound (Code 01)</t>
  </si>
  <si>
    <t>Hospital Class (Code 02)</t>
  </si>
  <si>
    <t>Speech Therapy (Code 00)</t>
  </si>
  <si>
    <t>Resource Room (Code 41&amp; 42)</t>
  </si>
  <si>
    <t>Self-contained Mild/Mod/Severe (Code 43 &amp; 44)</t>
  </si>
  <si>
    <t>Off-home Campus (Codes 91-98)</t>
  </si>
  <si>
    <t>VAC (Code 08)</t>
  </si>
  <si>
    <t>State School Students (Code 30)</t>
  </si>
  <si>
    <t>Residential Care &amp; Treatment (Code 81-89)</t>
  </si>
  <si>
    <t>Total Sp Ed FTEs</t>
  </si>
  <si>
    <t>Total Sp Ed Weighted FTEs</t>
  </si>
  <si>
    <t>Total Program Participation</t>
  </si>
  <si>
    <t>Method 2 Revenue per WADA</t>
  </si>
  <si>
    <t>Adjusted Allotment</t>
  </si>
  <si>
    <t>Special Education Block Grant</t>
  </si>
  <si>
    <t xml:space="preserve">Mainstream Special Education </t>
  </si>
  <si>
    <t>Career &amp; Technology Block Grant</t>
  </si>
  <si>
    <t>Gifted &amp; Talented Operational Grant</t>
  </si>
  <si>
    <t xml:space="preserve">Regular Compensatory Ed </t>
  </si>
  <si>
    <t>Pregnancy Related Services Allocation</t>
  </si>
  <si>
    <t>Bilingual Education Block Grant</t>
  </si>
  <si>
    <t>RISD Percentage</t>
  </si>
  <si>
    <t>Self-Contained Mild/Mod/Sev (Code 43 &amp; 44)</t>
  </si>
  <si>
    <t>Off-Home Campus (Codes 91-98)</t>
  </si>
  <si>
    <t>Pregnancy Related Program Participation</t>
  </si>
  <si>
    <t>Pregnancy Related FTEs</t>
  </si>
  <si>
    <t>RESIDENT DISTRICTS</t>
  </si>
  <si>
    <t>ONLY APPLICABLE TO CHARTER SCHOOLS</t>
  </si>
  <si>
    <t>Total</t>
  </si>
  <si>
    <t>TOTALS</t>
  </si>
  <si>
    <t>PINEYWOODS COMMUNITY ACADEMY</t>
  </si>
  <si>
    <t xml:space="preserve">Certain Professional Staff Allotment  </t>
  </si>
  <si>
    <t>ST MARY'S ACADEMY CHARTER SCHOOL</t>
  </si>
  <si>
    <t>TRANSFORMATIVE CHARTER ACADEMY</t>
  </si>
  <si>
    <t>GEORGE GERVIN ACADEMY</t>
  </si>
  <si>
    <t>NEW FRONTIERS CHARTER SCHOOL</t>
  </si>
  <si>
    <t>SCHOOL OF EXCELLENCE IN EDUCATION</t>
  </si>
  <si>
    <t>SOUTHWEST PREPARATORY SCHOOL</t>
  </si>
  <si>
    <t>LA ESCUELA DE LAS AMERICAS</t>
  </si>
  <si>
    <t>GEORGE I SANCHEZ CHARTER HS SAN ANTONIO BRANCH</t>
  </si>
  <si>
    <t>POSITIVE SOLUTIONS CHARTER SCHOOL</t>
  </si>
  <si>
    <t>RADIANCE ACADEMY OF LEARNING</t>
  </si>
  <si>
    <t>ACADEMY OF CAREERS AND TECHNOLOGIES CHARTER SCHOOL</t>
  </si>
  <si>
    <t>SAN ANTONIO SCHOOL FOR INQUIRY &amp; CREATIVITY</t>
  </si>
  <si>
    <t>JUBILEE ACADEMIC CENTER</t>
  </si>
  <si>
    <t>BRAZOS SCHOOL FOR INQUIRY &amp; CREATIVITY</t>
  </si>
  <si>
    <t>ENCINO SCHOOL</t>
  </si>
  <si>
    <t>TRINITY CHARTER SCHOOL</t>
  </si>
  <si>
    <t>DALLAS CAN ACADEMY CHARTER</t>
  </si>
  <si>
    <t>DALLAS COMMUNITY CHARTER SCHOOL</t>
  </si>
  <si>
    <t>UNIVERSAL ACADEMY</t>
  </si>
  <si>
    <t>CHILDREN FIRST ACADEMY OF DALLAS</t>
  </si>
  <si>
    <t>DALLAS COUNTY JUVENILE JUSTICE</t>
  </si>
  <si>
    <t>FAITH FAMILY ACADEMY OF OAK CLIFF</t>
  </si>
  <si>
    <t>FOCUS LEARNING ACADEMY</t>
  </si>
  <si>
    <t>JEAN MASSIEU ACADEMY</t>
  </si>
  <si>
    <t>HONORS ACADEMY</t>
  </si>
  <si>
    <t>A+ ACADEMY</t>
  </si>
  <si>
    <t>INSPIRED VISION ACADEMY</t>
  </si>
  <si>
    <t>GATEWAY CHARTER ACADEMY</t>
  </si>
  <si>
    <t>ALPHA CHARTER SCHOOL</t>
  </si>
  <si>
    <t>EDUCATION CENTER INTERNATIONAL ACADEMY</t>
  </si>
  <si>
    <t>GOLDEN RULE CHARTER SCHOOL</t>
  </si>
  <si>
    <t>KIPP TRUTH ACADEMY</t>
  </si>
  <si>
    <t>WAXAHACHIE FAITH FAMILY ACADEMY</t>
  </si>
  <si>
    <t>MALONE ISD</t>
  </si>
  <si>
    <t>BAY CITY ISD</t>
  </si>
  <si>
    <t>NEW CANEY ISD</t>
  </si>
  <si>
    <t>MINEOLA ISD</t>
  </si>
  <si>
    <t>Technology Allotment ($29.50 * ADA)</t>
  </si>
  <si>
    <t>EL PASO SCHOOL OF EXCELLENCE</t>
  </si>
  <si>
    <t>MAINLAND PREPARATORY ACADEMY</t>
  </si>
  <si>
    <t>MEDICAL CENTER CHARTER SCHOOL</t>
  </si>
  <si>
    <t>SER-NINOS CHARTER SCHOOL</t>
  </si>
  <si>
    <t>NO</t>
  </si>
  <si>
    <t>SANTA ANNA ISD</t>
  </si>
  <si>
    <t>COLUMBUS ISD</t>
  </si>
  <si>
    <t>MARLIN ISD</t>
  </si>
  <si>
    <t>NAVARRO ISD</t>
  </si>
  <si>
    <t>HARDIN-JEFFERSON ISD</t>
  </si>
  <si>
    <t>ROPES ISD</t>
  </si>
  <si>
    <t>ANSON ISD</t>
  </si>
  <si>
    <t>KENEDY ISD</t>
  </si>
  <si>
    <t>BROCK ISD</t>
  </si>
  <si>
    <t>BUSHLAND ISD</t>
  </si>
  <si>
    <t>WOODSON ISD</t>
  </si>
  <si>
    <t>CHARLOTTE ISD</t>
  </si>
  <si>
    <t>BARTLETT ISD</t>
  </si>
  <si>
    <t>IREDELL ISD</t>
  </si>
  <si>
    <t>PAMPA ISD</t>
  </si>
  <si>
    <t>WEST HARDIN COUNTY CISD</t>
  </si>
  <si>
    <t>BLUM ISD</t>
  </si>
  <si>
    <t>GREENVILLE ISD</t>
  </si>
  <si>
    <t>BORGER ISD</t>
  </si>
  <si>
    <t>SANFORD-FRITCH ISD</t>
  </si>
  <si>
    <t>BOERNE ISD</t>
  </si>
  <si>
    <t>RIVIERA ISD</t>
  </si>
  <si>
    <t>PARIS ISD</t>
  </si>
  <si>
    <t>CAMERON ISD</t>
  </si>
  <si>
    <t>THORNDALE ISD</t>
  </si>
  <si>
    <t>DAINGERFIELD-LONE STAR ISD</t>
  </si>
  <si>
    <t>MILDRED ISD</t>
  </si>
  <si>
    <t>ORANGEFIELD ISD</t>
  </si>
  <si>
    <t>LITTLE CYPRESS-MAURICEVILLE CI</t>
  </si>
  <si>
    <t>SNYDER ISD</t>
  </si>
  <si>
    <t>WOODVILLE ISD</t>
  </si>
  <si>
    <t>GRAND SALINE ISD</t>
  </si>
  <si>
    <t>VICTORIA ISD</t>
  </si>
  <si>
    <t>EL CAMPO ISD</t>
  </si>
  <si>
    <t>GRANGER ISD</t>
  </si>
  <si>
    <t>BILGrant ADA</t>
  </si>
  <si>
    <t>Disaster ADA</t>
  </si>
  <si>
    <t>Gifted &amp; Talented Enrollment Limit</t>
  </si>
  <si>
    <t>000NULL</t>
  </si>
  <si>
    <t>Extended Year Special Education-EYS (Spend 100%)</t>
  </si>
  <si>
    <t>FM091230</t>
  </si>
  <si>
    <t>FM091231</t>
  </si>
  <si>
    <t>FM091232</t>
  </si>
  <si>
    <t>FM091233</t>
  </si>
  <si>
    <t>FM091234</t>
  </si>
  <si>
    <t>FM091236</t>
  </si>
  <si>
    <t>FM091240</t>
  </si>
  <si>
    <t>FM091238</t>
  </si>
  <si>
    <t>FM091245</t>
  </si>
  <si>
    <t>Total Sp Ed EYS Weighted FTEs</t>
  </si>
  <si>
    <t>TOTAL EYS Weighted FTE</t>
  </si>
  <si>
    <t>Extended Year Special Education-EYS</t>
  </si>
  <si>
    <t>EYS Participation</t>
  </si>
  <si>
    <t>Template Date 5/18/2010-Final</t>
  </si>
  <si>
    <t>No</t>
  </si>
  <si>
    <t>2008-2009 FSP VARIABLES PRELIM TCPICHT Updated 5_17_10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</si>
</sst>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_(&quot;$&quot;* #,##0_);_(&quot;$&quot;* \(#,##0\);_(&quot;$&quot;* &quot;-&quot;??_);_(@_)"/>
    <numFmt numFmtId="167" formatCode="000000"/>
    <numFmt numFmtId="168" formatCode="_(* #,##0_);_(* \(#,##0\);_(* &quot;-&quot;??_);_(@_)"/>
    <numFmt numFmtId="169" formatCode="#,##0.0000"/>
    <numFmt numFmtId="170" formatCode="_(&quot;$&quot;* #,##0.000_);_(&quot;$&quot;* \(#,##0.000\);_(&quot;$&quot;* &quot;-&quot;???_);_(@_)"/>
  </numFmts>
  <fonts count="82">
    <font>
      <sz val="10"/>
      <name val="Arial"/>
      <family val="0"/>
    </font>
    <font>
      <sz val="11"/>
      <color indexed="8"/>
      <name val="Calibri"/>
      <family val="2"/>
    </font>
    <font>
      <b/>
      <sz val="10"/>
      <name val="Arial"/>
      <family val="2"/>
    </font>
    <font>
      <sz val="10"/>
      <name val="Arial MT"/>
      <family val="0"/>
    </font>
    <font>
      <sz val="8"/>
      <name val="Arial"/>
      <family val="2"/>
    </font>
    <font>
      <sz val="10"/>
      <color indexed="8"/>
      <name val="Arial"/>
      <family val="2"/>
    </font>
    <font>
      <b/>
      <sz val="10"/>
      <color indexed="8"/>
      <name val="Arial MT"/>
      <family val="0"/>
    </font>
    <font>
      <b/>
      <sz val="11"/>
      <name val="Arial"/>
      <family val="2"/>
    </font>
    <font>
      <sz val="11"/>
      <name val="Arial"/>
      <family val="2"/>
    </font>
    <font>
      <sz val="11"/>
      <color indexed="8"/>
      <name val="Arial"/>
      <family val="2"/>
    </font>
    <font>
      <b/>
      <sz val="9"/>
      <color indexed="8"/>
      <name val="Arial MT"/>
      <family val="0"/>
    </font>
    <font>
      <b/>
      <sz val="8"/>
      <name val="Arial"/>
      <family val="2"/>
    </font>
    <font>
      <b/>
      <sz val="10"/>
      <color indexed="9"/>
      <name val="Arial"/>
      <family val="2"/>
    </font>
    <font>
      <sz val="10"/>
      <color indexed="9"/>
      <name val="Arial"/>
      <family val="2"/>
    </font>
    <font>
      <b/>
      <sz val="12"/>
      <name val="Arial Narrow"/>
      <family val="2"/>
    </font>
    <font>
      <b/>
      <sz val="10"/>
      <color indexed="8"/>
      <name val="Arial Narrow"/>
      <family val="2"/>
    </font>
    <font>
      <sz val="12"/>
      <name val="Arial Narrow"/>
      <family val="2"/>
    </font>
    <font>
      <b/>
      <sz val="12"/>
      <color indexed="8"/>
      <name val="Arial Narrow"/>
      <family val="2"/>
    </font>
    <font>
      <b/>
      <sz val="12"/>
      <color indexed="10"/>
      <name val="Arial Narrow"/>
      <family val="2"/>
    </font>
    <font>
      <b/>
      <sz val="11"/>
      <color indexed="8"/>
      <name val="Arial"/>
      <family val="2"/>
    </font>
    <font>
      <sz val="10"/>
      <color indexed="10"/>
      <name val="Arial"/>
      <family val="2"/>
    </font>
    <font>
      <sz val="11"/>
      <color indexed="10"/>
      <name val="Arial"/>
      <family val="2"/>
    </font>
    <font>
      <b/>
      <sz val="10"/>
      <name val="Arial MT"/>
      <family val="0"/>
    </font>
    <font>
      <b/>
      <sz val="9"/>
      <name val="Arial MT"/>
      <family val="0"/>
    </font>
    <font>
      <b/>
      <sz val="10"/>
      <name val="Arial Narrow"/>
      <family val="2"/>
    </font>
    <font>
      <b/>
      <sz val="8"/>
      <color indexed="10"/>
      <name val="Arial"/>
      <family val="2"/>
    </font>
    <font>
      <b/>
      <sz val="7"/>
      <color indexed="12"/>
      <name val="Arial"/>
      <family val="2"/>
    </font>
    <font>
      <b/>
      <sz val="8"/>
      <color indexed="12"/>
      <name val="Arial"/>
      <family val="2"/>
    </font>
    <font>
      <b/>
      <sz val="10"/>
      <color indexed="12"/>
      <name val="Arial"/>
      <family val="2"/>
    </font>
    <font>
      <b/>
      <u val="single"/>
      <sz val="10"/>
      <color indexed="12"/>
      <name val="Arial"/>
      <family val="2"/>
    </font>
    <font>
      <b/>
      <sz val="12"/>
      <color indexed="12"/>
      <name val="Arial Narrow"/>
      <family val="2"/>
    </font>
    <font>
      <b/>
      <u val="single"/>
      <sz val="11"/>
      <color indexed="12"/>
      <name val="Arial"/>
      <family val="2"/>
    </font>
    <font>
      <b/>
      <sz val="11"/>
      <color indexed="12"/>
      <name val="Arial"/>
      <family val="2"/>
    </font>
    <font>
      <sz val="8"/>
      <name val="Tahoma"/>
      <family val="2"/>
    </font>
    <font>
      <b/>
      <sz val="8"/>
      <name val="Tahoma"/>
      <family val="2"/>
    </font>
    <font>
      <b/>
      <u val="single"/>
      <sz val="8"/>
      <name val="Tahoma"/>
      <family val="2"/>
    </font>
    <font>
      <sz val="7"/>
      <name val="Tahoma"/>
      <family val="2"/>
    </font>
    <font>
      <b/>
      <sz val="7.5"/>
      <name val="Tahoma"/>
      <family val="2"/>
    </font>
    <font>
      <b/>
      <u val="single"/>
      <sz val="7.5"/>
      <name val="Tahoma"/>
      <family val="2"/>
    </font>
    <font>
      <b/>
      <sz val="7.5"/>
      <color indexed="12"/>
      <name val="Tahoma"/>
      <family val="2"/>
    </font>
    <font>
      <b/>
      <sz val="8"/>
      <color indexed="12"/>
      <name val="Tahoma"/>
      <family val="2"/>
    </font>
    <font>
      <b/>
      <sz val="9"/>
      <name val="Arial"/>
      <family val="2"/>
    </font>
    <font>
      <b/>
      <u val="single"/>
      <sz val="11"/>
      <name val="Arial"/>
      <family val="2"/>
    </font>
    <font>
      <b/>
      <sz val="14"/>
      <name val="Arial"/>
      <family val="2"/>
    </font>
    <font>
      <b/>
      <sz val="11"/>
      <color indexed="10"/>
      <name val="Arial"/>
      <family val="2"/>
    </font>
    <font>
      <b/>
      <sz val="10"/>
      <color indexed="10"/>
      <name val="Arial"/>
      <family val="2"/>
    </font>
    <font>
      <sz val="8"/>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51"/>
        <bgColor indexed="64"/>
      </patternFill>
    </fill>
    <fill>
      <patternFill patternType="solid">
        <fgColor indexed="11"/>
        <bgColor indexed="64"/>
      </patternFill>
    </fill>
    <fill>
      <patternFill patternType="solid">
        <fgColor indexed="40"/>
        <bgColor indexed="64"/>
      </patternFill>
    </fill>
    <fill>
      <patternFill patternType="solid">
        <fgColor rgb="FF0070C0"/>
        <bgColor indexed="64"/>
      </patternFill>
    </fill>
    <fill>
      <patternFill patternType="solid">
        <fgColor indexed="4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style="thin"/>
      <top style="thin"/>
      <bottom style="thin"/>
    </border>
    <border>
      <left/>
      <right style="thin"/>
      <top/>
      <bottom style="thin"/>
    </border>
    <border>
      <left style="thin"/>
      <right style="thin"/>
      <top style="thin"/>
      <bottom/>
    </border>
    <border>
      <left/>
      <right style="thin"/>
      <top/>
      <bottom/>
    </border>
    <border>
      <left style="thin"/>
      <right style="thin"/>
      <top/>
      <bottom/>
    </border>
    <border>
      <left/>
      <right style="thin"/>
      <top style="medium"/>
      <bottom/>
    </border>
    <border>
      <left style="thin"/>
      <right style="thin"/>
      <top style="medium"/>
      <bottom/>
    </border>
    <border>
      <left style="thin"/>
      <right style="thin"/>
      <top style="thin"/>
      <bottom style="double"/>
    </border>
    <border>
      <left style="thin"/>
      <right style="thin"/>
      <top/>
      <bottom style="medium"/>
    </border>
    <border>
      <left/>
      <right style="thin"/>
      <top style="thin"/>
      <bottom style="double"/>
    </border>
    <border>
      <left style="thin"/>
      <right style="thin"/>
      <top style="thin"/>
      <bottom style="medium"/>
    </border>
    <border>
      <left style="thin"/>
      <right style="thin"/>
      <top/>
      <bottom style="double"/>
    </border>
    <border>
      <left style="thin"/>
      <right/>
      <top/>
      <bottom/>
    </border>
    <border>
      <left style="thin"/>
      <right/>
      <top style="thin"/>
      <bottom style="thin"/>
    </border>
    <border>
      <left/>
      <right/>
      <top style="thin"/>
      <bottom style="thin"/>
    </border>
    <border>
      <left/>
      <right style="medium"/>
      <top/>
      <bottom style="medium"/>
    </border>
    <border>
      <left/>
      <right style="medium"/>
      <top style="medium"/>
      <bottom/>
    </border>
    <border>
      <left/>
      <right style="medium"/>
      <top/>
      <bottom/>
    </border>
    <border>
      <left/>
      <right/>
      <top/>
      <bottom style="medium"/>
    </border>
    <border>
      <left style="medium"/>
      <right/>
      <top/>
      <bottom/>
    </border>
    <border>
      <left style="medium"/>
      <right/>
      <top/>
      <bottom style="medium"/>
    </border>
    <border>
      <left style="medium"/>
      <right/>
      <top style="medium"/>
      <bottom/>
    </border>
    <border>
      <left style="medium"/>
      <right style="medium"/>
      <top/>
      <bottom/>
    </border>
    <border>
      <left style="medium"/>
      <right style="medium"/>
      <top/>
      <bottom style="medium"/>
    </border>
    <border>
      <left style="thin"/>
      <right style="thin"/>
      <top style="medium"/>
      <bottom style="thin"/>
    </border>
    <border>
      <left/>
      <right/>
      <top style="medium"/>
      <bottom/>
    </border>
    <border>
      <left style="medium"/>
      <right style="medium"/>
      <top style="medium"/>
      <bottom/>
    </border>
    <border>
      <left/>
      <right/>
      <top style="thin"/>
      <bottom/>
    </border>
    <border>
      <left/>
      <right/>
      <top/>
      <bottom style="thin"/>
    </border>
    <border>
      <left style="thin"/>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335">
    <xf numFmtId="0" fontId="0" fillId="0" borderId="0" xfId="0" applyAlignment="1">
      <alignment/>
    </xf>
    <xf numFmtId="0" fontId="2" fillId="33" borderId="10" xfId="0" applyFont="1" applyFill="1" applyBorder="1" applyAlignment="1" applyProtection="1">
      <alignment horizontal="center"/>
      <protection/>
    </xf>
    <xf numFmtId="0" fontId="2" fillId="0" borderId="11" xfId="0" applyFont="1" applyBorder="1" applyAlignment="1" applyProtection="1">
      <alignment/>
      <protection/>
    </xf>
    <xf numFmtId="0" fontId="2" fillId="0" borderId="10" xfId="0" applyFont="1" applyBorder="1" applyAlignment="1" applyProtection="1">
      <alignment/>
      <protection/>
    </xf>
    <xf numFmtId="0" fontId="2" fillId="33" borderId="10" xfId="0" applyFont="1" applyFill="1" applyBorder="1" applyAlignment="1" applyProtection="1">
      <alignment horizontal="center" wrapText="1"/>
      <protection/>
    </xf>
    <xf numFmtId="0" fontId="2" fillId="33" borderId="12" xfId="0" applyFont="1" applyFill="1" applyBorder="1" applyAlignment="1" applyProtection="1">
      <alignment horizontal="center"/>
      <protection/>
    </xf>
    <xf numFmtId="0" fontId="0" fillId="0" borderId="13" xfId="0" applyFont="1" applyBorder="1" applyAlignment="1" applyProtection="1">
      <alignment/>
      <protection locked="0"/>
    </xf>
    <xf numFmtId="10" fontId="0" fillId="0" borderId="12" xfId="0" applyNumberFormat="1" applyFont="1" applyBorder="1" applyAlignment="1" applyProtection="1">
      <alignment/>
      <protection locked="0"/>
    </xf>
    <xf numFmtId="0" fontId="0" fillId="0" borderId="12" xfId="0" applyFont="1" applyBorder="1" applyAlignment="1" applyProtection="1">
      <alignment/>
      <protection locked="0"/>
    </xf>
    <xf numFmtId="0" fontId="2" fillId="33" borderId="10" xfId="0" applyFont="1" applyFill="1" applyBorder="1" applyAlignment="1" applyProtection="1">
      <alignment horizontal="left"/>
      <protection/>
    </xf>
    <xf numFmtId="0" fontId="2" fillId="33" borderId="14" xfId="0" applyFont="1" applyFill="1" applyBorder="1" applyAlignment="1" applyProtection="1">
      <alignment horizontal="center" vertical="center" wrapText="1"/>
      <protection/>
    </xf>
    <xf numFmtId="0" fontId="2" fillId="33" borderId="14" xfId="0" applyFont="1" applyFill="1" applyBorder="1" applyAlignment="1" applyProtection="1">
      <alignment horizontal="center" wrapText="1"/>
      <protection/>
    </xf>
    <xf numFmtId="0" fontId="7" fillId="34" borderId="10" xfId="0" applyFont="1" applyFill="1" applyBorder="1" applyAlignment="1" applyProtection="1">
      <alignment horizontal="center" vertical="center" wrapText="1"/>
      <protection/>
    </xf>
    <xf numFmtId="0" fontId="7" fillId="34" borderId="10" xfId="0" applyFont="1" applyFill="1" applyBorder="1" applyAlignment="1" applyProtection="1">
      <alignment horizontal="center" vertical="center"/>
      <protection/>
    </xf>
    <xf numFmtId="0" fontId="8" fillId="34" borderId="10" xfId="0" applyFont="1" applyFill="1" applyBorder="1" applyAlignment="1" applyProtection="1">
      <alignment vertical="center" wrapText="1"/>
      <protection/>
    </xf>
    <xf numFmtId="0" fontId="0" fillId="34" borderId="15" xfId="0" applyFont="1" applyFill="1" applyBorder="1" applyAlignment="1" applyProtection="1">
      <alignment/>
      <protection/>
    </xf>
    <xf numFmtId="0" fontId="0" fillId="34" borderId="0" xfId="0" applyFont="1" applyFill="1" applyBorder="1" applyAlignment="1" applyProtection="1">
      <alignment/>
      <protection/>
    </xf>
    <xf numFmtId="0" fontId="2" fillId="34" borderId="0" xfId="0" applyFont="1" applyFill="1" applyBorder="1" applyAlignment="1" applyProtection="1">
      <alignment/>
      <protection/>
    </xf>
    <xf numFmtId="0" fontId="0" fillId="34" borderId="15" xfId="0" applyFont="1" applyFill="1" applyBorder="1" applyAlignment="1" applyProtection="1">
      <alignment horizontal="left" indent="1"/>
      <protection/>
    </xf>
    <xf numFmtId="0" fontId="0" fillId="34" borderId="15" xfId="0" applyFont="1" applyFill="1" applyBorder="1" applyAlignment="1" applyProtection="1">
      <alignment horizontal="left" wrapText="1" indent="1"/>
      <protection/>
    </xf>
    <xf numFmtId="0" fontId="2" fillId="34" borderId="15" xfId="0" applyFont="1" applyFill="1" applyBorder="1" applyAlignment="1" applyProtection="1">
      <alignment/>
      <protection/>
    </xf>
    <xf numFmtId="0" fontId="2" fillId="33" borderId="10" xfId="0" applyFont="1" applyFill="1" applyBorder="1" applyAlignment="1" applyProtection="1">
      <alignment horizontal="center" vertical="center" wrapText="1"/>
      <protection/>
    </xf>
    <xf numFmtId="167" fontId="2" fillId="33" borderId="10" xfId="0" applyNumberFormat="1" applyFont="1" applyFill="1" applyBorder="1" applyAlignment="1" applyProtection="1">
      <alignment horizontal="left"/>
      <protection locked="0"/>
    </xf>
    <xf numFmtId="167" fontId="0" fillId="0" borderId="0" xfId="0" applyNumberFormat="1" applyAlignment="1">
      <alignment/>
    </xf>
    <xf numFmtId="0" fontId="2" fillId="0" borderId="0" xfId="0" applyNumberFormat="1" applyFont="1" applyAlignment="1">
      <alignment/>
    </xf>
    <xf numFmtId="0" fontId="0" fillId="0" borderId="0" xfId="0" applyNumberFormat="1" applyAlignment="1">
      <alignment/>
    </xf>
    <xf numFmtId="0" fontId="2" fillId="0" borderId="0" xfId="0" applyNumberFormat="1" applyFont="1" applyFill="1" applyAlignment="1">
      <alignment/>
    </xf>
    <xf numFmtId="0" fontId="0" fillId="0" borderId="0" xfId="0" applyNumberFormat="1" applyFill="1" applyAlignment="1">
      <alignment/>
    </xf>
    <xf numFmtId="0" fontId="12" fillId="0" borderId="0" xfId="0" applyFont="1" applyFill="1" applyAlignment="1" applyProtection="1">
      <alignment horizontal="right"/>
      <protection/>
    </xf>
    <xf numFmtId="165" fontId="0" fillId="0" borderId="0" xfId="0" applyNumberFormat="1" applyAlignment="1">
      <alignment/>
    </xf>
    <xf numFmtId="165" fontId="0" fillId="0" borderId="0" xfId="0" applyNumberFormat="1" applyFill="1" applyAlignment="1">
      <alignment/>
    </xf>
    <xf numFmtId="0" fontId="0" fillId="0" borderId="0" xfId="0" applyFill="1" applyAlignment="1">
      <alignment/>
    </xf>
    <xf numFmtId="0" fontId="4" fillId="0" borderId="0" xfId="0" applyFont="1" applyAlignment="1">
      <alignment/>
    </xf>
    <xf numFmtId="166" fontId="0" fillId="0" borderId="0" xfId="44" applyNumberFormat="1" applyFont="1" applyAlignment="1">
      <alignment/>
    </xf>
    <xf numFmtId="166" fontId="0" fillId="0" borderId="0" xfId="0" applyNumberFormat="1" applyAlignment="1">
      <alignment/>
    </xf>
    <xf numFmtId="0" fontId="13" fillId="0" borderId="0" xfId="0" applyFont="1" applyAlignment="1">
      <alignment/>
    </xf>
    <xf numFmtId="166" fontId="13" fillId="0" borderId="0" xfId="44" applyNumberFormat="1" applyFont="1" applyAlignment="1">
      <alignment/>
    </xf>
    <xf numFmtId="166" fontId="13" fillId="0" borderId="0" xfId="44" applyNumberFormat="1" applyFont="1" applyAlignment="1">
      <alignment/>
    </xf>
    <xf numFmtId="166" fontId="13" fillId="0" borderId="0" xfId="0" applyNumberFormat="1" applyFont="1" applyAlignment="1">
      <alignment/>
    </xf>
    <xf numFmtId="0" fontId="13" fillId="0" borderId="0" xfId="0" applyFont="1" applyAlignment="1">
      <alignment/>
    </xf>
    <xf numFmtId="0" fontId="0" fillId="0" borderId="0" xfId="0" applyFont="1" applyFill="1" applyAlignment="1">
      <alignment/>
    </xf>
    <xf numFmtId="169" fontId="0" fillId="0" borderId="0" xfId="0" applyNumberFormat="1" applyFont="1" applyFill="1" applyAlignment="1">
      <alignment/>
    </xf>
    <xf numFmtId="0" fontId="0" fillId="0" borderId="0" xfId="0" applyFont="1" applyFill="1" applyAlignment="1">
      <alignment horizontal="left"/>
    </xf>
    <xf numFmtId="37" fontId="14" fillId="35" borderId="12" xfId="0" applyNumberFormat="1" applyFont="1" applyFill="1" applyBorder="1" applyAlignment="1" applyProtection="1">
      <alignment/>
      <protection/>
    </xf>
    <xf numFmtId="0" fontId="14" fillId="34" borderId="11" xfId="0" applyFont="1" applyFill="1" applyBorder="1" applyAlignment="1" applyProtection="1">
      <alignment/>
      <protection/>
    </xf>
    <xf numFmtId="0" fontId="14" fillId="34" borderId="10" xfId="0" applyFont="1" applyFill="1" applyBorder="1" applyAlignment="1" applyProtection="1">
      <alignment/>
      <protection/>
    </xf>
    <xf numFmtId="0" fontId="14" fillId="34" borderId="10" xfId="0" applyFont="1" applyFill="1" applyBorder="1" applyAlignment="1" applyProtection="1">
      <alignment horizontal="left" indent="1"/>
      <protection/>
    </xf>
    <xf numFmtId="0" fontId="14" fillId="34" borderId="10" xfId="0" applyFont="1" applyFill="1" applyBorder="1" applyAlignment="1" applyProtection="1">
      <alignment horizontal="left" indent="3"/>
      <protection/>
    </xf>
    <xf numFmtId="164" fontId="17" fillId="34" borderId="13" xfId="0" applyNumberFormat="1" applyFont="1" applyFill="1" applyBorder="1" applyAlignment="1" applyProtection="1">
      <alignment/>
      <protection/>
    </xf>
    <xf numFmtId="164" fontId="17" fillId="34" borderId="11" xfId="0" applyNumberFormat="1" applyFont="1" applyFill="1" applyBorder="1" applyAlignment="1" applyProtection="1">
      <alignment/>
      <protection/>
    </xf>
    <xf numFmtId="164" fontId="17" fillId="34" borderId="12" xfId="0" applyNumberFormat="1" applyFont="1" applyFill="1" applyBorder="1" applyAlignment="1" applyProtection="1">
      <alignment/>
      <protection/>
    </xf>
    <xf numFmtId="164" fontId="17" fillId="34" borderId="10" xfId="0" applyNumberFormat="1" applyFont="1" applyFill="1" applyBorder="1" applyAlignment="1" applyProtection="1">
      <alignment/>
      <protection/>
    </xf>
    <xf numFmtId="0" fontId="18" fillId="34" borderId="12" xfId="0" applyFont="1" applyFill="1" applyBorder="1" applyAlignment="1" applyProtection="1">
      <alignment/>
      <protection/>
    </xf>
    <xf numFmtId="0" fontId="18" fillId="34" borderId="10" xfId="0" applyFont="1" applyFill="1" applyBorder="1" applyAlignment="1" applyProtection="1">
      <alignment/>
      <protection/>
    </xf>
    <xf numFmtId="164" fontId="14" fillId="34" borderId="10" xfId="0" applyNumberFormat="1" applyFont="1" applyFill="1" applyBorder="1" applyAlignment="1" applyProtection="1">
      <alignment/>
      <protection/>
    </xf>
    <xf numFmtId="164" fontId="17" fillId="35" borderId="12" xfId="0" applyNumberFormat="1" applyFont="1" applyFill="1" applyBorder="1" applyAlignment="1" applyProtection="1">
      <alignment/>
      <protection/>
    </xf>
    <xf numFmtId="164" fontId="17" fillId="35" borderId="10" xfId="0" applyNumberFormat="1" applyFont="1" applyFill="1" applyBorder="1" applyAlignment="1" applyProtection="1">
      <alignment/>
      <protection/>
    </xf>
    <xf numFmtId="168" fontId="14" fillId="35" borderId="10" xfId="42" applyNumberFormat="1" applyFont="1" applyFill="1" applyBorder="1" applyAlignment="1" applyProtection="1">
      <alignment horizontal="left" indent="1"/>
      <protection/>
    </xf>
    <xf numFmtId="37" fontId="14" fillId="35" borderId="10" xfId="0" applyNumberFormat="1" applyFont="1" applyFill="1" applyBorder="1" applyAlignment="1" applyProtection="1">
      <alignment/>
      <protection/>
    </xf>
    <xf numFmtId="0" fontId="14" fillId="0" borderId="0" xfId="0" applyFont="1" applyAlignment="1">
      <alignment horizontal="center"/>
    </xf>
    <xf numFmtId="0" fontId="2" fillId="0" borderId="0" xfId="0" applyFont="1" applyFill="1" applyBorder="1" applyAlignment="1">
      <alignment/>
    </xf>
    <xf numFmtId="0" fontId="11" fillId="0" borderId="0" xfId="0" applyFont="1" applyFill="1" applyBorder="1" applyAlignment="1">
      <alignment horizontal="center"/>
    </xf>
    <xf numFmtId="0" fontId="2" fillId="0" borderId="0" xfId="0" applyFont="1" applyFill="1" applyBorder="1" applyAlignment="1">
      <alignment horizontal="center"/>
    </xf>
    <xf numFmtId="0" fontId="20" fillId="0" borderId="0" xfId="0" applyNumberFormat="1" applyFont="1" applyFill="1" applyAlignment="1">
      <alignment/>
    </xf>
    <xf numFmtId="167" fontId="20" fillId="0" borderId="0" xfId="0" applyNumberFormat="1" applyFont="1" applyAlignment="1">
      <alignment/>
    </xf>
    <xf numFmtId="165" fontId="20" fillId="0" borderId="0" xfId="0" applyNumberFormat="1" applyFont="1" applyFill="1" applyAlignment="1">
      <alignment/>
    </xf>
    <xf numFmtId="165" fontId="20" fillId="0" borderId="0" xfId="0" applyNumberFormat="1" applyFont="1" applyAlignment="1">
      <alignment/>
    </xf>
    <xf numFmtId="0" fontId="20" fillId="0" borderId="0" xfId="0" applyNumberFormat="1" applyFont="1" applyAlignment="1">
      <alignment/>
    </xf>
    <xf numFmtId="37" fontId="14" fillId="35" borderId="15" xfId="0" applyNumberFormat="1" applyFont="1" applyFill="1" applyBorder="1" applyAlignment="1" applyProtection="1">
      <alignment/>
      <protection/>
    </xf>
    <xf numFmtId="37" fontId="14" fillId="35" borderId="16" xfId="0" applyNumberFormat="1" applyFont="1" applyFill="1" applyBorder="1" applyAlignment="1" applyProtection="1">
      <alignment/>
      <protection/>
    </xf>
    <xf numFmtId="166" fontId="14" fillId="35" borderId="17" xfId="44" applyNumberFormat="1" applyFont="1" applyFill="1" applyBorder="1" applyAlignment="1" applyProtection="1">
      <alignment/>
      <protection/>
    </xf>
    <xf numFmtId="166" fontId="14" fillId="35" borderId="18" xfId="44" applyNumberFormat="1" applyFont="1" applyFill="1" applyBorder="1" applyAlignment="1" applyProtection="1">
      <alignment/>
      <protection/>
    </xf>
    <xf numFmtId="0" fontId="14" fillId="35" borderId="12" xfId="0" applyFont="1" applyFill="1" applyBorder="1" applyAlignment="1" applyProtection="1">
      <alignment/>
      <protection/>
    </xf>
    <xf numFmtId="166" fontId="18" fillId="35" borderId="10" xfId="44" applyNumberFormat="1" applyFont="1" applyFill="1" applyBorder="1" applyAlignment="1" applyProtection="1">
      <alignment/>
      <protection/>
    </xf>
    <xf numFmtId="166" fontId="14" fillId="35" borderId="19" xfId="44" applyNumberFormat="1" applyFont="1" applyFill="1" applyBorder="1" applyAlignment="1" applyProtection="1">
      <alignment/>
      <protection/>
    </xf>
    <xf numFmtId="0" fontId="7" fillId="0" borderId="10"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protection/>
    </xf>
    <xf numFmtId="0" fontId="9" fillId="0" borderId="10" xfId="0" applyNumberFormat="1" applyFont="1" applyFill="1" applyBorder="1" applyAlignment="1" applyProtection="1">
      <alignment vertical="center" wrapText="1"/>
      <protection/>
    </xf>
    <xf numFmtId="0" fontId="9" fillId="0" borderId="10" xfId="0" applyNumberFormat="1" applyFont="1" applyFill="1" applyBorder="1" applyAlignment="1" applyProtection="1">
      <alignment vertical="center"/>
      <protection/>
    </xf>
    <xf numFmtId="0" fontId="8" fillId="0" borderId="10" xfId="0" applyFont="1" applyFill="1" applyBorder="1" applyAlignment="1" applyProtection="1">
      <alignment vertical="center" wrapText="1"/>
      <protection/>
    </xf>
    <xf numFmtId="0" fontId="7" fillId="33" borderId="10" xfId="0" applyFont="1" applyFill="1" applyBorder="1" applyAlignment="1" applyProtection="1">
      <alignment horizontal="center" vertical="center" wrapText="1"/>
      <protection/>
    </xf>
    <xf numFmtId="0" fontId="7" fillId="33" borderId="10" xfId="0" applyFont="1" applyFill="1" applyBorder="1" applyAlignment="1" applyProtection="1">
      <alignment horizontal="centerContinuous" vertical="center" wrapText="1"/>
      <protection/>
    </xf>
    <xf numFmtId="0" fontId="16" fillId="0" borderId="10" xfId="0" applyFont="1" applyFill="1" applyBorder="1" applyAlignment="1" applyProtection="1">
      <alignment/>
      <protection/>
    </xf>
    <xf numFmtId="0" fontId="14" fillId="0" borderId="10" xfId="0" applyFont="1" applyFill="1" applyBorder="1" applyAlignment="1" applyProtection="1">
      <alignment/>
      <protection/>
    </xf>
    <xf numFmtId="0" fontId="14" fillId="0" borderId="10" xfId="0" applyFont="1" applyFill="1" applyBorder="1" applyAlignment="1" applyProtection="1">
      <alignment horizontal="left"/>
      <protection/>
    </xf>
    <xf numFmtId="166" fontId="14" fillId="0" borderId="12" xfId="44" applyNumberFormat="1" applyFont="1" applyFill="1" applyBorder="1" applyAlignment="1" applyProtection="1">
      <alignment/>
      <protection/>
    </xf>
    <xf numFmtId="165" fontId="14" fillId="0" borderId="12" xfId="0" applyNumberFormat="1" applyFont="1" applyFill="1" applyBorder="1" applyAlignment="1" applyProtection="1">
      <alignment/>
      <protection/>
    </xf>
    <xf numFmtId="0" fontId="17" fillId="0" borderId="10" xfId="0" applyNumberFormat="1" applyFont="1" applyFill="1" applyBorder="1" applyAlignment="1" applyProtection="1">
      <alignment/>
      <protection/>
    </xf>
    <xf numFmtId="0" fontId="17" fillId="0" borderId="10" xfId="0" applyNumberFormat="1" applyFont="1" applyFill="1" applyBorder="1" applyAlignment="1" applyProtection="1">
      <alignment horizontal="center"/>
      <protection/>
    </xf>
    <xf numFmtId="0" fontId="17" fillId="0" borderId="10" xfId="0" applyNumberFormat="1" applyFont="1" applyFill="1" applyBorder="1" applyAlignment="1" applyProtection="1">
      <alignment horizontal="left"/>
      <protection/>
    </xf>
    <xf numFmtId="0" fontId="17" fillId="0" borderId="10" xfId="0" applyNumberFormat="1" applyFont="1" applyFill="1" applyBorder="1" applyAlignment="1" applyProtection="1">
      <alignment horizontal="left" indent="1"/>
      <protection/>
    </xf>
    <xf numFmtId="0" fontId="15" fillId="0" borderId="10" xfId="0" applyNumberFormat="1" applyFont="1" applyFill="1" applyBorder="1" applyAlignment="1" applyProtection="1">
      <alignment/>
      <protection/>
    </xf>
    <xf numFmtId="0" fontId="17" fillId="0" borderId="10" xfId="0" applyNumberFormat="1" applyFont="1" applyFill="1" applyBorder="1" applyAlignment="1" applyProtection="1">
      <alignment horizontal="left" indent="9"/>
      <protection/>
    </xf>
    <xf numFmtId="164" fontId="5" fillId="0" borderId="10" xfId="0" applyNumberFormat="1" applyFont="1" applyFill="1" applyBorder="1" applyAlignment="1" applyProtection="1">
      <alignment/>
      <protection/>
    </xf>
    <xf numFmtId="0" fontId="14" fillId="0" borderId="10" xfId="0" applyFont="1" applyFill="1" applyBorder="1" applyAlignment="1" applyProtection="1">
      <alignment wrapText="1"/>
      <protection/>
    </xf>
    <xf numFmtId="168" fontId="17" fillId="0" borderId="12" xfId="42" applyNumberFormat="1" applyFont="1" applyFill="1" applyBorder="1" applyAlignment="1" applyProtection="1">
      <alignment horizontal="left" indent="1"/>
      <protection/>
    </xf>
    <xf numFmtId="168" fontId="14" fillId="0" borderId="10" xfId="42" applyNumberFormat="1" applyFont="1" applyFill="1" applyBorder="1" applyAlignment="1" applyProtection="1">
      <alignment horizontal="left" indent="1"/>
      <protection/>
    </xf>
    <xf numFmtId="166" fontId="14" fillId="0" borderId="10" xfId="44" applyNumberFormat="1" applyFont="1" applyFill="1" applyBorder="1" applyAlignment="1" applyProtection="1">
      <alignment/>
      <protection/>
    </xf>
    <xf numFmtId="166" fontId="14" fillId="0" borderId="20" xfId="44" applyNumberFormat="1" applyFont="1" applyFill="1" applyBorder="1" applyAlignment="1" applyProtection="1">
      <alignment/>
      <protection/>
    </xf>
    <xf numFmtId="166" fontId="14" fillId="0" borderId="16" xfId="44" applyNumberFormat="1" applyFont="1" applyFill="1" applyBorder="1" applyAlignment="1" applyProtection="1">
      <alignment/>
      <protection/>
    </xf>
    <xf numFmtId="166" fontId="14" fillId="0" borderId="19" xfId="44" applyNumberFormat="1" applyFont="1" applyFill="1" applyBorder="1" applyAlignment="1" applyProtection="1">
      <alignment/>
      <protection/>
    </xf>
    <xf numFmtId="166" fontId="14" fillId="0" borderId="21" xfId="44" applyNumberFormat="1" applyFont="1" applyFill="1" applyBorder="1" applyAlignment="1" applyProtection="1">
      <alignment/>
      <protection/>
    </xf>
    <xf numFmtId="164" fontId="14" fillId="36" borderId="10" xfId="0" applyNumberFormat="1" applyFont="1" applyFill="1" applyBorder="1" applyAlignment="1" applyProtection="1">
      <alignment horizontal="right"/>
      <protection locked="0"/>
    </xf>
    <xf numFmtId="164" fontId="14" fillId="36" borderId="10" xfId="0" applyNumberFormat="1" applyFont="1" applyFill="1" applyBorder="1" applyAlignment="1" applyProtection="1">
      <alignment/>
      <protection locked="0"/>
    </xf>
    <xf numFmtId="1" fontId="14" fillId="36" borderId="10" xfId="0" applyNumberFormat="1" applyFont="1" applyFill="1" applyBorder="1" applyAlignment="1" applyProtection="1">
      <alignment/>
      <protection locked="0"/>
    </xf>
    <xf numFmtId="44" fontId="14" fillId="35" borderId="12" xfId="44" applyFont="1" applyFill="1" applyBorder="1" applyAlignment="1" applyProtection="1">
      <alignment/>
      <protection/>
    </xf>
    <xf numFmtId="44" fontId="14" fillId="35" borderId="10" xfId="44" applyFont="1" applyFill="1" applyBorder="1" applyAlignment="1" applyProtection="1">
      <alignment/>
      <protection/>
    </xf>
    <xf numFmtId="0" fontId="0" fillId="36" borderId="10" xfId="0" applyFont="1" applyFill="1" applyBorder="1" applyAlignment="1" applyProtection="1">
      <alignment/>
      <protection/>
    </xf>
    <xf numFmtId="164" fontId="5" fillId="36" borderId="12" xfId="0" applyNumberFormat="1" applyFont="1" applyFill="1" applyBorder="1" applyAlignment="1" applyProtection="1">
      <alignment/>
      <protection/>
    </xf>
    <xf numFmtId="164" fontId="5" fillId="36" borderId="10" xfId="0" applyNumberFormat="1" applyFont="1" applyFill="1" applyBorder="1" applyAlignment="1" applyProtection="1">
      <alignment/>
      <protection/>
    </xf>
    <xf numFmtId="166" fontId="14" fillId="36" borderId="10" xfId="44" applyNumberFormat="1" applyFont="1" applyFill="1" applyBorder="1" applyAlignment="1" applyProtection="1">
      <alignment/>
      <protection locked="0"/>
    </xf>
    <xf numFmtId="0" fontId="0" fillId="0" borderId="0" xfId="0" applyFill="1" applyAlignment="1" applyProtection="1">
      <alignment/>
      <protection/>
    </xf>
    <xf numFmtId="0" fontId="0" fillId="0" borderId="0" xfId="0" applyFont="1" applyFill="1" applyAlignment="1" applyProtection="1">
      <alignment/>
      <protection/>
    </xf>
    <xf numFmtId="164" fontId="5" fillId="0" borderId="11" xfId="0" applyNumberFormat="1" applyFont="1" applyFill="1" applyBorder="1" applyAlignment="1" applyProtection="1">
      <alignment/>
      <protection/>
    </xf>
    <xf numFmtId="164" fontId="5" fillId="0" borderId="0" xfId="0" applyNumberFormat="1" applyFont="1" applyFill="1" applyAlignment="1" applyProtection="1">
      <alignment/>
      <protection/>
    </xf>
    <xf numFmtId="0" fontId="0" fillId="0" borderId="0" xfId="0" applyFont="1" applyFill="1" applyAlignment="1" applyProtection="1">
      <alignment horizontal="left" indent="1"/>
      <protection/>
    </xf>
    <xf numFmtId="0" fontId="0" fillId="0" borderId="0" xfId="0" applyFont="1" applyFill="1" applyAlignment="1" applyProtection="1">
      <alignment horizontal="left" indent="3"/>
      <protection/>
    </xf>
    <xf numFmtId="164" fontId="5" fillId="0" borderId="0" xfId="0" applyNumberFormat="1" applyFont="1" applyFill="1" applyBorder="1" applyAlignment="1" applyProtection="1">
      <alignment/>
      <protection/>
    </xf>
    <xf numFmtId="164" fontId="0" fillId="0" borderId="10" xfId="0" applyNumberFormat="1" applyFont="1" applyFill="1" applyBorder="1" applyAlignment="1" applyProtection="1">
      <alignment/>
      <protection/>
    </xf>
    <xf numFmtId="164" fontId="0" fillId="0" borderId="11" xfId="0" applyNumberFormat="1" applyFont="1" applyFill="1" applyBorder="1" applyAlignment="1" applyProtection="1">
      <alignment/>
      <protection/>
    </xf>
    <xf numFmtId="164" fontId="0" fillId="0" borderId="14" xfId="0" applyNumberFormat="1" applyFont="1" applyFill="1" applyBorder="1" applyAlignment="1" applyProtection="1">
      <alignment/>
      <protection/>
    </xf>
    <xf numFmtId="164" fontId="0" fillId="0" borderId="10" xfId="0" applyNumberFormat="1" applyFont="1" applyFill="1" applyBorder="1" applyAlignment="1" applyProtection="1">
      <alignment/>
      <protection/>
    </xf>
    <xf numFmtId="0" fontId="2" fillId="0" borderId="0" xfId="0" applyFont="1" applyFill="1" applyAlignment="1" applyProtection="1">
      <alignment/>
      <protection/>
    </xf>
    <xf numFmtId="165" fontId="0" fillId="0" borderId="10" xfId="0" applyNumberFormat="1" applyFont="1" applyFill="1" applyBorder="1" applyAlignment="1" applyProtection="1">
      <alignment/>
      <protection/>
    </xf>
    <xf numFmtId="1" fontId="0" fillId="0" borderId="10" xfId="0" applyNumberFormat="1" applyFont="1" applyFill="1" applyBorder="1" applyAlignment="1" applyProtection="1">
      <alignment/>
      <protection/>
    </xf>
    <xf numFmtId="0" fontId="0" fillId="0" borderId="0" xfId="0" applyFont="1" applyFill="1" applyAlignment="1" applyProtection="1">
      <alignment wrapText="1"/>
      <protection/>
    </xf>
    <xf numFmtId="166" fontId="0" fillId="0" borderId="10" xfId="44" applyNumberFormat="1" applyFont="1" applyFill="1" applyBorder="1" applyAlignment="1" applyProtection="1">
      <alignment/>
      <protection/>
    </xf>
    <xf numFmtId="166" fontId="0" fillId="0" borderId="0" xfId="44" applyNumberFormat="1" applyFont="1" applyFill="1" applyAlignment="1" applyProtection="1">
      <alignment/>
      <protection/>
    </xf>
    <xf numFmtId="0" fontId="3" fillId="0" borderId="0" xfId="0" applyNumberFormat="1" applyFont="1" applyFill="1" applyBorder="1" applyAlignment="1" applyProtection="1">
      <alignment/>
      <protection/>
    </xf>
    <xf numFmtId="0" fontId="6" fillId="0" borderId="0" xfId="0" applyNumberFormat="1" applyFont="1" applyFill="1" applyAlignment="1" applyProtection="1">
      <alignment/>
      <protection/>
    </xf>
    <xf numFmtId="0" fontId="6" fillId="0" borderId="0" xfId="0" applyNumberFormat="1" applyFont="1" applyFill="1" applyAlignment="1" applyProtection="1">
      <alignment horizontal="left" indent="1"/>
      <protection/>
    </xf>
    <xf numFmtId="37" fontId="3" fillId="0" borderId="10" xfId="0" applyNumberFormat="1" applyFont="1" applyFill="1" applyBorder="1" applyAlignment="1" applyProtection="1">
      <alignment/>
      <protection/>
    </xf>
    <xf numFmtId="37" fontId="3" fillId="0" borderId="22" xfId="0" applyNumberFormat="1" applyFont="1" applyFill="1" applyBorder="1" applyAlignment="1" applyProtection="1">
      <alignment/>
      <protection/>
    </xf>
    <xf numFmtId="166" fontId="0" fillId="0" borderId="22" xfId="44" applyNumberFormat="1" applyFont="1" applyFill="1" applyBorder="1" applyAlignment="1" applyProtection="1">
      <alignment/>
      <protection/>
    </xf>
    <xf numFmtId="0" fontId="6" fillId="0" borderId="0" xfId="0" applyNumberFormat="1" applyFont="1" applyFill="1" applyAlignment="1" applyProtection="1">
      <alignment horizontal="left" indent="5"/>
      <protection/>
    </xf>
    <xf numFmtId="37" fontId="2" fillId="0" borderId="23" xfId="0" applyNumberFormat="1" applyFont="1" applyFill="1" applyBorder="1" applyAlignment="1" applyProtection="1">
      <alignment/>
      <protection/>
    </xf>
    <xf numFmtId="166" fontId="2" fillId="0" borderId="23" xfId="44" applyNumberFormat="1" applyFont="1" applyFill="1" applyBorder="1" applyAlignment="1" applyProtection="1">
      <alignment/>
      <protection/>
    </xf>
    <xf numFmtId="37" fontId="3" fillId="0" borderId="18" xfId="0" applyNumberFormat="1" applyFont="1" applyFill="1" applyBorder="1" applyAlignment="1" applyProtection="1">
      <alignment/>
      <protection/>
    </xf>
    <xf numFmtId="166" fontId="3" fillId="0" borderId="18" xfId="44" applyNumberFormat="1" applyFont="1" applyFill="1" applyBorder="1" applyAlignment="1" applyProtection="1">
      <alignment/>
      <protection/>
    </xf>
    <xf numFmtId="0" fontId="10" fillId="0" borderId="0" xfId="0" applyNumberFormat="1" applyFont="1" applyFill="1" applyAlignment="1" applyProtection="1">
      <alignment/>
      <protection/>
    </xf>
    <xf numFmtId="37" fontId="3" fillId="0" borderId="16" xfId="0" applyNumberFormat="1" applyFont="1" applyFill="1" applyBorder="1" applyAlignment="1" applyProtection="1">
      <alignment/>
      <protection/>
    </xf>
    <xf numFmtId="166" fontId="3" fillId="0" borderId="16" xfId="44" applyNumberFormat="1" applyFont="1" applyFill="1" applyBorder="1" applyAlignment="1" applyProtection="1">
      <alignment/>
      <protection/>
    </xf>
    <xf numFmtId="37" fontId="2" fillId="0" borderId="19" xfId="0" applyNumberFormat="1" applyFont="1" applyFill="1" applyBorder="1" applyAlignment="1" applyProtection="1">
      <alignment/>
      <protection/>
    </xf>
    <xf numFmtId="166" fontId="2" fillId="0" borderId="19" xfId="44" applyNumberFormat="1" applyFont="1" applyFill="1" applyBorder="1" applyAlignment="1" applyProtection="1">
      <alignment/>
      <protection/>
    </xf>
    <xf numFmtId="0" fontId="0" fillId="0" borderId="0" xfId="0" applyFont="1" applyFill="1" applyAlignment="1" applyProtection="1">
      <alignment/>
      <protection/>
    </xf>
    <xf numFmtId="164" fontId="0" fillId="0" borderId="0" xfId="0" applyNumberFormat="1" applyFont="1" applyFill="1" applyAlignment="1" applyProtection="1">
      <alignment/>
      <protection/>
    </xf>
    <xf numFmtId="0" fontId="0" fillId="0" borderId="0" xfId="0" applyFont="1" applyFill="1" applyAlignment="1" applyProtection="1">
      <alignment horizontal="left" indent="1"/>
      <protection/>
    </xf>
    <xf numFmtId="0" fontId="0" fillId="0" borderId="0" xfId="0" applyFont="1" applyFill="1" applyAlignment="1" applyProtection="1">
      <alignment horizontal="left" indent="3"/>
      <protection/>
    </xf>
    <xf numFmtId="164" fontId="0" fillId="0" borderId="0" xfId="0" applyNumberFormat="1" applyFont="1" applyFill="1" applyBorder="1" applyAlignment="1" applyProtection="1">
      <alignment/>
      <protection/>
    </xf>
    <xf numFmtId="164" fontId="0" fillId="0" borderId="10" xfId="0" applyNumberFormat="1" applyFont="1" applyFill="1" applyBorder="1" applyAlignment="1" applyProtection="1">
      <alignment/>
      <protection/>
    </xf>
    <xf numFmtId="0" fontId="0" fillId="0" borderId="0" xfId="0" applyFont="1" applyFill="1" applyAlignment="1" applyProtection="1">
      <alignment wrapText="1"/>
      <protection/>
    </xf>
    <xf numFmtId="0" fontId="22" fillId="0" borderId="0" xfId="0" applyNumberFormat="1" applyFont="1" applyFill="1" applyAlignment="1" applyProtection="1">
      <alignment/>
      <protection/>
    </xf>
    <xf numFmtId="0" fontId="22" fillId="0" borderId="0" xfId="0" applyNumberFormat="1" applyFont="1" applyFill="1" applyAlignment="1" applyProtection="1">
      <alignment horizontal="left" indent="1"/>
      <protection/>
    </xf>
    <xf numFmtId="0" fontId="22" fillId="0" borderId="0" xfId="0" applyNumberFormat="1" applyFont="1" applyFill="1" applyAlignment="1" applyProtection="1">
      <alignment horizontal="left" indent="5"/>
      <protection/>
    </xf>
    <xf numFmtId="0" fontId="23" fillId="0" borderId="0" xfId="0" applyNumberFormat="1" applyFont="1" applyFill="1" applyAlignment="1" applyProtection="1">
      <alignment/>
      <protection/>
    </xf>
    <xf numFmtId="0" fontId="4" fillId="0" borderId="0" xfId="0" applyFont="1" applyFill="1" applyAlignment="1">
      <alignment/>
    </xf>
    <xf numFmtId="167" fontId="4" fillId="0" borderId="10" xfId="0" applyNumberFormat="1" applyFont="1" applyFill="1" applyBorder="1" applyAlignment="1" quotePrefix="1">
      <alignment/>
    </xf>
    <xf numFmtId="0" fontId="4" fillId="0" borderId="10" xfId="0" applyNumberFormat="1" applyFont="1" applyFill="1" applyBorder="1" applyAlignment="1" quotePrefix="1">
      <alignment wrapText="1"/>
    </xf>
    <xf numFmtId="164" fontId="0" fillId="0" borderId="11" xfId="0" applyNumberFormat="1" applyFont="1" applyFill="1" applyBorder="1" applyAlignment="1" applyProtection="1">
      <alignment/>
      <protection locked="0"/>
    </xf>
    <xf numFmtId="164" fontId="0" fillId="0" borderId="0" xfId="0" applyNumberFormat="1" applyFont="1" applyFill="1" applyAlignment="1" applyProtection="1">
      <alignment/>
      <protection locked="0"/>
    </xf>
    <xf numFmtId="164" fontId="5" fillId="0" borderId="11" xfId="0" applyNumberFormat="1" applyFont="1" applyFill="1" applyBorder="1" applyAlignment="1" applyProtection="1">
      <alignment/>
      <protection locked="0"/>
    </xf>
    <xf numFmtId="164" fontId="5" fillId="0" borderId="0" xfId="0" applyNumberFormat="1" applyFont="1" applyFill="1" applyAlignment="1" applyProtection="1">
      <alignment/>
      <protection locked="0"/>
    </xf>
    <xf numFmtId="167" fontId="2" fillId="36" borderId="14" xfId="0" applyNumberFormat="1" applyFont="1" applyFill="1" applyBorder="1" applyAlignment="1">
      <alignment horizontal="centerContinuous" wrapText="1"/>
    </xf>
    <xf numFmtId="0" fontId="0" fillId="36" borderId="0" xfId="0" applyFont="1" applyFill="1" applyAlignment="1">
      <alignment horizontal="centerContinuous" wrapText="1"/>
    </xf>
    <xf numFmtId="0" fontId="0" fillId="36" borderId="13" xfId="0" applyFont="1" applyFill="1" applyBorder="1" applyAlignment="1">
      <alignment horizontal="centerContinuous" wrapText="1"/>
    </xf>
    <xf numFmtId="49" fontId="0" fillId="36" borderId="10" xfId="0" applyNumberFormat="1" applyFill="1" applyBorder="1" applyAlignment="1">
      <alignment/>
    </xf>
    <xf numFmtId="164" fontId="0" fillId="36" borderId="10" xfId="0" applyNumberFormat="1" applyFill="1" applyBorder="1" applyAlignment="1">
      <alignment/>
    </xf>
    <xf numFmtId="166" fontId="0" fillId="36" borderId="10" xfId="44" applyNumberFormat="1" applyFont="1" applyFill="1" applyBorder="1" applyAlignment="1">
      <alignment/>
    </xf>
    <xf numFmtId="167" fontId="2" fillId="36" borderId="11" xfId="0" applyNumberFormat="1" applyFont="1" applyFill="1" applyBorder="1" applyAlignment="1">
      <alignment horizontal="center" wrapText="1"/>
    </xf>
    <xf numFmtId="0" fontId="2" fillId="36" borderId="11" xfId="0" applyFont="1" applyFill="1" applyBorder="1" applyAlignment="1">
      <alignment horizontal="center" wrapText="1"/>
    </xf>
    <xf numFmtId="165" fontId="2" fillId="36" borderId="11" xfId="0" applyNumberFormat="1" applyFont="1" applyFill="1" applyBorder="1" applyAlignment="1">
      <alignment horizontal="center" wrapText="1"/>
    </xf>
    <xf numFmtId="166" fontId="2" fillId="36" borderId="11" xfId="44" applyNumberFormat="1" applyFont="1" applyFill="1" applyBorder="1" applyAlignment="1">
      <alignment horizontal="center" wrapText="1"/>
    </xf>
    <xf numFmtId="166" fontId="2" fillId="36" borderId="16" xfId="44" applyNumberFormat="1" applyFont="1" applyFill="1" applyBorder="1" applyAlignment="1">
      <alignment horizontal="center" wrapText="1"/>
    </xf>
    <xf numFmtId="166" fontId="2" fillId="36" borderId="10" xfId="44" applyNumberFormat="1" applyFont="1" applyFill="1" applyBorder="1" applyAlignment="1">
      <alignment horizontal="center" wrapText="1"/>
    </xf>
    <xf numFmtId="167" fontId="2" fillId="36" borderId="10" xfId="0" applyNumberFormat="1" applyFont="1" applyFill="1" applyBorder="1" applyAlignment="1">
      <alignment horizontal="center" wrapText="1"/>
    </xf>
    <xf numFmtId="0" fontId="2" fillId="36" borderId="10" xfId="0" applyFont="1" applyFill="1" applyBorder="1" applyAlignment="1">
      <alignment horizontal="left" wrapText="1"/>
    </xf>
    <xf numFmtId="165" fontId="2" fillId="36" borderId="10" xfId="0" applyNumberFormat="1" applyFont="1" applyFill="1" applyBorder="1" applyAlignment="1">
      <alignment horizontal="right" wrapText="1"/>
    </xf>
    <xf numFmtId="0" fontId="0" fillId="36" borderId="10" xfId="0" applyFill="1" applyBorder="1" applyAlignment="1">
      <alignment/>
    </xf>
    <xf numFmtId="0" fontId="11" fillId="36" borderId="10" xfId="0" applyNumberFormat="1" applyFont="1" applyFill="1" applyBorder="1" applyAlignment="1" quotePrefix="1">
      <alignment horizontal="center" vertical="center" wrapText="1"/>
    </xf>
    <xf numFmtId="0" fontId="11" fillId="36" borderId="10" xfId="0" applyNumberFormat="1" applyFont="1" applyFill="1" applyBorder="1" applyAlignment="1">
      <alignment horizontal="center" vertical="center" wrapText="1"/>
    </xf>
    <xf numFmtId="167" fontId="2" fillId="36" borderId="10" xfId="0" applyNumberFormat="1" applyFont="1" applyFill="1" applyBorder="1" applyAlignment="1">
      <alignment horizontal="center"/>
    </xf>
    <xf numFmtId="0" fontId="2" fillId="36" borderId="10" xfId="0" applyFont="1" applyFill="1" applyBorder="1" applyAlignment="1">
      <alignment horizontal="center"/>
    </xf>
    <xf numFmtId="0" fontId="2" fillId="36" borderId="10" xfId="0" applyFont="1" applyFill="1" applyBorder="1" applyAlignment="1">
      <alignment horizontal="center"/>
    </xf>
    <xf numFmtId="14" fontId="11" fillId="36" borderId="10" xfId="0" applyNumberFormat="1" applyFont="1" applyFill="1" applyBorder="1" applyAlignment="1">
      <alignment horizontal="center"/>
    </xf>
    <xf numFmtId="0" fontId="2" fillId="36" borderId="0" xfId="0" applyFont="1" applyFill="1" applyBorder="1" applyAlignment="1" applyProtection="1">
      <alignment horizontal="center" vertical="center"/>
      <protection/>
    </xf>
    <xf numFmtId="0" fontId="2" fillId="36" borderId="24" xfId="0" applyFont="1" applyFill="1" applyBorder="1" applyAlignment="1" applyProtection="1">
      <alignment horizontal="centerContinuous" vertical="center"/>
      <protection/>
    </xf>
    <xf numFmtId="0" fontId="0" fillId="36" borderId="15" xfId="0" applyFont="1" applyFill="1" applyBorder="1" applyAlignment="1" applyProtection="1">
      <alignment horizontal="centerContinuous" vertical="center"/>
      <protection/>
    </xf>
    <xf numFmtId="0" fontId="2" fillId="36" borderId="11" xfId="0" applyFont="1" applyFill="1" applyBorder="1" applyAlignment="1" applyProtection="1">
      <alignment horizontal="center"/>
      <protection/>
    </xf>
    <xf numFmtId="0" fontId="2" fillId="36" borderId="10" xfId="0" applyFont="1" applyFill="1" applyBorder="1" applyAlignment="1" applyProtection="1">
      <alignment horizontal="center" wrapText="1"/>
      <protection/>
    </xf>
    <xf numFmtId="167" fontId="2" fillId="36" borderId="10" xfId="0" applyNumberFormat="1" applyFont="1" applyFill="1" applyBorder="1" applyAlignment="1" applyProtection="1">
      <alignment horizontal="center" wrapText="1"/>
      <protection/>
    </xf>
    <xf numFmtId="0" fontId="0" fillId="36" borderId="15" xfId="0" applyFont="1" applyFill="1" applyBorder="1" applyAlignment="1" applyProtection="1">
      <alignment horizontal="centerContinuous" vertical="center"/>
      <protection/>
    </xf>
    <xf numFmtId="9" fontId="2" fillId="36" borderId="25" xfId="0" applyNumberFormat="1" applyFont="1" applyFill="1" applyBorder="1" applyAlignment="1" applyProtection="1">
      <alignment horizontal="center"/>
      <protection/>
    </xf>
    <xf numFmtId="9" fontId="2" fillId="36" borderId="10" xfId="0" applyNumberFormat="1" applyFont="1" applyFill="1" applyBorder="1" applyAlignment="1" applyProtection="1" quotePrefix="1">
      <alignment horizontal="center"/>
      <protection/>
    </xf>
    <xf numFmtId="0" fontId="0" fillId="34" borderId="0" xfId="0" applyFont="1" applyFill="1" applyBorder="1" applyAlignment="1" applyProtection="1">
      <alignment/>
      <protection locked="0"/>
    </xf>
    <xf numFmtId="1" fontId="2" fillId="35" borderId="10" xfId="0" applyNumberFormat="1" applyFont="1" applyFill="1" applyBorder="1" applyAlignment="1" applyProtection="1">
      <alignment/>
      <protection/>
    </xf>
    <xf numFmtId="167" fontId="2" fillId="33" borderId="10" xfId="0" applyNumberFormat="1" applyFont="1" applyFill="1" applyBorder="1" applyAlignment="1" applyProtection="1">
      <alignment/>
      <protection locked="0"/>
    </xf>
    <xf numFmtId="0" fontId="24" fillId="0" borderId="10" xfId="0" applyFont="1" applyFill="1" applyBorder="1" applyAlignment="1" applyProtection="1">
      <alignment/>
      <protection/>
    </xf>
    <xf numFmtId="0" fontId="4" fillId="0" borderId="0" xfId="0" applyFont="1" applyAlignment="1">
      <alignment wrapText="1"/>
    </xf>
    <xf numFmtId="0" fontId="11" fillId="37" borderId="10" xfId="0" applyNumberFormat="1" applyFont="1" applyFill="1" applyBorder="1" applyAlignment="1">
      <alignment horizontal="center" vertical="center" wrapText="1"/>
    </xf>
    <xf numFmtId="0" fontId="0" fillId="0" borderId="10" xfId="0" applyFill="1" applyBorder="1" applyAlignment="1">
      <alignment/>
    </xf>
    <xf numFmtId="0" fontId="4" fillId="0" borderId="10" xfId="0" applyFont="1" applyFill="1" applyBorder="1" applyAlignment="1">
      <alignment/>
    </xf>
    <xf numFmtId="9" fontId="4" fillId="0" borderId="10" xfId="57" applyFont="1" applyFill="1" applyBorder="1" applyAlignment="1">
      <alignment/>
    </xf>
    <xf numFmtId="164" fontId="14" fillId="34" borderId="10" xfId="0" applyNumberFormat="1" applyFont="1" applyFill="1" applyBorder="1" applyAlignment="1" applyProtection="1">
      <alignment/>
      <protection locked="0"/>
    </xf>
    <xf numFmtId="0" fontId="2" fillId="0" borderId="0" xfId="0" applyFont="1" applyBorder="1" applyAlignment="1">
      <alignment horizontal="center" wrapText="1"/>
    </xf>
    <xf numFmtId="16" fontId="7" fillId="0" borderId="10" xfId="0" applyNumberFormat="1" applyFont="1" applyFill="1" applyBorder="1" applyAlignment="1" applyProtection="1" quotePrefix="1">
      <alignment horizontal="center" vertical="center"/>
      <protection/>
    </xf>
    <xf numFmtId="0" fontId="7" fillId="0" borderId="10" xfId="0" applyFont="1" applyFill="1" applyBorder="1" applyAlignment="1" applyProtection="1">
      <alignment vertical="center" wrapText="1"/>
      <protection/>
    </xf>
    <xf numFmtId="0" fontId="11" fillId="0" borderId="0" xfId="0" applyFont="1" applyAlignment="1">
      <alignment horizontal="center" wrapText="1"/>
    </xf>
    <xf numFmtId="0" fontId="7" fillId="0" borderId="16" xfId="0" applyFont="1" applyFill="1" applyBorder="1" applyAlignment="1" applyProtection="1">
      <alignment horizontal="center" vertical="center"/>
      <protection/>
    </xf>
    <xf numFmtId="0" fontId="9" fillId="0" borderId="16" xfId="0" applyNumberFormat="1" applyFont="1" applyFill="1" applyBorder="1" applyAlignment="1" applyProtection="1">
      <alignment vertical="center"/>
      <protection/>
    </xf>
    <xf numFmtId="0" fontId="2" fillId="0" borderId="10" xfId="0" applyFont="1" applyFill="1" applyBorder="1" applyAlignment="1">
      <alignment horizontal="left"/>
    </xf>
    <xf numFmtId="0" fontId="2" fillId="0" borderId="25" xfId="0" applyFont="1" applyFill="1" applyBorder="1" applyAlignment="1">
      <alignment/>
    </xf>
    <xf numFmtId="0" fontId="0" fillId="0" borderId="26" xfId="0" applyFont="1" applyFill="1" applyBorder="1" applyAlignment="1">
      <alignment/>
    </xf>
    <xf numFmtId="0" fontId="0" fillId="0" borderId="12" xfId="0" applyFont="1" applyFill="1" applyBorder="1" applyAlignment="1">
      <alignment/>
    </xf>
    <xf numFmtId="0" fontId="0" fillId="0" borderId="10" xfId="0" applyFont="1" applyFill="1" applyBorder="1" applyAlignment="1">
      <alignment/>
    </xf>
    <xf numFmtId="0" fontId="2" fillId="0" borderId="0" xfId="0" applyFont="1" applyFill="1" applyAlignment="1">
      <alignment horizontal="left"/>
    </xf>
    <xf numFmtId="0" fontId="2" fillId="0" borderId="0" xfId="0" applyFont="1" applyFill="1" applyAlignment="1">
      <alignment/>
    </xf>
    <xf numFmtId="167" fontId="0" fillId="0" borderId="0" xfId="0" applyNumberFormat="1" applyFont="1" applyFill="1" applyAlignment="1">
      <alignment/>
    </xf>
    <xf numFmtId="44" fontId="14" fillId="35" borderId="15" xfId="44" applyFont="1" applyFill="1" applyBorder="1" applyAlignment="1" applyProtection="1">
      <alignment/>
      <protection/>
    </xf>
    <xf numFmtId="44" fontId="14" fillId="35" borderId="16" xfId="44" applyFont="1" applyFill="1" applyBorder="1" applyAlignment="1" applyProtection="1">
      <alignment/>
      <protection/>
    </xf>
    <xf numFmtId="0" fontId="14" fillId="36" borderId="27" xfId="0" applyFont="1" applyFill="1" applyBorder="1" applyAlignment="1" applyProtection="1">
      <alignment horizontal="center" vertical="center"/>
      <protection/>
    </xf>
    <xf numFmtId="0" fontId="14" fillId="36" borderId="28" xfId="0" applyFont="1" applyFill="1" applyBorder="1" applyAlignment="1" applyProtection="1">
      <alignment horizontal="center" vertical="center"/>
      <protection/>
    </xf>
    <xf numFmtId="167" fontId="14" fillId="36" borderId="29" xfId="0" applyNumberFormat="1" applyFont="1" applyFill="1" applyBorder="1" applyAlignment="1" applyProtection="1">
      <alignment horizontal="center" vertical="center"/>
      <protection/>
    </xf>
    <xf numFmtId="0" fontId="14" fillId="36" borderId="29" xfId="0" applyFont="1" applyFill="1" applyBorder="1" applyAlignment="1" applyProtection="1">
      <alignment horizontal="center" vertical="center"/>
      <protection/>
    </xf>
    <xf numFmtId="0" fontId="4" fillId="0" borderId="10" xfId="0" applyNumberFormat="1" applyFont="1" applyFill="1" applyBorder="1" applyAlignment="1">
      <alignment wrapText="1"/>
    </xf>
    <xf numFmtId="0" fontId="25" fillId="0" borderId="10" xfId="0" applyFont="1" applyFill="1" applyBorder="1" applyAlignment="1">
      <alignment/>
    </xf>
    <xf numFmtId="0" fontId="26" fillId="0" borderId="0" xfId="0" applyFont="1" applyAlignment="1">
      <alignment horizontal="center" wrapText="1"/>
    </xf>
    <xf numFmtId="0" fontId="27" fillId="0" borderId="0" xfId="0" applyFont="1" applyAlignment="1">
      <alignment horizontal="center" wrapText="1"/>
    </xf>
    <xf numFmtId="0" fontId="14" fillId="36" borderId="0" xfId="0" applyFont="1" applyFill="1" applyBorder="1" applyAlignment="1" applyProtection="1">
      <alignment horizontal="center" wrapText="1"/>
      <protection/>
    </xf>
    <xf numFmtId="0" fontId="0" fillId="0" borderId="30" xfId="0" applyBorder="1" applyAlignment="1" applyProtection="1">
      <alignment/>
      <protection locked="0"/>
    </xf>
    <xf numFmtId="0" fontId="0" fillId="0" borderId="30" xfId="0" applyBorder="1" applyAlignment="1">
      <alignment/>
    </xf>
    <xf numFmtId="164" fontId="17" fillId="36" borderId="10" xfId="0" applyNumberFormat="1" applyFont="1" applyFill="1" applyBorder="1" applyAlignment="1" applyProtection="1">
      <alignment horizontal="right"/>
      <protection locked="0"/>
    </xf>
    <xf numFmtId="165" fontId="14" fillId="0" borderId="10" xfId="0" applyNumberFormat="1" applyFont="1" applyFill="1" applyBorder="1" applyAlignment="1" applyProtection="1">
      <alignment/>
      <protection/>
    </xf>
    <xf numFmtId="0" fontId="14" fillId="36" borderId="31" xfId="0" applyFont="1" applyFill="1" applyBorder="1" applyAlignment="1" applyProtection="1">
      <alignment horizontal="center"/>
      <protection/>
    </xf>
    <xf numFmtId="0" fontId="14" fillId="36" borderId="29" xfId="0" applyFont="1" applyFill="1" applyBorder="1" applyAlignment="1" applyProtection="1">
      <alignment horizontal="center" wrapText="1"/>
      <protection/>
    </xf>
    <xf numFmtId="0" fontId="14" fillId="36" borderId="32" xfId="0" applyFont="1" applyFill="1" applyBorder="1" applyAlignment="1" applyProtection="1">
      <alignment horizontal="center"/>
      <protection/>
    </xf>
    <xf numFmtId="0" fontId="14" fillId="36" borderId="30" xfId="0" applyFont="1" applyFill="1" applyBorder="1" applyAlignment="1" applyProtection="1">
      <alignment horizontal="center" wrapText="1"/>
      <protection/>
    </xf>
    <xf numFmtId="0" fontId="14" fillId="36" borderId="27" xfId="0" applyFont="1" applyFill="1" applyBorder="1" applyAlignment="1" applyProtection="1">
      <alignment horizontal="center" wrapText="1"/>
      <protection/>
    </xf>
    <xf numFmtId="0" fontId="14" fillId="36" borderId="33" xfId="0" applyFont="1" applyFill="1" applyBorder="1" applyAlignment="1" applyProtection="1">
      <alignment horizontal="center" vertical="center"/>
      <protection/>
    </xf>
    <xf numFmtId="167" fontId="14" fillId="36" borderId="31" xfId="0" applyNumberFormat="1" applyFont="1" applyFill="1" applyBorder="1" applyAlignment="1" applyProtection="1">
      <alignment horizontal="center" vertical="center"/>
      <protection/>
    </xf>
    <xf numFmtId="0" fontId="14" fillId="36" borderId="31" xfId="0" applyFont="1" applyFill="1" applyBorder="1" applyAlignment="1" applyProtection="1">
      <alignment horizontal="center" vertical="center"/>
      <protection/>
    </xf>
    <xf numFmtId="0" fontId="2" fillId="36" borderId="34" xfId="0" applyFont="1" applyFill="1" applyBorder="1" applyAlignment="1">
      <alignment horizontal="center"/>
    </xf>
    <xf numFmtId="0" fontId="28" fillId="36" borderId="34" xfId="0" applyFont="1" applyFill="1" applyBorder="1" applyAlignment="1">
      <alignment horizontal="center"/>
    </xf>
    <xf numFmtId="0" fontId="28" fillId="36" borderId="35" xfId="0" applyFont="1" applyFill="1" applyBorder="1" applyAlignment="1">
      <alignment horizontal="center"/>
    </xf>
    <xf numFmtId="164" fontId="14" fillId="0" borderId="36" xfId="0" applyNumberFormat="1" applyFont="1" applyFill="1" applyBorder="1" applyAlignment="1" applyProtection="1">
      <alignment/>
      <protection locked="0"/>
    </xf>
    <xf numFmtId="164" fontId="14" fillId="34" borderId="11" xfId="0" applyNumberFormat="1" applyFont="1" applyFill="1" applyBorder="1" applyAlignment="1" applyProtection="1">
      <alignment/>
      <protection locked="0"/>
    </xf>
    <xf numFmtId="166" fontId="14" fillId="36" borderId="14" xfId="44" applyNumberFormat="1" applyFont="1" applyFill="1" applyBorder="1" applyAlignment="1" applyProtection="1">
      <alignment/>
      <protection locked="0"/>
    </xf>
    <xf numFmtId="166" fontId="14" fillId="0" borderId="14" xfId="44" applyNumberFormat="1" applyFont="1" applyFill="1" applyBorder="1" applyAlignment="1" applyProtection="1">
      <alignment/>
      <protection/>
    </xf>
    <xf numFmtId="44" fontId="14" fillId="0" borderId="16" xfId="44" applyFont="1" applyFill="1" applyBorder="1" applyAlignment="1" applyProtection="1">
      <alignment/>
      <protection/>
    </xf>
    <xf numFmtId="166" fontId="14" fillId="0" borderId="23" xfId="44" applyNumberFormat="1" applyFont="1" applyFill="1" applyBorder="1" applyAlignment="1" applyProtection="1">
      <alignment/>
      <protection/>
    </xf>
    <xf numFmtId="0" fontId="11" fillId="0" borderId="0" xfId="0" applyFont="1" applyAlignment="1">
      <alignment horizontal="center"/>
    </xf>
    <xf numFmtId="0" fontId="11" fillId="0" borderId="0" xfId="0" applyFont="1" applyAlignment="1">
      <alignment horizontal="left"/>
    </xf>
    <xf numFmtId="164" fontId="17" fillId="34" borderId="36" xfId="0" applyNumberFormat="1" applyFont="1" applyFill="1" applyBorder="1" applyAlignment="1" applyProtection="1">
      <alignment/>
      <protection/>
    </xf>
    <xf numFmtId="164" fontId="18" fillId="35" borderId="12" xfId="0" applyNumberFormat="1" applyFont="1" applyFill="1" applyBorder="1" applyAlignment="1" applyProtection="1">
      <alignment/>
      <protection/>
    </xf>
    <xf numFmtId="0" fontId="30" fillId="36" borderId="31" xfId="0" applyFont="1" applyFill="1" applyBorder="1" applyAlignment="1" applyProtection="1">
      <alignment horizontal="center" vertical="center"/>
      <protection/>
    </xf>
    <xf numFmtId="0" fontId="30" fillId="36" borderId="29" xfId="0" applyFont="1" applyFill="1" applyBorder="1" applyAlignment="1" applyProtection="1">
      <alignment horizontal="center" vertical="center"/>
      <protection/>
    </xf>
    <xf numFmtId="0" fontId="14" fillId="36" borderId="33" xfId="0" applyFont="1" applyFill="1" applyBorder="1" applyAlignment="1" applyProtection="1">
      <alignment horizontal="centerContinuous" vertical="center" wrapText="1"/>
      <protection/>
    </xf>
    <xf numFmtId="0" fontId="14" fillId="36" borderId="37" xfId="0" applyFont="1" applyFill="1" applyBorder="1" applyAlignment="1" applyProtection="1">
      <alignment horizontal="centerContinuous" vertical="center" wrapText="1"/>
      <protection/>
    </xf>
    <xf numFmtId="167" fontId="14" fillId="36" borderId="31" xfId="0" applyNumberFormat="1" applyFont="1" applyFill="1" applyBorder="1" applyAlignment="1" applyProtection="1">
      <alignment horizontal="centerContinuous" vertical="center" wrapText="1"/>
      <protection/>
    </xf>
    <xf numFmtId="167" fontId="14" fillId="36" borderId="0" xfId="0" applyNumberFormat="1" applyFont="1" applyFill="1" applyBorder="1" applyAlignment="1" applyProtection="1">
      <alignment horizontal="centerContinuous" vertical="center" wrapText="1"/>
      <protection/>
    </xf>
    <xf numFmtId="0" fontId="14" fillId="36" borderId="31" xfId="0" applyFont="1" applyFill="1" applyBorder="1" applyAlignment="1" applyProtection="1">
      <alignment horizontal="centerContinuous" vertical="center" wrapText="1"/>
      <protection/>
    </xf>
    <xf numFmtId="0" fontId="14" fillId="36" borderId="0" xfId="0" applyFont="1" applyFill="1" applyBorder="1" applyAlignment="1" applyProtection="1">
      <alignment horizontal="centerContinuous" vertical="center" wrapText="1"/>
      <protection/>
    </xf>
    <xf numFmtId="0" fontId="30" fillId="36" borderId="31" xfId="0" applyFont="1" applyFill="1" applyBorder="1" applyAlignment="1" applyProtection="1">
      <alignment horizontal="centerContinuous" vertical="center" wrapText="1"/>
      <protection/>
    </xf>
    <xf numFmtId="0" fontId="30" fillId="36" borderId="0" xfId="0" applyFont="1" applyFill="1" applyBorder="1" applyAlignment="1" applyProtection="1">
      <alignment horizontal="centerContinuous" vertical="center" wrapText="1"/>
      <protection/>
    </xf>
    <xf numFmtId="0" fontId="14" fillId="36" borderId="28" xfId="0" applyFont="1" applyFill="1" applyBorder="1" applyAlignment="1" applyProtection="1">
      <alignment horizontal="centerContinuous" vertical="center" wrapText="1"/>
      <protection/>
    </xf>
    <xf numFmtId="167" fontId="14" fillId="36" borderId="29" xfId="0" applyNumberFormat="1" applyFont="1" applyFill="1" applyBorder="1" applyAlignment="1" applyProtection="1">
      <alignment horizontal="centerContinuous" vertical="center" wrapText="1"/>
      <protection/>
    </xf>
    <xf numFmtId="0" fontId="14" fillId="36" borderId="29" xfId="0" applyFont="1" applyFill="1" applyBorder="1" applyAlignment="1" applyProtection="1">
      <alignment horizontal="centerContinuous" vertical="center" wrapText="1"/>
      <protection/>
    </xf>
    <xf numFmtId="0" fontId="30" fillId="36" borderId="29" xfId="0" applyFont="1" applyFill="1" applyBorder="1" applyAlignment="1" applyProtection="1">
      <alignment horizontal="centerContinuous" vertical="center" wrapText="1"/>
      <protection/>
    </xf>
    <xf numFmtId="0" fontId="11" fillId="0" borderId="0" xfId="0" applyFont="1" applyAlignment="1">
      <alignment/>
    </xf>
    <xf numFmtId="0" fontId="28" fillId="0" borderId="0" xfId="0" applyFont="1" applyAlignment="1">
      <alignment horizontal="center" wrapText="1"/>
    </xf>
    <xf numFmtId="0" fontId="2" fillId="36" borderId="38" xfId="0" applyFont="1" applyFill="1" applyBorder="1" applyAlignment="1">
      <alignment horizontal="center"/>
    </xf>
    <xf numFmtId="0" fontId="7" fillId="38" borderId="10" xfId="0" applyFont="1" applyFill="1" applyBorder="1" applyAlignment="1" applyProtection="1">
      <alignment horizontal="centerContinuous" vertical="center" wrapText="1"/>
      <protection/>
    </xf>
    <xf numFmtId="0" fontId="7" fillId="39" borderId="10" xfId="0" applyFont="1" applyFill="1" applyBorder="1" applyAlignment="1" applyProtection="1">
      <alignment horizontal="center" vertical="center" wrapText="1"/>
      <protection/>
    </xf>
    <xf numFmtId="0" fontId="41" fillId="36" borderId="34" xfId="0" applyFont="1" applyFill="1" applyBorder="1" applyAlignment="1">
      <alignment horizontal="center"/>
    </xf>
    <xf numFmtId="0" fontId="41" fillId="36" borderId="38" xfId="0" applyFont="1" applyFill="1" applyBorder="1" applyAlignment="1">
      <alignment horizontal="center"/>
    </xf>
    <xf numFmtId="0" fontId="32" fillId="0" borderId="10" xfId="0" applyFont="1" applyFill="1" applyBorder="1" applyAlignment="1" applyProtection="1">
      <alignment vertical="center" wrapText="1"/>
      <protection/>
    </xf>
    <xf numFmtId="0" fontId="0" fillId="0" borderId="0" xfId="0" applyAlignment="1">
      <alignment horizontal="centerContinuous"/>
    </xf>
    <xf numFmtId="0" fontId="43" fillId="0" borderId="0" xfId="0" applyFont="1" applyAlignment="1">
      <alignment horizontal="centerContinuous"/>
    </xf>
    <xf numFmtId="164" fontId="0" fillId="0" borderId="10" xfId="0" applyNumberFormat="1" applyFont="1" applyFill="1" applyBorder="1" applyAlignment="1" applyProtection="1">
      <alignment/>
      <protection locked="0"/>
    </xf>
    <xf numFmtId="164" fontId="5" fillId="0" borderId="10" xfId="0" applyNumberFormat="1" applyFont="1" applyFill="1" applyBorder="1" applyAlignment="1" applyProtection="1">
      <alignment/>
      <protection locked="0"/>
    </xf>
    <xf numFmtId="0" fontId="20" fillId="36" borderId="0" xfId="0" applyFont="1" applyFill="1" applyAlignment="1">
      <alignment horizontal="centerContinuous" wrapText="1"/>
    </xf>
    <xf numFmtId="49" fontId="20" fillId="36" borderId="10" xfId="0" applyNumberFormat="1" applyFont="1" applyFill="1" applyBorder="1" applyAlignment="1">
      <alignment/>
    </xf>
    <xf numFmtId="166" fontId="45" fillId="36" borderId="16" xfId="44" applyNumberFormat="1" applyFont="1" applyFill="1" applyBorder="1" applyAlignment="1">
      <alignment horizontal="center" wrapText="1"/>
    </xf>
    <xf numFmtId="166" fontId="45" fillId="36" borderId="10" xfId="44" applyNumberFormat="1" applyFont="1" applyFill="1" applyBorder="1" applyAlignment="1">
      <alignment horizontal="center" wrapText="1"/>
    </xf>
    <xf numFmtId="0" fontId="20" fillId="0" borderId="0" xfId="0" applyFont="1" applyAlignment="1">
      <alignment/>
    </xf>
    <xf numFmtId="0" fontId="20" fillId="0" borderId="0" xfId="0" applyFont="1" applyFill="1" applyAlignment="1">
      <alignment/>
    </xf>
    <xf numFmtId="164" fontId="17" fillId="0" borderId="12" xfId="0" applyNumberFormat="1" applyFont="1" applyFill="1" applyBorder="1" applyAlignment="1" applyProtection="1">
      <alignment/>
      <protection/>
    </xf>
    <xf numFmtId="0" fontId="7" fillId="0" borderId="0" xfId="0" applyFont="1" applyAlignment="1">
      <alignment horizontal="center"/>
    </xf>
    <xf numFmtId="0" fontId="7" fillId="0" borderId="10" xfId="0" applyFont="1" applyBorder="1" applyAlignment="1">
      <alignment horizontal="center"/>
    </xf>
    <xf numFmtId="167" fontId="4" fillId="0" borderId="10" xfId="0" applyNumberFormat="1" applyFont="1" applyBorder="1" applyAlignment="1" quotePrefix="1">
      <alignment/>
    </xf>
    <xf numFmtId="0" fontId="4" fillId="0" borderId="10" xfId="0" applyNumberFormat="1" applyFont="1" applyBorder="1" applyAlignment="1" quotePrefix="1">
      <alignment wrapText="1"/>
    </xf>
    <xf numFmtId="167" fontId="46" fillId="0" borderId="10" xfId="0" applyNumberFormat="1" applyFont="1" applyBorder="1" applyAlignment="1" quotePrefix="1">
      <alignment/>
    </xf>
    <xf numFmtId="167" fontId="46" fillId="0" borderId="10" xfId="0" applyNumberFormat="1" applyFont="1" applyFill="1" applyBorder="1" applyAlignment="1" quotePrefix="1">
      <alignment/>
    </xf>
    <xf numFmtId="0" fontId="46" fillId="0" borderId="10" xfId="0" applyNumberFormat="1" applyFont="1" applyBorder="1" applyAlignment="1" quotePrefix="1">
      <alignment wrapText="1"/>
    </xf>
    <xf numFmtId="0" fontId="46" fillId="0" borderId="10" xfId="0" applyNumberFormat="1" applyFont="1" applyFill="1" applyBorder="1" applyAlignment="1">
      <alignment wrapText="1"/>
    </xf>
    <xf numFmtId="0" fontId="11" fillId="36" borderId="34" xfId="0" applyFont="1" applyFill="1" applyBorder="1" applyAlignment="1">
      <alignment horizontal="center"/>
    </xf>
    <xf numFmtId="166" fontId="11" fillId="0" borderId="0" xfId="44" applyNumberFormat="1" applyFont="1" applyAlignment="1">
      <alignment horizontal="center"/>
    </xf>
    <xf numFmtId="166" fontId="11" fillId="0" borderId="0" xfId="0" applyNumberFormat="1" applyFont="1" applyAlignment="1">
      <alignment horizontal="left"/>
    </xf>
    <xf numFmtId="0" fontId="14" fillId="33" borderId="32" xfId="0" applyFont="1" applyFill="1" applyBorder="1" applyAlignment="1" applyProtection="1">
      <alignment horizontal="center" vertical="center"/>
      <protection/>
    </xf>
    <xf numFmtId="0" fontId="14" fillId="33" borderId="31" xfId="0" applyFont="1" applyFill="1" applyBorder="1" applyAlignment="1" applyProtection="1">
      <alignment horizontal="centerContinuous" vertical="center" wrapText="1"/>
      <protection/>
    </xf>
    <xf numFmtId="0" fontId="14" fillId="33" borderId="0" xfId="0" applyFont="1" applyFill="1" applyBorder="1" applyAlignment="1" applyProtection="1">
      <alignment horizontal="centerContinuous" vertical="center" wrapText="1"/>
      <protection/>
    </xf>
    <xf numFmtId="0" fontId="14" fillId="33" borderId="29" xfId="0" applyFont="1" applyFill="1" applyBorder="1" applyAlignment="1" applyProtection="1">
      <alignment horizontal="centerContinuous" vertical="center" wrapText="1"/>
      <protection/>
    </xf>
    <xf numFmtId="0" fontId="80" fillId="0" borderId="0" xfId="0" applyFont="1" applyFill="1" applyAlignment="1">
      <alignment/>
    </xf>
    <xf numFmtId="169" fontId="80" fillId="0" borderId="0" xfId="0" applyNumberFormat="1" applyFont="1" applyFill="1" applyAlignment="1">
      <alignment/>
    </xf>
    <xf numFmtId="167" fontId="2" fillId="36" borderId="0" xfId="0" applyNumberFormat="1" applyFont="1" applyFill="1" applyBorder="1" applyAlignment="1">
      <alignment horizontal="center" wrapText="1"/>
    </xf>
    <xf numFmtId="0" fontId="0" fillId="0" borderId="0" xfId="0" applyFont="1" applyFill="1" applyAlignment="1">
      <alignment/>
    </xf>
    <xf numFmtId="0" fontId="81" fillId="0" borderId="0" xfId="0" applyFont="1" applyFill="1" applyAlignment="1">
      <alignment/>
    </xf>
    <xf numFmtId="0" fontId="80" fillId="0" borderId="0" xfId="0" applyFont="1" applyFill="1" applyAlignment="1">
      <alignment wrapText="1"/>
    </xf>
    <xf numFmtId="169" fontId="81" fillId="0" borderId="0" xfId="0" applyNumberFormat="1" applyFont="1" applyFill="1" applyAlignment="1">
      <alignment/>
    </xf>
    <xf numFmtId="0" fontId="80" fillId="0" borderId="0" xfId="0" applyFont="1" applyAlignment="1">
      <alignment/>
    </xf>
    <xf numFmtId="164" fontId="17" fillId="40" borderId="12" xfId="0" applyNumberFormat="1" applyFont="1" applyFill="1" applyBorder="1" applyAlignment="1" applyProtection="1">
      <alignment/>
      <protection/>
    </xf>
    <xf numFmtId="164" fontId="17" fillId="40" borderId="13" xfId="0" applyNumberFormat="1" applyFont="1" applyFill="1" applyBorder="1" applyAlignment="1" applyProtection="1">
      <alignment/>
      <protection/>
    </xf>
    <xf numFmtId="164" fontId="17" fillId="40" borderId="11" xfId="0" applyNumberFormat="1" applyFont="1" applyFill="1" applyBorder="1" applyAlignment="1" applyProtection="1">
      <alignment/>
      <protection/>
    </xf>
    <xf numFmtId="164" fontId="17" fillId="40" borderId="10" xfId="0" applyNumberFormat="1" applyFont="1" applyFill="1" applyBorder="1" applyAlignment="1" applyProtection="1">
      <alignment/>
      <protection/>
    </xf>
    <xf numFmtId="37" fontId="0" fillId="0" borderId="0" xfId="0" applyNumberFormat="1" applyFill="1" applyAlignment="1" applyProtection="1">
      <alignment/>
      <protection/>
    </xf>
    <xf numFmtId="37" fontId="0" fillId="0" borderId="0" xfId="0" applyNumberFormat="1" applyFont="1" applyFill="1" applyAlignment="1" applyProtection="1">
      <alignment/>
      <protection/>
    </xf>
    <xf numFmtId="0" fontId="2" fillId="34" borderId="39" xfId="0" applyFont="1" applyFill="1" applyBorder="1" applyAlignment="1" applyProtection="1">
      <alignment horizontal="center" vertical="center" wrapText="1"/>
      <protection locked="0"/>
    </xf>
    <xf numFmtId="0" fontId="2" fillId="34" borderId="40" xfId="0" applyFont="1" applyFill="1" applyBorder="1" applyAlignment="1" applyProtection="1">
      <alignment horizontal="center" vertical="center" wrapText="1"/>
      <protection locked="0"/>
    </xf>
    <xf numFmtId="0" fontId="2" fillId="34" borderId="0" xfId="0" applyFont="1" applyFill="1" applyAlignment="1" applyProtection="1">
      <alignment horizontal="center" vertical="center" wrapText="1"/>
      <protection/>
    </xf>
    <xf numFmtId="0" fontId="2" fillId="34" borderId="40" xfId="0" applyFont="1" applyFill="1" applyBorder="1" applyAlignment="1" applyProtection="1">
      <alignment horizontal="center" vertical="center" wrapText="1"/>
      <protection/>
    </xf>
    <xf numFmtId="0" fontId="2" fillId="41" borderId="0" xfId="0" applyFont="1" applyFill="1" applyAlignment="1" applyProtection="1">
      <alignment horizontal="center" vertical="center" wrapText="1"/>
      <protection/>
    </xf>
    <xf numFmtId="0" fontId="2" fillId="41" borderId="40" xfId="0" applyFont="1" applyFill="1" applyBorder="1" applyAlignment="1" applyProtection="1">
      <alignment horizontal="center" vertical="center" wrapText="1"/>
      <protection/>
    </xf>
    <xf numFmtId="10" fontId="2" fillId="34" borderId="39" xfId="0" applyNumberFormat="1" applyFont="1" applyFill="1" applyBorder="1" applyAlignment="1" applyProtection="1">
      <alignment horizontal="center" vertical="center" wrapText="1"/>
      <protection/>
    </xf>
    <xf numFmtId="10" fontId="2" fillId="34" borderId="40" xfId="0" applyNumberFormat="1" applyFont="1" applyFill="1" applyBorder="1" applyAlignment="1" applyProtection="1">
      <alignment horizontal="center" vertical="center" wrapText="1"/>
      <protection/>
    </xf>
    <xf numFmtId="0" fontId="0" fillId="0" borderId="38" xfId="0" applyBorder="1" applyAlignment="1" applyProtection="1">
      <alignment wrapText="1"/>
      <protection locked="0"/>
    </xf>
    <xf numFmtId="0" fontId="0" fillId="0" borderId="34" xfId="0" applyBorder="1" applyAlignment="1" applyProtection="1">
      <alignment wrapText="1"/>
      <protection locked="0"/>
    </xf>
    <xf numFmtId="0" fontId="0" fillId="0" borderId="35" xfId="0" applyBorder="1" applyAlignment="1" applyProtection="1">
      <alignment wrapText="1"/>
      <protection locked="0"/>
    </xf>
    <xf numFmtId="0" fontId="2" fillId="36" borderId="41" xfId="0" applyFont="1" applyFill="1" applyBorder="1" applyAlignment="1" applyProtection="1">
      <alignment horizontal="center" vertical="center"/>
      <protection/>
    </xf>
    <xf numFmtId="0" fontId="2" fillId="36" borderId="39" xfId="0" applyFont="1" applyFill="1" applyBorder="1" applyAlignment="1" applyProtection="1">
      <alignment horizontal="center" vertical="center"/>
      <protection/>
    </xf>
    <xf numFmtId="0" fontId="2" fillId="36" borderId="42" xfId="0" applyFont="1" applyFill="1" applyBorder="1" applyAlignment="1" applyProtection="1">
      <alignment horizontal="center" vertical="center"/>
      <protection/>
    </xf>
    <xf numFmtId="167" fontId="2" fillId="36" borderId="24" xfId="0" applyNumberFormat="1" applyFont="1" applyFill="1" applyBorder="1" applyAlignment="1" applyProtection="1">
      <alignment horizontal="center" vertical="center"/>
      <protection/>
    </xf>
    <xf numFmtId="167" fontId="2" fillId="36" borderId="0" xfId="0" applyNumberFormat="1" applyFont="1" applyFill="1" applyBorder="1" applyAlignment="1" applyProtection="1">
      <alignment horizontal="center" vertical="center"/>
      <protection/>
    </xf>
    <xf numFmtId="167" fontId="2" fillId="36" borderId="15" xfId="0" applyNumberFormat="1" applyFont="1" applyFill="1" applyBorder="1" applyAlignment="1" applyProtection="1">
      <alignment horizontal="center" vertical="center"/>
      <protection/>
    </xf>
    <xf numFmtId="0" fontId="2" fillId="36" borderId="24" xfId="0" applyFont="1" applyFill="1" applyBorder="1" applyAlignment="1" applyProtection="1">
      <alignment horizontal="center" vertical="center"/>
      <protection/>
    </xf>
    <xf numFmtId="0" fontId="2" fillId="36" borderId="0" xfId="0" applyFont="1" applyFill="1" applyBorder="1" applyAlignment="1" applyProtection="1">
      <alignment horizontal="center" vertical="center"/>
      <protection/>
    </xf>
    <xf numFmtId="0" fontId="2" fillId="36" borderId="15" xfId="0" applyFont="1" applyFill="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7">
    <dxf>
      <font>
        <b/>
        <i val="0"/>
        <color auto="1"/>
      </font>
      <fill>
        <patternFill>
          <bgColor indexed="12"/>
        </patternFill>
      </fill>
      <border>
        <left style="thin"/>
        <right style="thin"/>
        <top style="thin"/>
        <bottom style="thin"/>
      </border>
    </dxf>
    <dxf>
      <font>
        <b/>
        <i val="0"/>
        <color auto="1"/>
      </font>
      <fill>
        <patternFill>
          <bgColor indexed="29"/>
        </patternFill>
      </fill>
      <border>
        <left style="thin"/>
        <right style="thin"/>
        <top style="thin"/>
        <bottom style="thin"/>
      </border>
    </dxf>
    <dxf>
      <font>
        <b/>
        <i val="0"/>
        <color indexed="9"/>
      </font>
      <fill>
        <patternFill>
          <bgColor indexed="10"/>
        </patternFill>
      </fill>
    </dxf>
    <dxf>
      <font>
        <color indexed="9"/>
      </font>
      <fill>
        <patternFill>
          <bgColor indexed="10"/>
        </patternFill>
      </fill>
    </dxf>
    <dxf>
      <font>
        <b/>
        <i val="0"/>
        <color indexed="9"/>
      </font>
      <fill>
        <patternFill>
          <bgColor indexed="10"/>
        </patternFill>
      </fill>
    </dxf>
    <dxf>
      <font>
        <b/>
        <i val="0"/>
        <color auto="1"/>
      </font>
      <fill>
        <patternFill>
          <bgColor rgb="FFFF8080"/>
        </patternFill>
      </fill>
      <border>
        <left style="thin">
          <color rgb="FF000000"/>
        </left>
        <right style="thin">
          <color rgb="FF000000"/>
        </right>
        <top style="thin"/>
        <bottom style="thin">
          <color rgb="FF000000"/>
        </bottom>
      </border>
    </dxf>
    <dxf>
      <font>
        <b/>
        <i val="0"/>
        <color auto="1"/>
      </font>
      <fill>
        <patternFill>
          <bgColor rgb="FF0000FF"/>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43</xdr:row>
      <xdr:rowOff>200025</xdr:rowOff>
    </xdr:from>
    <xdr:to>
      <xdr:col>1</xdr:col>
      <xdr:colOff>704850</xdr:colOff>
      <xdr:row>43</xdr:row>
      <xdr:rowOff>342900</xdr:rowOff>
    </xdr:to>
    <xdr:sp>
      <xdr:nvSpPr>
        <xdr:cNvPr id="1" name="AutoShape 1"/>
        <xdr:cNvSpPr>
          <a:spLocks/>
        </xdr:cNvSpPr>
      </xdr:nvSpPr>
      <xdr:spPr>
        <a:xfrm>
          <a:off x="1171575" y="24555450"/>
          <a:ext cx="3810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44</xdr:row>
      <xdr:rowOff>28575</xdr:rowOff>
    </xdr:from>
    <xdr:to>
      <xdr:col>1</xdr:col>
      <xdr:colOff>695325</xdr:colOff>
      <xdr:row>44</xdr:row>
      <xdr:rowOff>171450</xdr:rowOff>
    </xdr:to>
    <xdr:sp>
      <xdr:nvSpPr>
        <xdr:cNvPr id="2" name="AutoShape 3"/>
        <xdr:cNvSpPr>
          <a:spLocks/>
        </xdr:cNvSpPr>
      </xdr:nvSpPr>
      <xdr:spPr>
        <a:xfrm>
          <a:off x="1162050" y="24765000"/>
          <a:ext cx="3810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45</xdr:row>
      <xdr:rowOff>28575</xdr:rowOff>
    </xdr:from>
    <xdr:to>
      <xdr:col>1</xdr:col>
      <xdr:colOff>695325</xdr:colOff>
      <xdr:row>45</xdr:row>
      <xdr:rowOff>171450</xdr:rowOff>
    </xdr:to>
    <xdr:sp>
      <xdr:nvSpPr>
        <xdr:cNvPr id="3" name="AutoShape 4"/>
        <xdr:cNvSpPr>
          <a:spLocks/>
        </xdr:cNvSpPr>
      </xdr:nvSpPr>
      <xdr:spPr>
        <a:xfrm>
          <a:off x="1162050" y="24955500"/>
          <a:ext cx="3810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46</xdr:row>
      <xdr:rowOff>28575</xdr:rowOff>
    </xdr:from>
    <xdr:to>
      <xdr:col>1</xdr:col>
      <xdr:colOff>695325</xdr:colOff>
      <xdr:row>46</xdr:row>
      <xdr:rowOff>171450</xdr:rowOff>
    </xdr:to>
    <xdr:sp>
      <xdr:nvSpPr>
        <xdr:cNvPr id="4" name="AutoShape 5"/>
        <xdr:cNvSpPr>
          <a:spLocks/>
        </xdr:cNvSpPr>
      </xdr:nvSpPr>
      <xdr:spPr>
        <a:xfrm>
          <a:off x="1162050" y="25336500"/>
          <a:ext cx="3810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63</xdr:row>
      <xdr:rowOff>200025</xdr:rowOff>
    </xdr:from>
    <xdr:to>
      <xdr:col>1</xdr:col>
      <xdr:colOff>704850</xdr:colOff>
      <xdr:row>63</xdr:row>
      <xdr:rowOff>342900</xdr:rowOff>
    </xdr:to>
    <xdr:sp>
      <xdr:nvSpPr>
        <xdr:cNvPr id="5" name="AutoShape 6"/>
        <xdr:cNvSpPr>
          <a:spLocks/>
        </xdr:cNvSpPr>
      </xdr:nvSpPr>
      <xdr:spPr>
        <a:xfrm>
          <a:off x="1171575" y="30632400"/>
          <a:ext cx="3810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64</xdr:row>
      <xdr:rowOff>28575</xdr:rowOff>
    </xdr:from>
    <xdr:to>
      <xdr:col>1</xdr:col>
      <xdr:colOff>695325</xdr:colOff>
      <xdr:row>64</xdr:row>
      <xdr:rowOff>171450</xdr:rowOff>
    </xdr:to>
    <xdr:sp>
      <xdr:nvSpPr>
        <xdr:cNvPr id="6" name="AutoShape 7"/>
        <xdr:cNvSpPr>
          <a:spLocks/>
        </xdr:cNvSpPr>
      </xdr:nvSpPr>
      <xdr:spPr>
        <a:xfrm>
          <a:off x="1162050" y="30841950"/>
          <a:ext cx="3810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65</xdr:row>
      <xdr:rowOff>28575</xdr:rowOff>
    </xdr:from>
    <xdr:to>
      <xdr:col>1</xdr:col>
      <xdr:colOff>695325</xdr:colOff>
      <xdr:row>65</xdr:row>
      <xdr:rowOff>171450</xdr:rowOff>
    </xdr:to>
    <xdr:sp>
      <xdr:nvSpPr>
        <xdr:cNvPr id="7" name="AutoShape 8"/>
        <xdr:cNvSpPr>
          <a:spLocks/>
        </xdr:cNvSpPr>
      </xdr:nvSpPr>
      <xdr:spPr>
        <a:xfrm>
          <a:off x="1162050" y="31032450"/>
          <a:ext cx="3810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66</xdr:row>
      <xdr:rowOff>28575</xdr:rowOff>
    </xdr:from>
    <xdr:to>
      <xdr:col>1</xdr:col>
      <xdr:colOff>695325</xdr:colOff>
      <xdr:row>66</xdr:row>
      <xdr:rowOff>171450</xdr:rowOff>
    </xdr:to>
    <xdr:sp>
      <xdr:nvSpPr>
        <xdr:cNvPr id="8" name="AutoShape 9"/>
        <xdr:cNvSpPr>
          <a:spLocks/>
        </xdr:cNvSpPr>
      </xdr:nvSpPr>
      <xdr:spPr>
        <a:xfrm>
          <a:off x="1162050" y="31603950"/>
          <a:ext cx="3810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C71"/>
  <sheetViews>
    <sheetView zoomScale="90" zoomScaleNormal="90" zoomScalePageLayoutView="0" workbookViewId="0" topLeftCell="A1">
      <selection activeCell="A2" sqref="A2"/>
    </sheetView>
  </sheetViews>
  <sheetFormatPr defaultColWidth="9.140625" defaultRowHeight="12.75"/>
  <cols>
    <col min="1" max="2" width="12.7109375" style="0" customWidth="1"/>
    <col min="3" max="3" width="84.140625" style="0" customWidth="1"/>
  </cols>
  <sheetData>
    <row r="1" spans="1:3" ht="18">
      <c r="A1" s="276" t="s">
        <v>691</v>
      </c>
      <c r="B1" s="275"/>
      <c r="C1" s="275"/>
    </row>
    <row r="2" spans="1:3" ht="15" customHeight="1">
      <c r="A2" s="80" t="s">
        <v>871</v>
      </c>
      <c r="B2" s="80" t="s">
        <v>1034</v>
      </c>
      <c r="C2" s="81" t="s">
        <v>1036</v>
      </c>
    </row>
    <row r="3" spans="1:3" ht="29.25" customHeight="1">
      <c r="A3" s="13" t="s">
        <v>949</v>
      </c>
      <c r="B3" s="13">
        <v>2</v>
      </c>
      <c r="C3" s="14" t="s">
        <v>922</v>
      </c>
    </row>
    <row r="4" spans="1:3" ht="59.25">
      <c r="A4" s="12" t="s">
        <v>950</v>
      </c>
      <c r="B4" s="13">
        <v>8</v>
      </c>
      <c r="C4" s="14" t="s">
        <v>1012</v>
      </c>
    </row>
    <row r="5" spans="1:3" ht="104.25">
      <c r="A5" s="13" t="s">
        <v>950</v>
      </c>
      <c r="B5" s="13">
        <v>9</v>
      </c>
      <c r="C5" s="14" t="s">
        <v>692</v>
      </c>
    </row>
    <row r="6" spans="1:3" ht="57">
      <c r="A6" s="13" t="s">
        <v>950</v>
      </c>
      <c r="B6" s="13">
        <v>10</v>
      </c>
      <c r="C6" s="14" t="s">
        <v>208</v>
      </c>
    </row>
    <row r="7" spans="1:3" ht="44.25">
      <c r="A7" s="13" t="s">
        <v>950</v>
      </c>
      <c r="B7" s="13">
        <v>13</v>
      </c>
      <c r="C7" s="14" t="s">
        <v>693</v>
      </c>
    </row>
    <row r="8" spans="1:3" ht="44.25">
      <c r="A8" s="13" t="s">
        <v>950</v>
      </c>
      <c r="B8" s="13">
        <v>14</v>
      </c>
      <c r="C8" s="14" t="s">
        <v>695</v>
      </c>
    </row>
    <row r="9" spans="1:3" ht="44.25">
      <c r="A9" s="13" t="s">
        <v>950</v>
      </c>
      <c r="B9" s="13">
        <v>15</v>
      </c>
      <c r="C9" s="14" t="s">
        <v>696</v>
      </c>
    </row>
    <row r="10" spans="1:3" ht="44.25">
      <c r="A10" s="13" t="s">
        <v>950</v>
      </c>
      <c r="B10" s="13">
        <v>16</v>
      </c>
      <c r="C10" s="14" t="s">
        <v>697</v>
      </c>
    </row>
    <row r="11" spans="1:3" ht="59.25">
      <c r="A11" s="13" t="s">
        <v>950</v>
      </c>
      <c r="B11" s="13">
        <v>17</v>
      </c>
      <c r="C11" s="14" t="s">
        <v>698</v>
      </c>
    </row>
    <row r="12" spans="1:3" ht="59.25">
      <c r="A12" s="13" t="s">
        <v>950</v>
      </c>
      <c r="B12" s="13">
        <v>18</v>
      </c>
      <c r="C12" s="14" t="s">
        <v>699</v>
      </c>
    </row>
    <row r="13" spans="1:3" ht="44.25">
      <c r="A13" s="13" t="s">
        <v>950</v>
      </c>
      <c r="B13" s="13">
        <v>19</v>
      </c>
      <c r="C13" s="14" t="s">
        <v>700</v>
      </c>
    </row>
    <row r="14" spans="1:3" ht="44.25">
      <c r="A14" s="13" t="s">
        <v>950</v>
      </c>
      <c r="B14" s="13">
        <v>20</v>
      </c>
      <c r="C14" s="14" t="s">
        <v>701</v>
      </c>
    </row>
    <row r="15" spans="1:3" ht="44.25">
      <c r="A15" s="13" t="s">
        <v>950</v>
      </c>
      <c r="B15" s="13">
        <v>21</v>
      </c>
      <c r="C15" s="14" t="s">
        <v>702</v>
      </c>
    </row>
    <row r="16" spans="1:3" ht="59.25">
      <c r="A16" s="13" t="s">
        <v>950</v>
      </c>
      <c r="B16" s="13">
        <v>22</v>
      </c>
      <c r="C16" s="14" t="s">
        <v>703</v>
      </c>
    </row>
    <row r="17" spans="1:3" ht="44.25">
      <c r="A17" s="13" t="s">
        <v>950</v>
      </c>
      <c r="B17" s="13">
        <v>23</v>
      </c>
      <c r="C17" s="14" t="s">
        <v>705</v>
      </c>
    </row>
    <row r="18" spans="1:3" ht="45">
      <c r="A18" s="13" t="s">
        <v>950</v>
      </c>
      <c r="B18" s="13">
        <v>25</v>
      </c>
      <c r="C18" s="14" t="s">
        <v>704</v>
      </c>
    </row>
    <row r="19" spans="1:3" ht="45">
      <c r="A19" s="13" t="s">
        <v>950</v>
      </c>
      <c r="B19" s="13">
        <v>26</v>
      </c>
      <c r="C19" s="14" t="s">
        <v>706</v>
      </c>
    </row>
    <row r="20" spans="1:3" ht="45">
      <c r="A20" s="13" t="s">
        <v>950</v>
      </c>
      <c r="B20" s="13">
        <v>27</v>
      </c>
      <c r="C20" s="14" t="s">
        <v>707</v>
      </c>
    </row>
    <row r="21" spans="1:3" ht="45">
      <c r="A21" s="13" t="s">
        <v>950</v>
      </c>
      <c r="B21" s="13">
        <v>28</v>
      </c>
      <c r="C21" s="14" t="s">
        <v>708</v>
      </c>
    </row>
    <row r="22" spans="1:3" ht="45">
      <c r="A22" s="13" t="s">
        <v>950</v>
      </c>
      <c r="B22" s="13">
        <v>29</v>
      </c>
      <c r="C22" s="14" t="s">
        <v>709</v>
      </c>
    </row>
    <row r="23" spans="1:3" ht="45">
      <c r="A23" s="13" t="s">
        <v>950</v>
      </c>
      <c r="B23" s="13">
        <v>30</v>
      </c>
      <c r="C23" s="14" t="s">
        <v>710</v>
      </c>
    </row>
    <row r="24" spans="1:3" ht="44.25">
      <c r="A24" s="13" t="s">
        <v>950</v>
      </c>
      <c r="B24" s="13">
        <v>31</v>
      </c>
      <c r="C24" s="14" t="s">
        <v>711</v>
      </c>
    </row>
    <row r="25" spans="1:3" ht="149.25">
      <c r="A25" s="13" t="s">
        <v>950</v>
      </c>
      <c r="B25" s="13">
        <v>32</v>
      </c>
      <c r="C25" s="14" t="s">
        <v>933</v>
      </c>
    </row>
    <row r="26" spans="1:3" ht="73.5">
      <c r="A26" s="13" t="s">
        <v>950</v>
      </c>
      <c r="B26" s="13">
        <v>33</v>
      </c>
      <c r="C26" s="14" t="s">
        <v>712</v>
      </c>
    </row>
    <row r="27" spans="1:3" ht="45">
      <c r="A27" s="13" t="s">
        <v>950</v>
      </c>
      <c r="B27" s="13">
        <v>34</v>
      </c>
      <c r="C27" s="14" t="s">
        <v>713</v>
      </c>
    </row>
    <row r="28" spans="1:3" ht="59.25">
      <c r="A28" s="13" t="s">
        <v>950</v>
      </c>
      <c r="B28" s="13">
        <v>35</v>
      </c>
      <c r="C28" s="14" t="s">
        <v>1014</v>
      </c>
    </row>
    <row r="29" spans="1:3" ht="59.25">
      <c r="A29" s="13" t="s">
        <v>950</v>
      </c>
      <c r="B29" s="13">
        <v>36</v>
      </c>
      <c r="C29" s="14" t="s">
        <v>1015</v>
      </c>
    </row>
    <row r="30" spans="1:3" ht="59.25">
      <c r="A30" s="13" t="s">
        <v>738</v>
      </c>
      <c r="B30" s="13">
        <v>1</v>
      </c>
      <c r="C30" s="14" t="s">
        <v>1016</v>
      </c>
    </row>
    <row r="31" spans="1:3" ht="45">
      <c r="A31" s="75" t="str">
        <f>A2</f>
        <v>Column</v>
      </c>
      <c r="B31" s="75" t="str">
        <f>B2</f>
        <v>Row</v>
      </c>
      <c r="C31" s="270" t="s">
        <v>931</v>
      </c>
    </row>
    <row r="32" spans="1:3" ht="15">
      <c r="A32" s="76" t="s">
        <v>1038</v>
      </c>
      <c r="B32" s="76">
        <v>40</v>
      </c>
      <c r="C32" s="77" t="s">
        <v>15</v>
      </c>
    </row>
    <row r="33" spans="1:3" ht="15">
      <c r="A33" s="76" t="s">
        <v>1038</v>
      </c>
      <c r="B33" s="76">
        <v>41</v>
      </c>
      <c r="C33" s="78" t="s">
        <v>633</v>
      </c>
    </row>
    <row r="34" spans="1:3" ht="15">
      <c r="A34" s="76" t="s">
        <v>1038</v>
      </c>
      <c r="B34" s="76">
        <v>42</v>
      </c>
      <c r="C34" s="78" t="s">
        <v>714</v>
      </c>
    </row>
    <row r="35" spans="1:3" ht="15">
      <c r="A35" s="76" t="s">
        <v>1038</v>
      </c>
      <c r="B35" s="76">
        <v>43</v>
      </c>
      <c r="C35" s="78" t="s">
        <v>1005</v>
      </c>
    </row>
    <row r="36" spans="1:3" ht="15">
      <c r="A36" s="76" t="s">
        <v>1038</v>
      </c>
      <c r="B36" s="76">
        <v>44</v>
      </c>
      <c r="C36" s="208" t="s">
        <v>1009</v>
      </c>
    </row>
    <row r="37" spans="1:3" ht="15">
      <c r="A37" s="76" t="s">
        <v>1038</v>
      </c>
      <c r="B37" s="76">
        <v>45</v>
      </c>
      <c r="C37" s="78" t="s">
        <v>16</v>
      </c>
    </row>
    <row r="38" spans="1:3" ht="15">
      <c r="A38" s="76" t="s">
        <v>1038</v>
      </c>
      <c r="B38" s="76">
        <v>46</v>
      </c>
      <c r="C38" s="78" t="s">
        <v>17</v>
      </c>
    </row>
    <row r="39" spans="1:3" ht="15">
      <c r="A39" s="76" t="s">
        <v>1038</v>
      </c>
      <c r="B39" s="76">
        <v>63</v>
      </c>
      <c r="C39" s="78" t="s">
        <v>715</v>
      </c>
    </row>
    <row r="40" spans="1:3" ht="15">
      <c r="A40" s="76" t="s">
        <v>1038</v>
      </c>
      <c r="B40" s="76">
        <v>64</v>
      </c>
      <c r="C40" s="78" t="s">
        <v>716</v>
      </c>
    </row>
    <row r="41" spans="1:3" ht="28.5">
      <c r="A41" s="76" t="s">
        <v>1038</v>
      </c>
      <c r="B41" s="76">
        <v>65</v>
      </c>
      <c r="C41" s="77" t="s">
        <v>718</v>
      </c>
    </row>
    <row r="42" spans="1:3" ht="15">
      <c r="A42" s="76" t="s">
        <v>1038</v>
      </c>
      <c r="B42" s="76">
        <v>69</v>
      </c>
      <c r="C42" s="79" t="s">
        <v>719</v>
      </c>
    </row>
    <row r="43" spans="1:3" ht="120">
      <c r="A43" s="76" t="s">
        <v>1037</v>
      </c>
      <c r="B43" s="207">
        <v>8</v>
      </c>
      <c r="C43" s="205" t="s">
        <v>937</v>
      </c>
    </row>
    <row r="44" spans="1:3" ht="30">
      <c r="A44" s="76"/>
      <c r="B44" s="204"/>
      <c r="C44" s="205" t="s">
        <v>928</v>
      </c>
    </row>
    <row r="45" spans="1:3" ht="15">
      <c r="A45" s="76"/>
      <c r="B45" s="204"/>
      <c r="C45" s="205" t="s">
        <v>930</v>
      </c>
    </row>
    <row r="46" spans="1:3" ht="30">
      <c r="A46" s="76"/>
      <c r="B46" s="204"/>
      <c r="C46" s="205" t="s">
        <v>229</v>
      </c>
    </row>
    <row r="47" spans="1:3" ht="30">
      <c r="A47" s="76"/>
      <c r="B47" s="204"/>
      <c r="C47" s="274" t="s">
        <v>230</v>
      </c>
    </row>
    <row r="48" spans="1:3" ht="15">
      <c r="A48" s="76"/>
      <c r="B48" s="204"/>
      <c r="C48" s="286" t="s">
        <v>231</v>
      </c>
    </row>
    <row r="49" spans="1:3" ht="15">
      <c r="A49" s="76"/>
      <c r="B49" s="204"/>
      <c r="C49" s="286" t="s">
        <v>232</v>
      </c>
    </row>
    <row r="50" spans="1:3" ht="15">
      <c r="A50" s="76"/>
      <c r="B50" s="204"/>
      <c r="C50" s="286" t="s">
        <v>233</v>
      </c>
    </row>
    <row r="51" spans="1:3" ht="15">
      <c r="A51" s="76"/>
      <c r="B51" s="204"/>
      <c r="C51" s="286" t="s">
        <v>234</v>
      </c>
    </row>
    <row r="52" spans="1:3" ht="30">
      <c r="A52" s="75" t="str">
        <f>A2</f>
        <v>Column</v>
      </c>
      <c r="B52" s="75" t="str">
        <f>B2</f>
        <v>Row</v>
      </c>
      <c r="C52" s="271" t="s">
        <v>994</v>
      </c>
    </row>
    <row r="53" spans="1:3" ht="15">
      <c r="A53" s="76" t="s">
        <v>1037</v>
      </c>
      <c r="B53" s="76">
        <v>42</v>
      </c>
      <c r="C53" s="78" t="s">
        <v>633</v>
      </c>
    </row>
    <row r="54" spans="1:3" ht="15">
      <c r="A54" s="76" t="s">
        <v>1037</v>
      </c>
      <c r="B54" s="76">
        <v>43</v>
      </c>
      <c r="C54" s="78" t="s">
        <v>714</v>
      </c>
    </row>
    <row r="55" spans="1:3" ht="15">
      <c r="A55" s="76" t="s">
        <v>1037</v>
      </c>
      <c r="B55" s="76">
        <v>44</v>
      </c>
      <c r="C55" s="78" t="s">
        <v>1005</v>
      </c>
    </row>
    <row r="56" spans="1:3" ht="15">
      <c r="A56" s="76" t="s">
        <v>1037</v>
      </c>
      <c r="B56" s="76">
        <v>45</v>
      </c>
      <c r="C56" s="208" t="s">
        <v>1009</v>
      </c>
    </row>
    <row r="57" spans="1:3" ht="15">
      <c r="A57" s="76" t="s">
        <v>1037</v>
      </c>
      <c r="B57" s="76">
        <v>46</v>
      </c>
      <c r="C57" s="78" t="s">
        <v>16</v>
      </c>
    </row>
    <row r="58" spans="1:3" ht="15">
      <c r="A58" s="76" t="s">
        <v>1037</v>
      </c>
      <c r="B58" s="76">
        <v>47</v>
      </c>
      <c r="C58" s="78" t="s">
        <v>17</v>
      </c>
    </row>
    <row r="59" spans="1:3" ht="15">
      <c r="A59" s="76" t="s">
        <v>1037</v>
      </c>
      <c r="B59" s="76">
        <v>68</v>
      </c>
      <c r="C59" s="78" t="str">
        <f>C39</f>
        <v>Enter the estimated Regular Program Transportation Allotment from 2007-08</v>
      </c>
    </row>
    <row r="60" spans="1:3" ht="15">
      <c r="A60" s="76" t="s">
        <v>1037</v>
      </c>
      <c r="B60" s="76">
        <v>69</v>
      </c>
      <c r="C60" s="78" t="str">
        <f>C40</f>
        <v>Enter the estimated Special Education Program Transportation Allotment from 2007-08</v>
      </c>
    </row>
    <row r="61" spans="1:3" ht="28.5">
      <c r="A61" s="76" t="s">
        <v>1037</v>
      </c>
      <c r="B61" s="76">
        <v>70</v>
      </c>
      <c r="C61" s="77" t="str">
        <f>C41</f>
        <v>Enter the estimated Career and Technology Program Transportation Allotment from 2007-08</v>
      </c>
    </row>
    <row r="62" spans="1:3" ht="15">
      <c r="A62" s="76" t="s">
        <v>1037</v>
      </c>
      <c r="B62" s="76">
        <v>74</v>
      </c>
      <c r="C62" s="78" t="str">
        <f>C42</f>
        <v>Enter the estimated Additional State Aid for Employee Benefits from 2007-08.</v>
      </c>
    </row>
    <row r="63" spans="1:3" ht="120">
      <c r="A63" s="76" t="s">
        <v>1017</v>
      </c>
      <c r="B63" s="207">
        <v>8</v>
      </c>
      <c r="C63" s="205" t="s">
        <v>938</v>
      </c>
    </row>
    <row r="64" spans="1:3" ht="30">
      <c r="A64" s="76"/>
      <c r="B64" s="204"/>
      <c r="C64" s="205" t="s">
        <v>929</v>
      </c>
    </row>
    <row r="65" spans="1:3" ht="15">
      <c r="A65" s="76"/>
      <c r="B65" s="204"/>
      <c r="C65" s="205" t="s">
        <v>930</v>
      </c>
    </row>
    <row r="66" spans="1:3" ht="45">
      <c r="A66" s="76"/>
      <c r="B66" s="204"/>
      <c r="C66" s="205" t="s">
        <v>235</v>
      </c>
    </row>
    <row r="67" spans="1:3" ht="30">
      <c r="A67" s="76"/>
      <c r="B67" s="204"/>
      <c r="C67" s="274" t="s">
        <v>236</v>
      </c>
    </row>
    <row r="68" spans="1:3" ht="15">
      <c r="A68" s="76"/>
      <c r="B68" s="204"/>
      <c r="C68" s="287" t="s">
        <v>231</v>
      </c>
    </row>
    <row r="69" spans="1:3" ht="15">
      <c r="A69" s="76"/>
      <c r="B69" s="204"/>
      <c r="C69" s="287" t="s">
        <v>232</v>
      </c>
    </row>
    <row r="70" spans="1:3" ht="15">
      <c r="A70" s="76"/>
      <c r="B70" s="204"/>
      <c r="C70" s="287" t="s">
        <v>233</v>
      </c>
    </row>
    <row r="71" spans="1:3" ht="15">
      <c r="A71" s="76"/>
      <c r="B71" s="204"/>
      <c r="C71" s="287" t="s">
        <v>234</v>
      </c>
    </row>
  </sheetData>
  <sheetProtection password="EE5D" sheet="1" objects="1" scenarios="1"/>
  <printOptions horizontalCentered="1"/>
  <pageMargins left="0.5" right="0.5" top="0.75" bottom="0.75" header="0.4" footer="0.4"/>
  <pageSetup fitToHeight="3" fitToWidth="1" horizontalDpi="600" verticalDpi="600" orientation="portrait" scale="79" r:id="rId2"/>
  <headerFooter alignWithMargins="0">
    <oddHeader>&amp;C&amp;11Estimate of State Aid Entitlement Template</oddHeader>
    <oddFooter>&amp;C&amp;11&amp;A - &amp;P of &amp;N</oddFooter>
  </headerFooter>
  <rowBreaks count="1" manualBreakCount="1">
    <brk id="16" max="255" man="1"/>
  </rowBreaks>
  <drawing r:id="rId1"/>
</worksheet>
</file>

<file path=xl/worksheets/sheet10.xml><?xml version="1.0" encoding="utf-8"?>
<worksheet xmlns="http://schemas.openxmlformats.org/spreadsheetml/2006/main" xmlns:r="http://schemas.openxmlformats.org/officeDocument/2006/relationships">
  <sheetPr>
    <tabColor indexed="40"/>
    <pageSetUpPr fitToPage="1"/>
  </sheetPr>
  <dimension ref="A1:J73"/>
  <sheetViews>
    <sheetView zoomScale="88" zoomScaleNormal="88" zoomScaleSheetLayoutView="88" zoomScalePageLayoutView="0" workbookViewId="0" topLeftCell="A1">
      <pane xSplit="1" ySplit="6" topLeftCell="B7" activePane="bottomRight" state="frozen"/>
      <selection pane="topLeft" activeCell="A67" sqref="A67"/>
      <selection pane="topRight" activeCell="A67" sqref="A67"/>
      <selection pane="bottomLeft" activeCell="A67" sqref="A67"/>
      <selection pane="bottomRight" activeCell="B7" sqref="B7"/>
    </sheetView>
  </sheetViews>
  <sheetFormatPr defaultColWidth="9.140625" defaultRowHeight="12.75"/>
  <cols>
    <col min="1" max="1" width="42.7109375" style="111" customWidth="1"/>
    <col min="2" max="9" width="12.7109375" style="111" customWidth="1"/>
    <col min="10" max="10" width="13.57421875" style="111" bestFit="1" customWidth="1"/>
    <col min="11" max="16384" width="9.140625" style="111" customWidth="1"/>
  </cols>
  <sheetData>
    <row r="1" spans="1:10" ht="12.75">
      <c r="A1" s="326" t="str">
        <f>VLOOKUP(A2,ALLCHARTERS!$A:$XFD,3,FALSE)</f>
        <v>ENTER CHARTER SCHOOL CDN BELOW (NO DASHES):</v>
      </c>
      <c r="B1" s="327"/>
      <c r="C1" s="327"/>
      <c r="D1" s="327"/>
      <c r="E1" s="327"/>
      <c r="F1" s="327"/>
      <c r="G1" s="327"/>
      <c r="H1" s="327"/>
      <c r="I1" s="327"/>
      <c r="J1" s="328"/>
    </row>
    <row r="2" spans="1:10" ht="12.75">
      <c r="A2" s="329">
        <f>IF(admin="sf161",'MAINFRAME WHATIF'!B3,ENROLLMENT!A2)</f>
        <v>0</v>
      </c>
      <c r="B2" s="330"/>
      <c r="C2" s="330"/>
      <c r="D2" s="330"/>
      <c r="E2" s="330"/>
      <c r="F2" s="330"/>
      <c r="G2" s="330"/>
      <c r="H2" s="330"/>
      <c r="I2" s="330"/>
      <c r="J2" s="331"/>
    </row>
    <row r="3" spans="1:10" ht="12.75">
      <c r="A3" s="332" t="str">
        <f>ENROLLMENT!A3</f>
        <v>2008-2009 Estimate of State Aid Entitlement Template</v>
      </c>
      <c r="B3" s="333"/>
      <c r="C3" s="333"/>
      <c r="D3" s="333"/>
      <c r="E3" s="333"/>
      <c r="F3" s="333"/>
      <c r="G3" s="333"/>
      <c r="H3" s="333"/>
      <c r="I3" s="333"/>
      <c r="J3" s="334"/>
    </row>
    <row r="4" spans="1:10" ht="12.75">
      <c r="A4" s="185"/>
      <c r="B4" s="184">
        <v>33</v>
      </c>
      <c r="C4" s="184">
        <v>34</v>
      </c>
      <c r="D4" s="184">
        <v>35</v>
      </c>
      <c r="E4" s="184">
        <v>36</v>
      </c>
      <c r="F4" s="184">
        <v>37</v>
      </c>
      <c r="G4" s="184">
        <v>38</v>
      </c>
      <c r="H4" s="184">
        <v>39</v>
      </c>
      <c r="I4" s="184">
        <v>40</v>
      </c>
      <c r="J4" s="190"/>
    </row>
    <row r="5" spans="1:10" ht="24.75" customHeight="1">
      <c r="A5" s="187"/>
      <c r="B5" s="188" t="str">
        <f>VLOOKUP(B$6,FSPVAR!$A:$F,2,FALSE)</f>
        <v>NONE</v>
      </c>
      <c r="C5" s="188" t="str">
        <f>VLOOKUP(C$6,FSPVAR!$A:$F,2,FALSE)</f>
        <v>NONE</v>
      </c>
      <c r="D5" s="188" t="str">
        <f>VLOOKUP(D$6,FSPVAR!$A:$F,2,FALSE)</f>
        <v>NONE</v>
      </c>
      <c r="E5" s="188" t="str">
        <f>VLOOKUP(E$6,FSPVAR!$A:$F,2,FALSE)</f>
        <v>NONE</v>
      </c>
      <c r="F5" s="188" t="str">
        <f>VLOOKUP(F$6,FSPVAR!$A:$F,2,FALSE)</f>
        <v>NONE</v>
      </c>
      <c r="G5" s="188" t="str">
        <f>VLOOKUP(G$6,FSPVAR!$A:$F,2,FALSE)</f>
        <v>NONE</v>
      </c>
      <c r="H5" s="188" t="str">
        <f>VLOOKUP(H$6,FSPVAR!$A:$F,2,FALSE)</f>
        <v>NONE</v>
      </c>
      <c r="I5" s="188" t="str">
        <f>VLOOKUP(I$6,FSPVAR!$A:$F,2,FALSE)</f>
        <v>NONE</v>
      </c>
      <c r="J5" s="188" t="s">
        <v>1027</v>
      </c>
    </row>
    <row r="6" spans="1:10" ht="12.75">
      <c r="A6" s="187" t="s">
        <v>1077</v>
      </c>
      <c r="B6" s="189">
        <f>IF(admin="sf161",_cdn33,ENROLLMENT!AH8)</f>
        <v>0</v>
      </c>
      <c r="C6" s="189">
        <f>IF(admin="sf161",_cdn34,ENROLLMENT!AI8)</f>
        <v>0</v>
      </c>
      <c r="D6" s="189">
        <f>IF(admin="sf161",_cdn35,ENROLLMENT!AJ8)</f>
        <v>0</v>
      </c>
      <c r="E6" s="189">
        <f>IF(admin="sf161",_cdn36,ENROLLMENT!AK8)</f>
        <v>0</v>
      </c>
      <c r="F6" s="189">
        <f>IF(admin="sf161",_cdn37,ENROLLMENT!AL8)</f>
        <v>0</v>
      </c>
      <c r="G6" s="189">
        <f>IF(admin="sf161",_cdn38,ENROLLMENT!AM8)</f>
        <v>0</v>
      </c>
      <c r="H6" s="189">
        <f>IF(admin="sf161",_cdn39,ENROLLMENT!AN8)</f>
        <v>0</v>
      </c>
      <c r="I6" s="189">
        <f>IF(admin="sf161",_cdn40,ENROLLMENT!AO8)</f>
        <v>0</v>
      </c>
      <c r="J6" s="188"/>
    </row>
    <row r="7" spans="1:10" ht="12.75">
      <c r="A7" s="112" t="s">
        <v>875</v>
      </c>
      <c r="B7" s="160">
        <f>IF(admin="sf161",VLOOKUP(B6,whatif,2,FALSE),ENROLLMENT!AH9*ENROLLMENT!AH10)</f>
        <v>0</v>
      </c>
      <c r="C7" s="160">
        <f>IF(admin="sf161",VLOOKUP(C6,whatif,2,FALSE),ENROLLMENT!AI9*ENROLLMENT!AI10)</f>
        <v>0</v>
      </c>
      <c r="D7" s="160">
        <f>IF(admin="sf161",VLOOKUP(D6,whatif,2,FALSE),ENROLLMENT!AJ9*ENROLLMENT!AJ10)</f>
        <v>0</v>
      </c>
      <c r="E7" s="160">
        <f>IF(admin="sf161",VLOOKUP(E6,whatif,2,FALSE),ENROLLMENT!AK9*ENROLLMENT!AK10)</f>
        <v>0</v>
      </c>
      <c r="F7" s="160">
        <f>IF(admin="sf161",VLOOKUP(F6,whatif,2,FALSE),ENROLLMENT!AL9*ENROLLMENT!AL10)</f>
        <v>0</v>
      </c>
      <c r="G7" s="160">
        <f>IF(admin="sf161",VLOOKUP(G6,whatif,2,FALSE),ENROLLMENT!AM9*ENROLLMENT!AM10)</f>
        <v>0</v>
      </c>
      <c r="H7" s="160">
        <f>IF(admin="sf161",VLOOKUP(H6,whatif,2,FALSE),ENROLLMENT!AN9*ENROLLMENT!AN10)</f>
        <v>0</v>
      </c>
      <c r="I7" s="160">
        <f>IF(admin="sf161",VLOOKUP(I6,whatif,2,FALSE),ENROLLMENT!AO9*ENROLLMENT!AO10)</f>
        <v>0</v>
      </c>
      <c r="J7" s="113">
        <f>SUM(B7:I7)</f>
        <v>0</v>
      </c>
    </row>
    <row r="8" spans="1:10" ht="12.75">
      <c r="A8" s="112" t="s">
        <v>876</v>
      </c>
      <c r="B8" s="161"/>
      <c r="C8" s="161"/>
      <c r="D8" s="161"/>
      <c r="E8" s="161"/>
      <c r="F8" s="161"/>
      <c r="G8" s="161"/>
      <c r="H8" s="161"/>
      <c r="I8" s="161"/>
      <c r="J8" s="114"/>
    </row>
    <row r="9" spans="1:10" ht="12.75">
      <c r="A9" s="115" t="s">
        <v>1051</v>
      </c>
      <c r="B9" s="278">
        <f>IF(admin="sf161",VLOOKUP(B6,whatif,4,FALSE),ENROLLMENT!AH13*ENROLLMENT!AH10*1/6)</f>
        <v>0</v>
      </c>
      <c r="C9" s="278">
        <f>IF(admin="sf161",VLOOKUP(C6,whatif,4,FALSE),ENROLLMENT!AI13*ENROLLMENT!AI10*1/6)</f>
        <v>0</v>
      </c>
      <c r="D9" s="278">
        <f>IF(admin="sf161",VLOOKUP(D6,whatif,4,FALSE),ENROLLMENT!AJ13*ENROLLMENT!AJ10*1/6)</f>
        <v>0</v>
      </c>
      <c r="E9" s="278">
        <f>IF(admin="sf161",VLOOKUP(E6,whatif,4,FALSE),ENROLLMENT!AK13*ENROLLMENT!AK10*1/6)</f>
        <v>0</v>
      </c>
      <c r="F9" s="278">
        <f>IF(admin="sf161",VLOOKUP(F6,whatif,4,FALSE),ENROLLMENT!AL13*ENROLLMENT!AL10*1/6)</f>
        <v>0</v>
      </c>
      <c r="G9" s="278">
        <f>IF(admin="sf161",VLOOKUP(G6,whatif,4,FALSE),ENROLLMENT!AM13*ENROLLMENT!AM10*1/6)</f>
        <v>0</v>
      </c>
      <c r="H9" s="278">
        <f>IF(admin="sf161",VLOOKUP(H6,whatif,4,FALSE),ENROLLMENT!AN13*ENROLLMENT!AN10*1/6)</f>
        <v>0</v>
      </c>
      <c r="I9" s="278">
        <f>IF(admin="sf161",VLOOKUP(I6,whatif,4,FALSE),ENROLLMENT!AO13*ENROLLMENT!AO10*1/6)</f>
        <v>0</v>
      </c>
      <c r="J9" s="93">
        <f aca="true" t="shared" si="0" ref="J9:J40">SUM(B9:I9)</f>
        <v>0</v>
      </c>
    </row>
    <row r="10" spans="1:10" ht="12.75">
      <c r="A10" s="115" t="s">
        <v>1052</v>
      </c>
      <c r="B10" s="278">
        <f>IF(admin="sf161",VLOOKUP(B6,whatif,5,FALSE),ENROLLMENT!AH14*ENROLLMENT!AH10*4.5/6)</f>
        <v>0</v>
      </c>
      <c r="C10" s="278">
        <f>IF(admin="sf161",VLOOKUP(C6,whatif,5,FALSE),ENROLLMENT!AI14*ENROLLMENT!AI10*4.5/6)</f>
        <v>0</v>
      </c>
      <c r="D10" s="278">
        <f>IF(admin="sf161",VLOOKUP(D6,whatif,5,FALSE),ENROLLMENT!AJ14*ENROLLMENT!AJ10*4.5/6)</f>
        <v>0</v>
      </c>
      <c r="E10" s="278">
        <f>IF(admin="sf161",VLOOKUP(E6,whatif,5,FALSE),ENROLLMENT!AK14*ENROLLMENT!AK10*4.5/6)</f>
        <v>0</v>
      </c>
      <c r="F10" s="278">
        <f>IF(admin="sf161",VLOOKUP(F6,whatif,5,FALSE),ENROLLMENT!AL14*ENROLLMENT!AL10*4.5/6)</f>
        <v>0</v>
      </c>
      <c r="G10" s="278">
        <f>IF(admin="sf161",VLOOKUP(G6,whatif,5,FALSE),ENROLLMENT!AM14*ENROLLMENT!AM10*4.5/6)</f>
        <v>0</v>
      </c>
      <c r="H10" s="278">
        <f>IF(admin="sf161",VLOOKUP(H6,whatif,5,FALSE),ENROLLMENT!AN14*ENROLLMENT!AN10*4.5/6)</f>
        <v>0</v>
      </c>
      <c r="I10" s="278">
        <f>IF(admin="sf161",VLOOKUP(I6,whatif,5,FALSE),ENROLLMENT!AO14*ENROLLMENT!AO10*4.5/6)</f>
        <v>0</v>
      </c>
      <c r="J10" s="113">
        <f t="shared" si="0"/>
        <v>0</v>
      </c>
    </row>
    <row r="11" spans="1:10" ht="12.75">
      <c r="A11" s="115" t="s">
        <v>1053</v>
      </c>
      <c r="B11" s="278">
        <f>IF(admin="sf161",VLOOKUP(B6,whatif,6,FALSE),ENROLLMENT!AH15*ENROLLMENT!AH10*0.25/6)</f>
        <v>0</v>
      </c>
      <c r="C11" s="278">
        <f>IF(admin="sf161",VLOOKUP(C6,whatif,6,FALSE),ENROLLMENT!AI15*ENROLLMENT!AI10*0.25/6)</f>
        <v>0</v>
      </c>
      <c r="D11" s="278">
        <f>IF(admin="sf161",VLOOKUP(D6,whatif,6,FALSE),ENROLLMENT!AJ15*ENROLLMENT!AJ10*0.25/6)</f>
        <v>0</v>
      </c>
      <c r="E11" s="278">
        <f>IF(admin="sf161",VLOOKUP(E6,whatif,6,FALSE),ENROLLMENT!AK15*ENROLLMENT!AK10*0.25/6)</f>
        <v>0</v>
      </c>
      <c r="F11" s="278">
        <f>IF(admin="sf161",VLOOKUP(F6,whatif,6,FALSE),ENROLLMENT!AL15*ENROLLMENT!AL10*0.25/6)</f>
        <v>0</v>
      </c>
      <c r="G11" s="278">
        <f>IF(admin="sf161",VLOOKUP(G6,whatif,6,FALSE),ENROLLMENT!AM15*ENROLLMENT!AM10*0.25/6)</f>
        <v>0</v>
      </c>
      <c r="H11" s="278">
        <f>IF(admin="sf161",VLOOKUP(H6,whatif,6,FALSE),ENROLLMENT!AN15*ENROLLMENT!AN10*0.25/6)</f>
        <v>0</v>
      </c>
      <c r="I11" s="278">
        <f>IF(admin="sf161",VLOOKUP(I6,whatif,6,FALSE),ENROLLMENT!AO15*ENROLLMENT!AO10*0.25/6)</f>
        <v>0</v>
      </c>
      <c r="J11" s="113">
        <f t="shared" si="0"/>
        <v>0</v>
      </c>
    </row>
    <row r="12" spans="1:10" ht="12.75">
      <c r="A12" s="115" t="s">
        <v>1054</v>
      </c>
      <c r="B12" s="278">
        <f>IF(admin="sf161",VLOOKUP(B6,whatif,7,FALSE),ENROLLMENT!AH16*ENROLLMENT!AH10*2.859/6)</f>
        <v>0</v>
      </c>
      <c r="C12" s="278">
        <f>IF(admin="sf161",VLOOKUP(C6,whatif,7,FALSE),ENROLLMENT!AI16*ENROLLMENT!AI10*2.859/6)</f>
        <v>0</v>
      </c>
      <c r="D12" s="278">
        <f>IF(admin="sf161",VLOOKUP(D6,whatif,7,FALSE),ENROLLMENT!AJ16*ENROLLMENT!AJ10*2.859/6)</f>
        <v>0</v>
      </c>
      <c r="E12" s="278">
        <f>IF(admin="sf161",VLOOKUP(E6,whatif,7,FALSE),ENROLLMENT!AK16*ENROLLMENT!AK10*2.859/6)</f>
        <v>0</v>
      </c>
      <c r="F12" s="278">
        <f>IF(admin="sf161",VLOOKUP(F6,whatif,7,FALSE),ENROLLMENT!AL16*ENROLLMENT!AL10*2.859/6)</f>
        <v>0</v>
      </c>
      <c r="G12" s="278">
        <f>IF(admin="sf161",VLOOKUP(G6,whatif,7,FALSE),ENROLLMENT!AM16*ENROLLMENT!AM10*2.859/6)</f>
        <v>0</v>
      </c>
      <c r="H12" s="278">
        <f>IF(admin="sf161",VLOOKUP(H6,whatif,7,FALSE),ENROLLMENT!AN16*ENROLLMENT!AN10*2.859/6)</f>
        <v>0</v>
      </c>
      <c r="I12" s="278">
        <f>IF(admin="sf161",VLOOKUP(I6,whatif,7,FALSE),ENROLLMENT!AO16*ENROLLMENT!AO10*2.859/6)</f>
        <v>0</v>
      </c>
      <c r="J12" s="113">
        <f t="shared" si="0"/>
        <v>0</v>
      </c>
    </row>
    <row r="13" spans="1:10" ht="12.75">
      <c r="A13" s="115" t="s">
        <v>1073</v>
      </c>
      <c r="B13" s="278">
        <f>IF(admin="sf161",VLOOKUP(B6,whatif,8,FALSE),ENROLLMENT!AH17*ENROLLMENT!AH10*2.859/6)</f>
        <v>0</v>
      </c>
      <c r="C13" s="278">
        <f>IF(admin="sf161",VLOOKUP(C6,whatif,8,FALSE),ENROLLMENT!AI17*ENROLLMENT!AI10*2.859/6)</f>
        <v>0</v>
      </c>
      <c r="D13" s="278">
        <f>IF(admin="sf161",VLOOKUP(D6,whatif,8,FALSE),ENROLLMENT!AJ17*ENROLLMENT!AJ10*2.859/6)</f>
        <v>0</v>
      </c>
      <c r="E13" s="278">
        <f>IF(admin="sf161",VLOOKUP(E6,whatif,8,FALSE),ENROLLMENT!AK17*ENROLLMENT!AK10*2.859/6)</f>
        <v>0</v>
      </c>
      <c r="F13" s="278">
        <f>IF(admin="sf161",VLOOKUP(F6,whatif,8,FALSE),ENROLLMENT!AL17*ENROLLMENT!AL10*2.859/6)</f>
        <v>0</v>
      </c>
      <c r="G13" s="278">
        <f>IF(admin="sf161",VLOOKUP(G6,whatif,8,FALSE),ENROLLMENT!AM17*ENROLLMENT!AM10*2.859/6)</f>
        <v>0</v>
      </c>
      <c r="H13" s="278">
        <f>IF(admin="sf161",VLOOKUP(H6,whatif,8,FALSE),ENROLLMENT!AN17*ENROLLMENT!AN10*2.859/6)</f>
        <v>0</v>
      </c>
      <c r="I13" s="278">
        <f>IF(admin="sf161",VLOOKUP(I6,whatif,8,FALSE),ENROLLMENT!AO17*ENROLLMENT!AO10*2.859/6)</f>
        <v>0</v>
      </c>
      <c r="J13" s="113">
        <f t="shared" si="0"/>
        <v>0</v>
      </c>
    </row>
    <row r="14" spans="1:10" ht="12.75">
      <c r="A14" s="115" t="s">
        <v>897</v>
      </c>
      <c r="B14" s="278">
        <f>IF(admin="sf161",VLOOKUP(B6,whatif,9,FALSE),ENROLLMENT!AH18*ENROLLMENT!AH$10*2.859/6)</f>
        <v>0</v>
      </c>
      <c r="C14" s="278">
        <f>IF(admin="sf161",VLOOKUP(C6,whatif,9,FALSE),ENROLLMENT!AI18*ENROLLMENT!AI$10*2.859/6)</f>
        <v>0</v>
      </c>
      <c r="D14" s="278">
        <f>IF(admin="sf161",VLOOKUP(D6,whatif,9,FALSE),ENROLLMENT!AJ18*ENROLLMENT!AJ$10*2.859/6)</f>
        <v>0</v>
      </c>
      <c r="E14" s="278">
        <f>IF(admin="sf161",VLOOKUP(E6,whatif,9,FALSE),ENROLLMENT!AK18*ENROLLMENT!AK$10*2.859/6)</f>
        <v>0</v>
      </c>
      <c r="F14" s="278">
        <f>IF(admin="sf161",VLOOKUP(F6,whatif,9,FALSE),ENROLLMENT!AL18*ENROLLMENT!AL$10*2.859/6)</f>
        <v>0</v>
      </c>
      <c r="G14" s="278">
        <f>IF(admin="sf161",VLOOKUP(G6,whatif,9,FALSE),ENROLLMENT!AM18*ENROLLMENT!AM$10*2.859/6)</f>
        <v>0</v>
      </c>
      <c r="H14" s="278">
        <f>IF(admin="sf161",VLOOKUP(H6,whatif,9,FALSE),ENROLLMENT!AN18*ENROLLMENT!AN$10*2.859/6)</f>
        <v>0</v>
      </c>
      <c r="I14" s="278">
        <f>IF(admin="sf161",VLOOKUP(I6,whatif,9,FALSE),ENROLLMENT!AO18*ENROLLMENT!AO$10*2.859/6)</f>
        <v>0</v>
      </c>
      <c r="J14" s="113">
        <f t="shared" si="0"/>
        <v>0</v>
      </c>
    </row>
    <row r="15" spans="1:10" ht="12.75">
      <c r="A15" s="115" t="s">
        <v>1074</v>
      </c>
      <c r="B15" s="278">
        <f>IF(admin="sf161",VLOOKUP(B6,whatif,10,FALSE),ENROLLMENT!AH19*ENROLLMENT!AH10*4.25/6)</f>
        <v>0</v>
      </c>
      <c r="C15" s="278">
        <f>IF(admin="sf161",VLOOKUP(C6,whatif,10,FALSE),ENROLLMENT!AI19*ENROLLMENT!AI10*4.25/6)</f>
        <v>0</v>
      </c>
      <c r="D15" s="278">
        <f>IF(admin="sf161",VLOOKUP(D6,whatif,10,FALSE),ENROLLMENT!AJ19*ENROLLMENT!AJ10*4.25/6)</f>
        <v>0</v>
      </c>
      <c r="E15" s="278">
        <f>IF(admin="sf161",VLOOKUP(E6,whatif,10,FALSE),ENROLLMENT!AK19*ENROLLMENT!AK10*4.25/6)</f>
        <v>0</v>
      </c>
      <c r="F15" s="278">
        <f>IF(admin="sf161",VLOOKUP(F6,whatif,10,FALSE),ENROLLMENT!AL19*ENROLLMENT!AL10*4.25/6)</f>
        <v>0</v>
      </c>
      <c r="G15" s="278">
        <f>IF(admin="sf161",VLOOKUP(G6,whatif,10,FALSE),ENROLLMENT!AM19*ENROLLMENT!AM10*4.25/6)</f>
        <v>0</v>
      </c>
      <c r="H15" s="278">
        <f>IF(admin="sf161",VLOOKUP(H6,whatif,10,FALSE),ENROLLMENT!AN19*ENROLLMENT!AN10*4.25/6)</f>
        <v>0</v>
      </c>
      <c r="I15" s="278">
        <f>IF(admin="sf161",VLOOKUP(I6,whatif,10,FALSE),ENROLLMENT!AO19*ENROLLMENT!AO10*4.25/6)</f>
        <v>0</v>
      </c>
      <c r="J15" s="113">
        <f t="shared" si="0"/>
        <v>0</v>
      </c>
    </row>
    <row r="16" spans="1:10" ht="12.75">
      <c r="A16" s="115" t="s">
        <v>1057</v>
      </c>
      <c r="B16" s="278">
        <f>IF(admin="sf161",VLOOKUP(B6,whatif,11,FALSE),ENROLLMENT!AH20*ENROLLMENT!AH10*5.5/6)</f>
        <v>0</v>
      </c>
      <c r="C16" s="278">
        <f>IF(admin="sf161",VLOOKUP(C6,whatif,11,FALSE),ENROLLMENT!AI20*ENROLLMENT!AI10*5.5/6)</f>
        <v>0</v>
      </c>
      <c r="D16" s="278">
        <f>IF(admin="sf161",VLOOKUP(D6,whatif,11,FALSE),ENROLLMENT!AJ20*ENROLLMENT!AJ10*5.5/6)</f>
        <v>0</v>
      </c>
      <c r="E16" s="278">
        <f>IF(admin="sf161",VLOOKUP(E6,whatif,11,FALSE),ENROLLMENT!AK20*ENROLLMENT!AK10*5.5/6)</f>
        <v>0</v>
      </c>
      <c r="F16" s="278">
        <f>IF(admin="sf161",VLOOKUP(F6,whatif,11,FALSE),ENROLLMENT!AL20*ENROLLMENT!AL10*5.5/6)</f>
        <v>0</v>
      </c>
      <c r="G16" s="278">
        <f>IF(admin="sf161",VLOOKUP(G6,whatif,11,FALSE),ENROLLMENT!AM20*ENROLLMENT!AM10*5.5/6)</f>
        <v>0</v>
      </c>
      <c r="H16" s="278">
        <f>IF(admin="sf161",VLOOKUP(H6,whatif,11,FALSE),ENROLLMENT!AN20*ENROLLMENT!AN10*5.5/6)</f>
        <v>0</v>
      </c>
      <c r="I16" s="278">
        <f>IF(admin="sf161",VLOOKUP(I6,whatif,11,FALSE),ENROLLMENT!AO20*ENROLLMENT!AO10*5.5/6)</f>
        <v>0</v>
      </c>
      <c r="J16" s="113">
        <f t="shared" si="0"/>
        <v>0</v>
      </c>
    </row>
    <row r="17" spans="1:10" ht="12.75">
      <c r="A17" s="115" t="s">
        <v>1058</v>
      </c>
      <c r="B17" s="278">
        <f>IF(admin="sf161",VLOOKUP(B6,whatif,12,FALSE),ENROLLMENT!AH21*ENROLLMENT!AH10*5.5/6)</f>
        <v>0</v>
      </c>
      <c r="C17" s="278">
        <f>IF(admin="sf161",VLOOKUP(C6,whatif,12,FALSE),ENROLLMENT!AI21*ENROLLMENT!AI10*5.5/6)</f>
        <v>0</v>
      </c>
      <c r="D17" s="278">
        <f>IF(admin="sf161",VLOOKUP(D6,whatif,12,FALSE),ENROLLMENT!AJ21*ENROLLMENT!AJ10*5.5/6)</f>
        <v>0</v>
      </c>
      <c r="E17" s="278">
        <f>IF(admin="sf161",VLOOKUP(E6,whatif,12,FALSE),ENROLLMENT!AK21*ENROLLMENT!AK10*5.5/6)</f>
        <v>0</v>
      </c>
      <c r="F17" s="278">
        <f>IF(admin="sf161",VLOOKUP(F6,whatif,12,FALSE),ENROLLMENT!AL21*ENROLLMENT!AL10*5.5/6)</f>
        <v>0</v>
      </c>
      <c r="G17" s="278">
        <f>IF(admin="sf161",VLOOKUP(G6,whatif,12,FALSE),ENROLLMENT!AM21*ENROLLMENT!AM10*5.5/6)</f>
        <v>0</v>
      </c>
      <c r="H17" s="278">
        <f>IF(admin="sf161",VLOOKUP(H6,whatif,12,FALSE),ENROLLMENT!AN21*ENROLLMENT!AN10*5.5/6)</f>
        <v>0</v>
      </c>
      <c r="I17" s="278">
        <f>IF(admin="sf161",VLOOKUP(I6,whatif,12,FALSE),ENROLLMENT!AO21*ENROLLMENT!AO10*5.5/6)</f>
        <v>0</v>
      </c>
      <c r="J17" s="113">
        <f t="shared" si="0"/>
        <v>0</v>
      </c>
    </row>
    <row r="18" spans="1:10" ht="12.75">
      <c r="A18" s="115" t="s">
        <v>1059</v>
      </c>
      <c r="B18" s="278">
        <f>IF(admin="sf161",VLOOKUP(B6,whatif,13,FALSE),ENROLLMENT!AH22*ENROLLMENT!AH10*5.5/6)</f>
        <v>0</v>
      </c>
      <c r="C18" s="278">
        <f>IF(admin="sf161",VLOOKUP(C6,whatif,13,FALSE),ENROLLMENT!AI22*ENROLLMENT!AI10*5.5/6)</f>
        <v>0</v>
      </c>
      <c r="D18" s="278">
        <f>IF(admin="sf161",VLOOKUP(D6,whatif,13,FALSE),ENROLLMENT!AJ22*ENROLLMENT!AJ10*5.5/6)</f>
        <v>0</v>
      </c>
      <c r="E18" s="278">
        <f>IF(admin="sf161",VLOOKUP(E6,whatif,13,FALSE),ENROLLMENT!AK22*ENROLLMENT!AK10*5.5/6)</f>
        <v>0</v>
      </c>
      <c r="F18" s="278">
        <f>IF(admin="sf161",VLOOKUP(F6,whatif,13,FALSE),ENROLLMENT!AL22*ENROLLMENT!AL10*5.5/6)</f>
        <v>0</v>
      </c>
      <c r="G18" s="278">
        <f>IF(admin="sf161",VLOOKUP(G6,whatif,13,FALSE),ENROLLMENT!AM22*ENROLLMENT!AM10*5.5/6)</f>
        <v>0</v>
      </c>
      <c r="H18" s="278">
        <f>IF(admin="sf161",VLOOKUP(H6,whatif,13,FALSE),ENROLLMENT!AN22*ENROLLMENT!AN10*5.5/6)</f>
        <v>0</v>
      </c>
      <c r="I18" s="278">
        <f>IF(admin="sf161",VLOOKUP(I6,whatif,13,FALSE),ENROLLMENT!AO22*ENROLLMENT!AO10*5.5/6)</f>
        <v>0</v>
      </c>
      <c r="J18" s="113">
        <f t="shared" si="0"/>
        <v>0</v>
      </c>
    </row>
    <row r="19" spans="1:10" ht="12.75">
      <c r="A19" s="116" t="s">
        <v>1060</v>
      </c>
      <c r="B19" s="278">
        <f aca="true" t="shared" si="1" ref="B19:I19">SUM(B9:B18)</f>
        <v>0</v>
      </c>
      <c r="C19" s="278">
        <f t="shared" si="1"/>
        <v>0</v>
      </c>
      <c r="D19" s="278">
        <f t="shared" si="1"/>
        <v>0</v>
      </c>
      <c r="E19" s="278">
        <f t="shared" si="1"/>
        <v>0</v>
      </c>
      <c r="F19" s="278">
        <f t="shared" si="1"/>
        <v>0</v>
      </c>
      <c r="G19" s="278">
        <f t="shared" si="1"/>
        <v>0</v>
      </c>
      <c r="H19" s="278">
        <f t="shared" si="1"/>
        <v>0</v>
      </c>
      <c r="I19" s="278">
        <f t="shared" si="1"/>
        <v>0</v>
      </c>
      <c r="J19" s="113">
        <f t="shared" si="0"/>
        <v>0</v>
      </c>
    </row>
    <row r="20" spans="1:10" ht="12.75">
      <c r="A20" s="116" t="s">
        <v>1061</v>
      </c>
      <c r="B20" s="278">
        <f aca="true" t="shared" si="2" ref="B20:I20">(B9*5)+(B10*3)+(B11*5)+(B12*3)+(B13*3)+(B14*3)+(B15*2.7)+(B16*2.3)+(B17*2.8)+(B18*4)</f>
        <v>0</v>
      </c>
      <c r="C20" s="278">
        <f t="shared" si="2"/>
        <v>0</v>
      </c>
      <c r="D20" s="278">
        <f t="shared" si="2"/>
        <v>0</v>
      </c>
      <c r="E20" s="278">
        <f t="shared" si="2"/>
        <v>0</v>
      </c>
      <c r="F20" s="278">
        <f t="shared" si="2"/>
        <v>0</v>
      </c>
      <c r="G20" s="278">
        <f t="shared" si="2"/>
        <v>0</v>
      </c>
      <c r="H20" s="278">
        <f t="shared" si="2"/>
        <v>0</v>
      </c>
      <c r="I20" s="278">
        <f t="shared" si="2"/>
        <v>0</v>
      </c>
      <c r="J20" s="113">
        <f t="shared" si="0"/>
        <v>0</v>
      </c>
    </row>
    <row r="21" spans="1:10" ht="12.75">
      <c r="A21" s="116" t="s">
        <v>1175</v>
      </c>
      <c r="B21" s="278">
        <f>VLOOKUP(B6,'MAINFRAME WHATIF'!$C$3:$AH$43,32,FALSE)</f>
        <v>0</v>
      </c>
      <c r="C21" s="278">
        <f>VLOOKUP(C6,'MAINFRAME WHATIF'!$C$3:$AH$43,32,FALSE)</f>
        <v>0</v>
      </c>
      <c r="D21" s="278">
        <f>VLOOKUP(D6,'MAINFRAME WHATIF'!$C$3:$AH$43,32,FALSE)</f>
        <v>0</v>
      </c>
      <c r="E21" s="278">
        <f>VLOOKUP(E6,'MAINFRAME WHATIF'!$C$3:$AH$43,32,FALSE)</f>
        <v>0</v>
      </c>
      <c r="F21" s="278">
        <f>VLOOKUP(F6,'MAINFRAME WHATIF'!$C$3:$AH$43,32,FALSE)</f>
        <v>0</v>
      </c>
      <c r="G21" s="278">
        <f>VLOOKUP(G6,'MAINFRAME WHATIF'!$C$3:$AH$43,32,FALSE)</f>
        <v>0</v>
      </c>
      <c r="H21" s="278">
        <f>VLOOKUP(H6,'MAINFRAME WHATIF'!$C$3:$AH$43,32,FALSE)</f>
        <v>0</v>
      </c>
      <c r="I21" s="278">
        <f>VLOOKUP(I6,'MAINFRAME WHATIF'!$C$3:$AH$43,32,FALSE)</f>
        <v>0</v>
      </c>
      <c r="J21" s="113">
        <f t="shared" si="0"/>
        <v>0</v>
      </c>
    </row>
    <row r="22" spans="1:10" ht="12.75">
      <c r="A22" s="112" t="s">
        <v>877</v>
      </c>
      <c r="B22" s="278">
        <f>IF(admin="sf161",VLOOKUP(B6,whatif,15,FALSE),(ENROLLMENT!AH25*ENROLLMENT!AH10*0.17)+(ENROLLMENT!AH26*ENROLLMENT!AH10*0.33)+(ENROLLMENT!AH27*ENROLLMENT!AH10*0.5)+(ENROLLMENT!AH28*ENROLLMENT!AH10*0.67)+(ENROLLMENT!AH29*ENROLLMENT!AH10*0.83)+(ENROLLMENT!AH30*ENROLLMENT!AH10*1))</f>
        <v>0</v>
      </c>
      <c r="C22" s="278">
        <f>IF(admin="sf161",VLOOKUP(C6,whatif,15,FALSE),(ENROLLMENT!AI25*ENROLLMENT!AI10*0.17)+(ENROLLMENT!AI26*ENROLLMENT!AI10*0.33)+(ENROLLMENT!AI27*ENROLLMENT!AI10*0.5)+(ENROLLMENT!AI28*ENROLLMENT!AI10*0.67)+(ENROLLMENT!AI29*ENROLLMENT!AI10*0.83)+(ENROLLMENT!AI30*ENROLLMENT!AI10*1))</f>
        <v>0</v>
      </c>
      <c r="D22" s="278">
        <f>IF(admin="sf161",VLOOKUP(D6,whatif,15,FALSE),(ENROLLMENT!AJ25*ENROLLMENT!AJ10*0.17)+(ENROLLMENT!AJ26*ENROLLMENT!AJ10*0.33)+(ENROLLMENT!AJ27*ENROLLMENT!AJ10*0.5)+(ENROLLMENT!AJ28*ENROLLMENT!AJ10*0.67)+(ENROLLMENT!AJ29*ENROLLMENT!AJ10*0.83)+(ENROLLMENT!AJ30*ENROLLMENT!AJ10*1))</f>
        <v>0</v>
      </c>
      <c r="E22" s="278">
        <f>IF(admin="sf161",VLOOKUP(E6,whatif,15,FALSE),(ENROLLMENT!AK25*ENROLLMENT!AK10*0.17)+(ENROLLMENT!AK26*ENROLLMENT!AK10*0.33)+(ENROLLMENT!AK27*ENROLLMENT!AK10*0.5)+(ENROLLMENT!AK28*ENROLLMENT!AK10*0.67)+(ENROLLMENT!AK29*ENROLLMENT!AK10*0.83)+(ENROLLMENT!AK30*ENROLLMENT!AK10*1))</f>
        <v>0</v>
      </c>
      <c r="F22" s="278">
        <f>IF(admin="sf161",VLOOKUP(F6,whatif,15,FALSE),(ENROLLMENT!AL25*ENROLLMENT!AL10*0.17)+(ENROLLMENT!AL26*ENROLLMENT!AL10*0.33)+(ENROLLMENT!AL27*ENROLLMENT!AL10*0.5)+(ENROLLMENT!AL28*ENROLLMENT!AL10*0.67)+(ENROLLMENT!AL29*ENROLLMENT!AL10*0.83)+(ENROLLMENT!AL30*ENROLLMENT!AL10*1))</f>
        <v>0</v>
      </c>
      <c r="G22" s="278">
        <f>IF(admin="sf161",VLOOKUP(G6,whatif,15,FALSE),(ENROLLMENT!AM25*ENROLLMENT!AM10*0.17)+(ENROLLMENT!AM26*ENROLLMENT!AM10*0.33)+(ENROLLMENT!AM27*ENROLLMENT!AM10*0.5)+(ENROLLMENT!AM28*ENROLLMENT!AM10*0.67)+(ENROLLMENT!AM29*ENROLLMENT!AM10*0.83)+(ENROLLMENT!AM30*ENROLLMENT!AM10*1))</f>
        <v>0</v>
      </c>
      <c r="H22" s="278">
        <f>IF(admin="sf161",VLOOKUP(H6,whatif,15,FALSE),(ENROLLMENT!AN25*ENROLLMENT!AN10*0.17)+(ENROLLMENT!AN26*ENROLLMENT!AN10*0.33)+(ENROLLMENT!AN27*ENROLLMENT!AN10*0.5)+(ENROLLMENT!AN28*ENROLLMENT!AN10*0.67)+(ENROLLMENT!AN29*ENROLLMENT!AN10*0.83)+(ENROLLMENT!AN30*ENROLLMENT!AN10*1))</f>
        <v>0</v>
      </c>
      <c r="I22" s="278">
        <f>IF(admin="sf161",VLOOKUP(I6,whatif,15,FALSE),(ENROLLMENT!AO25*ENROLLMENT!AO10*0.17)+(ENROLLMENT!AO26*ENROLLMENT!AO10*0.33)+(ENROLLMENT!AO27*ENROLLMENT!AO10*0.5)+(ENROLLMENT!AO28*ENROLLMENT!AO10*0.67)+(ENROLLMENT!AO29*ENROLLMENT!AO10*0.83)+(ENROLLMENT!AO30*ENROLLMENT!AO10*1))</f>
        <v>0</v>
      </c>
      <c r="J22" s="113">
        <f t="shared" si="0"/>
        <v>0</v>
      </c>
    </row>
    <row r="23" spans="1:10" ht="12.75">
      <c r="A23" s="112" t="s">
        <v>878</v>
      </c>
      <c r="B23" s="278">
        <f aca="true" t="shared" si="3" ref="B23:I23">B7-B19-B22</f>
        <v>0</v>
      </c>
      <c r="C23" s="278">
        <f t="shared" si="3"/>
        <v>0</v>
      </c>
      <c r="D23" s="278">
        <f t="shared" si="3"/>
        <v>0</v>
      </c>
      <c r="E23" s="278">
        <f t="shared" si="3"/>
        <v>0</v>
      </c>
      <c r="F23" s="278">
        <f t="shared" si="3"/>
        <v>0</v>
      </c>
      <c r="G23" s="278">
        <f t="shared" si="3"/>
        <v>0</v>
      </c>
      <c r="H23" s="278">
        <f t="shared" si="3"/>
        <v>0</v>
      </c>
      <c r="I23" s="278">
        <f t="shared" si="3"/>
        <v>0</v>
      </c>
      <c r="J23" s="113">
        <f t="shared" si="0"/>
        <v>0</v>
      </c>
    </row>
    <row r="24" spans="1:10" ht="12.75">
      <c r="A24" s="112" t="s">
        <v>879</v>
      </c>
      <c r="B24" s="278">
        <f>IF(admin="sf161",VLOOKUP(B6,whatif,16,FALSE),ENROLLMENT!AH23*ENROLLMENT!AH10)</f>
        <v>0</v>
      </c>
      <c r="C24" s="278">
        <f>IF(admin="sf161",VLOOKUP(C6,whatif,16,FALSE),ENROLLMENT!AI23*ENROLLMENT!AI10)</f>
        <v>0</v>
      </c>
      <c r="D24" s="278">
        <f>IF(admin="sf161",VLOOKUP(D6,whatif,16,FALSE),ENROLLMENT!AJ23*ENROLLMENT!AJ10)</f>
        <v>0</v>
      </c>
      <c r="E24" s="278">
        <f>IF(admin="sf161",VLOOKUP(E6,whatif,16,FALSE),ENROLLMENT!AK23*ENROLLMENT!AK10)</f>
        <v>0</v>
      </c>
      <c r="F24" s="278">
        <f>IF(admin="sf161",VLOOKUP(F6,whatif,16,FALSE),ENROLLMENT!AL23*ENROLLMENT!AL10)</f>
        <v>0</v>
      </c>
      <c r="G24" s="278">
        <f>IF(admin="sf161",VLOOKUP(G6,whatif,16,FALSE),ENROLLMENT!AM23*ENROLLMENT!AM10)</f>
        <v>0</v>
      </c>
      <c r="H24" s="278">
        <f>IF(admin="sf161",VLOOKUP(H6,whatif,16,FALSE),ENROLLMENT!AN23*ENROLLMENT!AN10)</f>
        <v>0</v>
      </c>
      <c r="I24" s="278">
        <f>IF(admin="sf161",VLOOKUP(I6,whatif,16,FALSE),ENROLLMENT!AO23*ENROLLMENT!AO10)</f>
        <v>0</v>
      </c>
      <c r="J24" s="113">
        <f t="shared" si="0"/>
        <v>0</v>
      </c>
    </row>
    <row r="25" spans="1:10" ht="12.75">
      <c r="A25" s="112" t="s">
        <v>874</v>
      </c>
      <c r="B25" s="278">
        <f>IF(admin="sf161",VLOOKUP(B6,whatif,17,FALSE),IF(ENROLLMENT!AH31&lt;B7*0.05,ENROLLMENT!AH31,B7*0.05))</f>
        <v>0</v>
      </c>
      <c r="C25" s="278">
        <f>IF(admin="sf161",VLOOKUP(C6,whatif,17,FALSE),IF(ENROLLMENT!AI31&lt;C7*0.05,ENROLLMENT!AI31,C7*0.05))</f>
        <v>0</v>
      </c>
      <c r="D25" s="278">
        <f>IF(admin="sf161",VLOOKUP(D6,whatif,17,FALSE),IF(ENROLLMENT!AJ31&lt;D7*0.05,ENROLLMENT!AJ31,D7*0.05))</f>
        <v>0</v>
      </c>
      <c r="E25" s="278">
        <f>IF(admin="sf161",VLOOKUP(E6,whatif,17,FALSE),IF(ENROLLMENT!AK31&lt;E7*0.05,ENROLLMENT!AK31,E7*0.05))</f>
        <v>0</v>
      </c>
      <c r="F25" s="278">
        <f>IF(admin="sf161",VLOOKUP(F6,whatif,17,FALSE),IF(ENROLLMENT!AL31&lt;F7*0.05,ENROLLMENT!AL31,F7*0.05))</f>
        <v>0</v>
      </c>
      <c r="G25" s="278">
        <f>IF(admin="sf161",VLOOKUP(G6,whatif,17,FALSE),IF(ENROLLMENT!AM31&lt;G7*0.05,ENROLLMENT!AM31,G7*0.05))</f>
        <v>0</v>
      </c>
      <c r="H25" s="278">
        <f>IF(admin="sf161",VLOOKUP(H6,whatif,17,FALSE),IF(ENROLLMENT!AN31&lt;H7*0.05,ENROLLMENT!AN31,H7*0.05))</f>
        <v>0</v>
      </c>
      <c r="I25" s="278">
        <f>IF(admin="sf161",VLOOKUP(I6,whatif,17,FALSE),IF(ENROLLMENT!AO31&lt;I7*0.05,ENROLLMENT!AO31,I7*0.05))</f>
        <v>0</v>
      </c>
      <c r="J25" s="113">
        <f t="shared" si="0"/>
        <v>0</v>
      </c>
    </row>
    <row r="26" spans="1:10" ht="12.75">
      <c r="A26" s="112" t="s">
        <v>1163</v>
      </c>
      <c r="B26" s="278">
        <f>IF(B25&lt;B7*0.05,B25,B7*0.05)</f>
        <v>0</v>
      </c>
      <c r="C26" s="278">
        <f aca="true" t="shared" si="4" ref="C26:I26">IF(C25&lt;C7*0.05,C25,C7*0.05)</f>
        <v>0</v>
      </c>
      <c r="D26" s="278">
        <f t="shared" si="4"/>
        <v>0</v>
      </c>
      <c r="E26" s="278">
        <f t="shared" si="4"/>
        <v>0</v>
      </c>
      <c r="F26" s="278">
        <f t="shared" si="4"/>
        <v>0</v>
      </c>
      <c r="G26" s="278">
        <f t="shared" si="4"/>
        <v>0</v>
      </c>
      <c r="H26" s="278">
        <f t="shared" si="4"/>
        <v>0</v>
      </c>
      <c r="I26" s="278">
        <f t="shared" si="4"/>
        <v>0</v>
      </c>
      <c r="J26" s="113">
        <f t="shared" si="0"/>
        <v>0</v>
      </c>
    </row>
    <row r="27" spans="1:10" ht="12.75">
      <c r="A27" s="112" t="s">
        <v>880</v>
      </c>
      <c r="B27" s="278">
        <f>IF(admin="sf161",VLOOKUP(B6,whatif,18,FALSE),ENROLLMENT!AH32)</f>
        <v>0</v>
      </c>
      <c r="C27" s="278">
        <f>IF(admin="sf161",VLOOKUP(C6,whatif,18,FALSE),ENROLLMENT!AI32)</f>
        <v>0</v>
      </c>
      <c r="D27" s="278">
        <f>IF(admin="sf161",VLOOKUP(D6,whatif,18,FALSE),ENROLLMENT!AJ32)</f>
        <v>0</v>
      </c>
      <c r="E27" s="278">
        <f>IF(admin="sf161",VLOOKUP(E6,whatif,18,FALSE),ENROLLMENT!AK32)</f>
        <v>0</v>
      </c>
      <c r="F27" s="278">
        <f>IF(admin="sf161",VLOOKUP(F6,whatif,18,FALSE),ENROLLMENT!AL32)</f>
        <v>0</v>
      </c>
      <c r="G27" s="278">
        <f>IF(admin="sf161",VLOOKUP(G6,whatif,18,FALSE),ENROLLMENT!AM32)</f>
        <v>0</v>
      </c>
      <c r="H27" s="278">
        <f>IF(admin="sf161",VLOOKUP(H6,whatif,18,FALSE),ENROLLMENT!AN32)</f>
        <v>0</v>
      </c>
      <c r="I27" s="278">
        <f>IF(admin="sf161",VLOOKUP(I6,whatif,18,FALSE),ENROLLMENT!AO32)</f>
        <v>0</v>
      </c>
      <c r="J27" s="113">
        <f t="shared" si="0"/>
        <v>0</v>
      </c>
    </row>
    <row r="28" spans="1:10" ht="12.75">
      <c r="A28" s="112" t="s">
        <v>1076</v>
      </c>
      <c r="B28" s="278">
        <f>IF(admin="sf161",VLOOKUP(B6,whatif,19,FALSE),ENROLLMENT!AH33*ENROLLMENT!AH10*0.2936)</f>
        <v>0</v>
      </c>
      <c r="C28" s="278">
        <f>IF(admin="sf161",VLOOKUP(C6,whatif,19,FALSE),ENROLLMENT!AI33*ENROLLMENT!AI10*0.2936)</f>
        <v>0</v>
      </c>
      <c r="D28" s="278">
        <f>IF(admin="sf161",VLOOKUP(D6,whatif,19,FALSE),ENROLLMENT!AJ33*ENROLLMENT!AJ10*0.2936)</f>
        <v>0</v>
      </c>
      <c r="E28" s="278">
        <f>IF(admin="sf161",VLOOKUP(E6,whatif,19,FALSE),ENROLLMENT!AK33*ENROLLMENT!AK10*0.2936)</f>
        <v>0</v>
      </c>
      <c r="F28" s="278">
        <f>IF(admin="sf161",VLOOKUP(F6,whatif,19,FALSE),ENROLLMENT!AL33*ENROLLMENT!AL10*0.2936)</f>
        <v>0</v>
      </c>
      <c r="G28" s="278">
        <f>IF(admin="sf161",VLOOKUP(G6,whatif,19,FALSE),ENROLLMENT!AM33*ENROLLMENT!AM10*0.2936)</f>
        <v>0</v>
      </c>
      <c r="H28" s="278">
        <f>IF(admin="sf161",VLOOKUP(H6,whatif,19,FALSE),ENROLLMENT!AN33*ENROLLMENT!AN10*0.2936)</f>
        <v>0</v>
      </c>
      <c r="I28" s="278">
        <f>IF(admin="sf161",VLOOKUP(I6,whatif,19,FALSE),ENROLLMENT!AO33*ENROLLMENT!AO10*0.2936)</f>
        <v>0</v>
      </c>
      <c r="J28" s="113">
        <f t="shared" si="0"/>
        <v>0</v>
      </c>
    </row>
    <row r="29" spans="1:10" ht="12.75">
      <c r="A29" s="112" t="s">
        <v>882</v>
      </c>
      <c r="B29" s="278">
        <f>IF(admin="sf161",VLOOKUP(B6,whatif,20,FALSE),ENROLLMENT!AH34*ENROLLMENT!AH10)</f>
        <v>0</v>
      </c>
      <c r="C29" s="278">
        <f>IF(admin="sf161",VLOOKUP(C6,whatif,20,FALSE),ENROLLMENT!AI34*ENROLLMENT!AI10)</f>
        <v>0</v>
      </c>
      <c r="D29" s="278">
        <f>IF(admin="sf161",VLOOKUP(D6,whatif,20,FALSE),ENROLLMENT!AJ34*ENROLLMENT!AJ10)</f>
        <v>0</v>
      </c>
      <c r="E29" s="278">
        <f>IF(admin="sf161",VLOOKUP(E6,whatif,20,FALSE),ENROLLMENT!AK34*ENROLLMENT!AK10)</f>
        <v>0</v>
      </c>
      <c r="F29" s="278">
        <f>IF(admin="sf161",VLOOKUP(F6,whatif,20,FALSE),ENROLLMENT!AL34*ENROLLMENT!AL10)</f>
        <v>0</v>
      </c>
      <c r="G29" s="278">
        <f>IF(admin="sf161",VLOOKUP(G6,whatif,20,FALSE),ENROLLMENT!AM34*ENROLLMENT!AM10)</f>
        <v>0</v>
      </c>
      <c r="H29" s="278">
        <f>IF(admin="sf161",VLOOKUP(H6,whatif,20,FALSE),ENROLLMENT!AN34*ENROLLMENT!AN10)</f>
        <v>0</v>
      </c>
      <c r="I29" s="278">
        <f>IF(admin="sf161",VLOOKUP(I6,whatif,20,FALSE),ENROLLMENT!AO34*ENROLLMENT!AO10)</f>
        <v>0</v>
      </c>
      <c r="J29" s="93">
        <f t="shared" si="0"/>
        <v>0</v>
      </c>
    </row>
    <row r="30" spans="1:10" ht="12.75">
      <c r="A30" s="112"/>
      <c r="B30" s="117"/>
      <c r="C30" s="117"/>
      <c r="D30" s="117"/>
      <c r="E30" s="117"/>
      <c r="F30" s="117"/>
      <c r="G30" s="117"/>
      <c r="H30" s="117"/>
      <c r="I30" s="117"/>
      <c r="J30" s="117"/>
    </row>
    <row r="31" spans="1:10" ht="12.75">
      <c r="A31" s="112" t="s">
        <v>883</v>
      </c>
      <c r="B31" s="118">
        <f aca="true" t="shared" si="5" ref="B31:I31">B23</f>
        <v>0</v>
      </c>
      <c r="C31" s="118">
        <f t="shared" si="5"/>
        <v>0</v>
      </c>
      <c r="D31" s="118">
        <f t="shared" si="5"/>
        <v>0</v>
      </c>
      <c r="E31" s="118">
        <f t="shared" si="5"/>
        <v>0</v>
      </c>
      <c r="F31" s="118">
        <f t="shared" si="5"/>
        <v>0</v>
      </c>
      <c r="G31" s="118">
        <f t="shared" si="5"/>
        <v>0</v>
      </c>
      <c r="H31" s="118">
        <f t="shared" si="5"/>
        <v>0</v>
      </c>
      <c r="I31" s="118">
        <f t="shared" si="5"/>
        <v>0</v>
      </c>
      <c r="J31" s="118">
        <f t="shared" si="0"/>
        <v>0</v>
      </c>
    </row>
    <row r="32" spans="1:10" ht="12.75">
      <c r="A32" s="112" t="s">
        <v>884</v>
      </c>
      <c r="B32" s="118">
        <f aca="true" t="shared" si="6" ref="B32:I32">B20</f>
        <v>0</v>
      </c>
      <c r="C32" s="118">
        <f t="shared" si="6"/>
        <v>0</v>
      </c>
      <c r="D32" s="118">
        <f t="shared" si="6"/>
        <v>0</v>
      </c>
      <c r="E32" s="118">
        <f t="shared" si="6"/>
        <v>0</v>
      </c>
      <c r="F32" s="118">
        <f t="shared" si="6"/>
        <v>0</v>
      </c>
      <c r="G32" s="118">
        <f t="shared" si="6"/>
        <v>0</v>
      </c>
      <c r="H32" s="118">
        <f t="shared" si="6"/>
        <v>0</v>
      </c>
      <c r="I32" s="118">
        <f t="shared" si="6"/>
        <v>0</v>
      </c>
      <c r="J32" s="119">
        <f t="shared" si="0"/>
        <v>0</v>
      </c>
    </row>
    <row r="33" spans="1:10" ht="12.75">
      <c r="A33" s="112" t="s">
        <v>885</v>
      </c>
      <c r="B33" s="118">
        <f aca="true" t="shared" si="7" ref="B33:I33">B24*1.1</f>
        <v>0</v>
      </c>
      <c r="C33" s="118">
        <f t="shared" si="7"/>
        <v>0</v>
      </c>
      <c r="D33" s="118">
        <f t="shared" si="7"/>
        <v>0</v>
      </c>
      <c r="E33" s="118">
        <f t="shared" si="7"/>
        <v>0</v>
      </c>
      <c r="F33" s="118">
        <f t="shared" si="7"/>
        <v>0</v>
      </c>
      <c r="G33" s="118">
        <f t="shared" si="7"/>
        <v>0</v>
      </c>
      <c r="H33" s="118">
        <f t="shared" si="7"/>
        <v>0</v>
      </c>
      <c r="I33" s="118">
        <f t="shared" si="7"/>
        <v>0</v>
      </c>
      <c r="J33" s="119">
        <f t="shared" si="0"/>
        <v>0</v>
      </c>
    </row>
    <row r="34" spans="1:10" ht="12.75">
      <c r="A34" s="112" t="s">
        <v>886</v>
      </c>
      <c r="B34" s="118">
        <f aca="true" t="shared" si="8" ref="B34:I34">B22*1.35</f>
        <v>0</v>
      </c>
      <c r="C34" s="118">
        <f t="shared" si="8"/>
        <v>0</v>
      </c>
      <c r="D34" s="118">
        <f t="shared" si="8"/>
        <v>0</v>
      </c>
      <c r="E34" s="118">
        <f t="shared" si="8"/>
        <v>0</v>
      </c>
      <c r="F34" s="118">
        <f t="shared" si="8"/>
        <v>0</v>
      </c>
      <c r="G34" s="118">
        <f t="shared" si="8"/>
        <v>0</v>
      </c>
      <c r="H34" s="118">
        <f t="shared" si="8"/>
        <v>0</v>
      </c>
      <c r="I34" s="118">
        <f t="shared" si="8"/>
        <v>0</v>
      </c>
      <c r="J34" s="119">
        <f t="shared" si="0"/>
        <v>0</v>
      </c>
    </row>
    <row r="35" spans="1:10" ht="12.75">
      <c r="A35" s="112" t="s">
        <v>887</v>
      </c>
      <c r="B35" s="118">
        <f>B26*0.12</f>
        <v>0</v>
      </c>
      <c r="C35" s="118">
        <f aca="true" t="shared" si="9" ref="C35:I35">C26*0.12</f>
        <v>0</v>
      </c>
      <c r="D35" s="118">
        <f t="shared" si="9"/>
        <v>0</v>
      </c>
      <c r="E35" s="118">
        <f t="shared" si="9"/>
        <v>0</v>
      </c>
      <c r="F35" s="118">
        <f t="shared" si="9"/>
        <v>0</v>
      </c>
      <c r="G35" s="118">
        <f t="shared" si="9"/>
        <v>0</v>
      </c>
      <c r="H35" s="118">
        <f t="shared" si="9"/>
        <v>0</v>
      </c>
      <c r="I35" s="118">
        <f t="shared" si="9"/>
        <v>0</v>
      </c>
      <c r="J35" s="119">
        <f t="shared" si="0"/>
        <v>0</v>
      </c>
    </row>
    <row r="36" spans="1:10" ht="12.75">
      <c r="A36" s="112" t="s">
        <v>888</v>
      </c>
      <c r="B36" s="118">
        <f aca="true" t="shared" si="10" ref="B36:I36">B27*0.2</f>
        <v>0</v>
      </c>
      <c r="C36" s="118">
        <f t="shared" si="10"/>
        <v>0</v>
      </c>
      <c r="D36" s="118">
        <f t="shared" si="10"/>
        <v>0</v>
      </c>
      <c r="E36" s="118">
        <f t="shared" si="10"/>
        <v>0</v>
      </c>
      <c r="F36" s="118">
        <f t="shared" si="10"/>
        <v>0</v>
      </c>
      <c r="G36" s="118">
        <f t="shared" si="10"/>
        <v>0</v>
      </c>
      <c r="H36" s="118">
        <f t="shared" si="10"/>
        <v>0</v>
      </c>
      <c r="I36" s="118">
        <f t="shared" si="10"/>
        <v>0</v>
      </c>
      <c r="J36" s="119">
        <f t="shared" si="0"/>
        <v>0</v>
      </c>
    </row>
    <row r="37" spans="1:10" ht="12.75">
      <c r="A37" s="112" t="s">
        <v>1075</v>
      </c>
      <c r="B37" s="118">
        <f aca="true" t="shared" si="11" ref="B37:I37">B28*2.41</f>
        <v>0</v>
      </c>
      <c r="C37" s="118">
        <f t="shared" si="11"/>
        <v>0</v>
      </c>
      <c r="D37" s="118">
        <f t="shared" si="11"/>
        <v>0</v>
      </c>
      <c r="E37" s="118">
        <f t="shared" si="11"/>
        <v>0</v>
      </c>
      <c r="F37" s="118">
        <f t="shared" si="11"/>
        <v>0</v>
      </c>
      <c r="G37" s="118">
        <f t="shared" si="11"/>
        <v>0</v>
      </c>
      <c r="H37" s="118">
        <f t="shared" si="11"/>
        <v>0</v>
      </c>
      <c r="I37" s="118">
        <f t="shared" si="11"/>
        <v>0</v>
      </c>
      <c r="J37" s="119">
        <f t="shared" si="0"/>
        <v>0</v>
      </c>
    </row>
    <row r="38" spans="1:10" ht="12.75">
      <c r="A38" s="112" t="s">
        <v>889</v>
      </c>
      <c r="B38" s="118">
        <f aca="true" t="shared" si="12" ref="B38:I38">B29*0.1</f>
        <v>0</v>
      </c>
      <c r="C38" s="118">
        <f t="shared" si="12"/>
        <v>0</v>
      </c>
      <c r="D38" s="118">
        <f t="shared" si="12"/>
        <v>0</v>
      </c>
      <c r="E38" s="118">
        <f t="shared" si="12"/>
        <v>0</v>
      </c>
      <c r="F38" s="118">
        <f t="shared" si="12"/>
        <v>0</v>
      </c>
      <c r="G38" s="118">
        <f t="shared" si="12"/>
        <v>0</v>
      </c>
      <c r="H38" s="118">
        <f t="shared" si="12"/>
        <v>0</v>
      </c>
      <c r="I38" s="118">
        <f t="shared" si="12"/>
        <v>0</v>
      </c>
      <c r="J38" s="119">
        <f t="shared" si="0"/>
        <v>0</v>
      </c>
    </row>
    <row r="39" spans="1:10" ht="12.75">
      <c r="A39" s="112"/>
      <c r="B39" s="93">
        <f>B21</f>
        <v>0</v>
      </c>
      <c r="C39" s="93">
        <f aca="true" t="shared" si="13" ref="C39:I39">C21</f>
        <v>0</v>
      </c>
      <c r="D39" s="93">
        <f t="shared" si="13"/>
        <v>0</v>
      </c>
      <c r="E39" s="93">
        <f t="shared" si="13"/>
        <v>0</v>
      </c>
      <c r="F39" s="93">
        <f t="shared" si="13"/>
        <v>0</v>
      </c>
      <c r="G39" s="93">
        <f t="shared" si="13"/>
        <v>0</v>
      </c>
      <c r="H39" s="93">
        <f t="shared" si="13"/>
        <v>0</v>
      </c>
      <c r="I39" s="93">
        <f t="shared" si="13"/>
        <v>0</v>
      </c>
      <c r="J39" s="119">
        <f t="shared" si="0"/>
        <v>0</v>
      </c>
    </row>
    <row r="40" spans="1:10" ht="12.75">
      <c r="A40" s="115" t="s">
        <v>1062</v>
      </c>
      <c r="B40" s="120">
        <f>SUM(B31:B39)</f>
        <v>0</v>
      </c>
      <c r="C40" s="120">
        <f aca="true" t="shared" si="14" ref="C40:I40">SUM(C31:C39)</f>
        <v>0</v>
      </c>
      <c r="D40" s="120">
        <f t="shared" si="14"/>
        <v>0</v>
      </c>
      <c r="E40" s="120">
        <f t="shared" si="14"/>
        <v>0</v>
      </c>
      <c r="F40" s="120">
        <f t="shared" si="14"/>
        <v>0</v>
      </c>
      <c r="G40" s="120">
        <f t="shared" si="14"/>
        <v>0</v>
      </c>
      <c r="H40" s="120">
        <f t="shared" si="14"/>
        <v>0</v>
      </c>
      <c r="I40" s="120">
        <f t="shared" si="14"/>
        <v>0</v>
      </c>
      <c r="J40" s="118">
        <f t="shared" si="0"/>
        <v>0</v>
      </c>
    </row>
    <row r="41" spans="1:10" ht="12.75">
      <c r="A41" s="115"/>
      <c r="B41" s="120"/>
      <c r="C41" s="120"/>
      <c r="D41" s="120"/>
      <c r="E41" s="120"/>
      <c r="F41" s="120"/>
      <c r="G41" s="120"/>
      <c r="H41" s="120"/>
      <c r="I41" s="120"/>
      <c r="J41" s="118"/>
    </row>
    <row r="42" spans="1:10" ht="12.75">
      <c r="A42" s="112" t="s">
        <v>891</v>
      </c>
      <c r="B42" s="121">
        <f>B40*B45</f>
        <v>0</v>
      </c>
      <c r="C42" s="121">
        <f aca="true" t="shared" si="15" ref="C42:I42">C40*C45</f>
        <v>0</v>
      </c>
      <c r="D42" s="121">
        <f t="shared" si="15"/>
        <v>0</v>
      </c>
      <c r="E42" s="121">
        <f t="shared" si="15"/>
        <v>0</v>
      </c>
      <c r="F42" s="121">
        <f t="shared" si="15"/>
        <v>0</v>
      </c>
      <c r="G42" s="121">
        <f t="shared" si="15"/>
        <v>0</v>
      </c>
      <c r="H42" s="121">
        <f t="shared" si="15"/>
        <v>0</v>
      </c>
      <c r="I42" s="121">
        <f t="shared" si="15"/>
        <v>0</v>
      </c>
      <c r="J42" s="121">
        <f>SUM(B42:I42)</f>
        <v>0</v>
      </c>
    </row>
    <row r="43" spans="1:10" ht="12.75">
      <c r="A43" s="112"/>
      <c r="B43" s="112"/>
      <c r="C43" s="112"/>
      <c r="D43" s="112"/>
      <c r="E43" s="112"/>
      <c r="F43" s="112"/>
      <c r="G43" s="112"/>
      <c r="H43" s="112"/>
      <c r="I43" s="112"/>
      <c r="J43" s="112"/>
    </row>
    <row r="44" spans="1:10" ht="12.75">
      <c r="A44" s="122" t="s">
        <v>892</v>
      </c>
      <c r="B44" s="112"/>
      <c r="C44" s="112"/>
      <c r="D44" s="112"/>
      <c r="E44" s="112"/>
      <c r="F44" s="112"/>
      <c r="G44" s="112"/>
      <c r="H44" s="112"/>
      <c r="I44" s="112"/>
      <c r="J44" s="112"/>
    </row>
    <row r="45" spans="1:10" ht="12.75">
      <c r="A45" s="115" t="s">
        <v>900</v>
      </c>
      <c r="B45" s="123">
        <f>VLOOKUP(B$6,FSPVAR!$A:$F,3,FALSE)</f>
        <v>1</v>
      </c>
      <c r="C45" s="123">
        <f>VLOOKUP(C$6,FSPVAR!$A:$F,3,FALSE)</f>
        <v>1</v>
      </c>
      <c r="D45" s="123">
        <f>VLOOKUP(D$6,FSPVAR!$A:$F,3,FALSE)</f>
        <v>1</v>
      </c>
      <c r="E45" s="123">
        <f>VLOOKUP(E$6,FSPVAR!$A:$F,3,FALSE)</f>
        <v>1</v>
      </c>
      <c r="F45" s="123">
        <f>VLOOKUP(F$6,FSPVAR!$A:$F,3,FALSE)</f>
        <v>1</v>
      </c>
      <c r="G45" s="123">
        <f>VLOOKUP(G$6,FSPVAR!$A:$F,3,FALSE)</f>
        <v>1</v>
      </c>
      <c r="H45" s="123">
        <f>VLOOKUP(H$6,FSPVAR!$A:$F,3,FALSE)</f>
        <v>1</v>
      </c>
      <c r="I45" s="123">
        <f>VLOOKUP(I$6,FSPVAR!$A:$F,3,FALSE)</f>
        <v>1</v>
      </c>
      <c r="J45" s="123"/>
    </row>
    <row r="46" spans="1:10" ht="12.75">
      <c r="A46" s="115" t="s">
        <v>893</v>
      </c>
      <c r="B46" s="124">
        <f>VLOOKUP(B$6,FSPVAR!$A:$F,4,FALSE)</f>
        <v>1</v>
      </c>
      <c r="C46" s="124">
        <f>VLOOKUP(C$6,FSPVAR!$A:$F,4,FALSE)</f>
        <v>1</v>
      </c>
      <c r="D46" s="124">
        <f>VLOOKUP(D$6,FSPVAR!$A:$F,4,FALSE)</f>
        <v>1</v>
      </c>
      <c r="E46" s="124">
        <f>VLOOKUP(E$6,FSPVAR!$A:$F,4,FALSE)</f>
        <v>1</v>
      </c>
      <c r="F46" s="124">
        <f>VLOOKUP(F$6,FSPVAR!$A:$F,4,FALSE)</f>
        <v>1</v>
      </c>
      <c r="G46" s="124">
        <f>VLOOKUP(G$6,FSPVAR!$A:$F,4,FALSE)</f>
        <v>1</v>
      </c>
      <c r="H46" s="124">
        <f>VLOOKUP(H$6,FSPVAR!$A:$F,4,FALSE)</f>
        <v>1</v>
      </c>
      <c r="I46" s="124">
        <f>VLOOKUP(I$6,FSPVAR!$A:$F,4,FALSE)</f>
        <v>1</v>
      </c>
      <c r="J46" s="124"/>
    </row>
    <row r="47" spans="1:10" ht="12.75">
      <c r="A47" s="115" t="s">
        <v>1063</v>
      </c>
      <c r="B47" s="124">
        <f>VLOOKUP(B$6,FSPVAR!$A:$F,5,FALSE)</f>
        <v>1</v>
      </c>
      <c r="C47" s="124">
        <f>VLOOKUP(C$6,FSPVAR!$A:$F,5,FALSE)</f>
        <v>1</v>
      </c>
      <c r="D47" s="124">
        <f>VLOOKUP(D$6,FSPVAR!$A:$F,5,FALSE)</f>
        <v>1</v>
      </c>
      <c r="E47" s="124">
        <f>VLOOKUP(E$6,FSPVAR!$A:$F,5,FALSE)</f>
        <v>1</v>
      </c>
      <c r="F47" s="124">
        <f>VLOOKUP(F$6,FSPVAR!$A:$F,5,FALSE)</f>
        <v>1</v>
      </c>
      <c r="G47" s="124">
        <f>VLOOKUP(G$6,FSPVAR!$A:$F,5,FALSE)</f>
        <v>1</v>
      </c>
      <c r="H47" s="124">
        <f>VLOOKUP(H$6,FSPVAR!$A:$F,5,FALSE)</f>
        <v>1</v>
      </c>
      <c r="I47" s="124">
        <f>VLOOKUP(I$6,FSPVAR!$A:$F,5,FALSE)</f>
        <v>1</v>
      </c>
      <c r="J47" s="124"/>
    </row>
    <row r="48" spans="1:10" ht="12.75">
      <c r="A48" s="115" t="s">
        <v>1064</v>
      </c>
      <c r="B48" s="124">
        <f>VLOOKUP(B$6,FSPVAR!$A:$F,6,FALSE)</f>
        <v>1</v>
      </c>
      <c r="C48" s="124">
        <f>VLOOKUP(C$6,FSPVAR!$A:$F,6,FALSE)</f>
        <v>1</v>
      </c>
      <c r="D48" s="124">
        <f>VLOOKUP(D$6,FSPVAR!$A:$F,6,FALSE)</f>
        <v>1</v>
      </c>
      <c r="E48" s="124">
        <f>VLOOKUP(E$6,FSPVAR!$A:$F,6,FALSE)</f>
        <v>1</v>
      </c>
      <c r="F48" s="124">
        <f>VLOOKUP(F$6,FSPVAR!$A:$F,6,FALSE)</f>
        <v>1</v>
      </c>
      <c r="G48" s="124">
        <f>VLOOKUP(G$6,FSPVAR!$A:$F,6,FALSE)</f>
        <v>1</v>
      </c>
      <c r="H48" s="124">
        <f>VLOOKUP(H$6,FSPVAR!$A:$F,6,FALSE)</f>
        <v>1</v>
      </c>
      <c r="I48" s="124">
        <f>VLOOKUP(I$6,FSPVAR!$A:$F,6,FALSE)</f>
        <v>1</v>
      </c>
      <c r="J48" s="124"/>
    </row>
    <row r="49" spans="1:10" ht="12.75">
      <c r="A49" s="112"/>
      <c r="B49" s="112"/>
      <c r="C49" s="112"/>
      <c r="D49" s="112"/>
      <c r="E49" s="112"/>
      <c r="F49" s="112"/>
      <c r="G49" s="112"/>
      <c r="H49" s="112"/>
      <c r="I49" s="112"/>
      <c r="J49" s="112"/>
    </row>
    <row r="50" spans="1:10" ht="12.75">
      <c r="A50" s="191" t="s">
        <v>1072</v>
      </c>
      <c r="B50" s="192">
        <f>'RISD1-8'!B50</f>
        <v>0.4</v>
      </c>
      <c r="C50" s="192">
        <f aca="true" t="shared" si="16" ref="C50:I50">B50</f>
        <v>0.4</v>
      </c>
      <c r="D50" s="192">
        <f t="shared" si="16"/>
        <v>0.4</v>
      </c>
      <c r="E50" s="192">
        <f t="shared" si="16"/>
        <v>0.4</v>
      </c>
      <c r="F50" s="192">
        <f t="shared" si="16"/>
        <v>0.4</v>
      </c>
      <c r="G50" s="192">
        <f t="shared" si="16"/>
        <v>0.4</v>
      </c>
      <c r="H50" s="192">
        <f t="shared" si="16"/>
        <v>0.4</v>
      </c>
      <c r="I50" s="192">
        <f t="shared" si="16"/>
        <v>0.4</v>
      </c>
      <c r="J50" s="192"/>
    </row>
    <row r="51" spans="1:10" ht="12.75">
      <c r="A51" s="112"/>
      <c r="B51" s="112"/>
      <c r="C51" s="112"/>
      <c r="D51" s="112"/>
      <c r="E51" s="112"/>
      <c r="F51" s="112"/>
      <c r="G51" s="112"/>
      <c r="H51" s="112"/>
      <c r="I51" s="112"/>
      <c r="J51" s="112"/>
    </row>
    <row r="52" spans="1:10" ht="12.75">
      <c r="A52" s="125" t="s">
        <v>893</v>
      </c>
      <c r="B52" s="126">
        <f aca="true" t="shared" si="17" ref="B52:I52">IF(B46&lt;7001,B46*B7*B50,B7*7000*B50)</f>
        <v>0</v>
      </c>
      <c r="C52" s="126">
        <f t="shared" si="17"/>
        <v>0</v>
      </c>
      <c r="D52" s="126">
        <f t="shared" si="17"/>
        <v>0</v>
      </c>
      <c r="E52" s="126">
        <f t="shared" si="17"/>
        <v>0</v>
      </c>
      <c r="F52" s="126">
        <f t="shared" si="17"/>
        <v>0</v>
      </c>
      <c r="G52" s="126">
        <f t="shared" si="17"/>
        <v>0</v>
      </c>
      <c r="H52" s="126">
        <f t="shared" si="17"/>
        <v>0</v>
      </c>
      <c r="I52" s="126">
        <f t="shared" si="17"/>
        <v>0</v>
      </c>
      <c r="J52" s="126">
        <f>SUM(B52:I52)</f>
        <v>0</v>
      </c>
    </row>
    <row r="53" spans="1:10" ht="12.75">
      <c r="A53" s="125"/>
      <c r="B53" s="127"/>
      <c r="C53" s="127"/>
      <c r="D53" s="127"/>
      <c r="E53" s="127"/>
      <c r="F53" s="127"/>
      <c r="G53" s="127"/>
      <c r="H53" s="127"/>
      <c r="I53" s="127"/>
      <c r="J53" s="127"/>
    </row>
    <row r="54" spans="1:10" ht="12.75">
      <c r="A54" s="125" t="s">
        <v>894</v>
      </c>
      <c r="B54" s="126">
        <f aca="true" t="shared" si="18" ref="B54:I54">B47*B42*B50</f>
        <v>0</v>
      </c>
      <c r="C54" s="126">
        <f t="shared" si="18"/>
        <v>0</v>
      </c>
      <c r="D54" s="126">
        <f t="shared" si="18"/>
        <v>0</v>
      </c>
      <c r="E54" s="126">
        <f t="shared" si="18"/>
        <v>0</v>
      </c>
      <c r="F54" s="126">
        <f t="shared" si="18"/>
        <v>0</v>
      </c>
      <c r="G54" s="126">
        <f t="shared" si="18"/>
        <v>0</v>
      </c>
      <c r="H54" s="126">
        <f t="shared" si="18"/>
        <v>0</v>
      </c>
      <c r="I54" s="126">
        <f t="shared" si="18"/>
        <v>0</v>
      </c>
      <c r="J54" s="126">
        <f>SUM(B54:I54)</f>
        <v>0</v>
      </c>
    </row>
    <row r="55" spans="1:10" ht="12.75">
      <c r="A55" s="125"/>
      <c r="B55" s="127"/>
      <c r="C55" s="127"/>
      <c r="D55" s="127"/>
      <c r="E55" s="127"/>
      <c r="F55" s="127"/>
      <c r="G55" s="127"/>
      <c r="H55" s="127"/>
      <c r="I55" s="127"/>
      <c r="J55" s="127"/>
    </row>
    <row r="56" spans="1:10" ht="25.5">
      <c r="A56" s="125" t="s">
        <v>895</v>
      </c>
      <c r="B56" s="126">
        <f aca="true" t="shared" si="19" ref="B56:I56">IF(B52&gt;B54,B52,B54)</f>
        <v>0</v>
      </c>
      <c r="C56" s="126">
        <f t="shared" si="19"/>
        <v>0</v>
      </c>
      <c r="D56" s="126">
        <f t="shared" si="19"/>
        <v>0</v>
      </c>
      <c r="E56" s="126">
        <f t="shared" si="19"/>
        <v>0</v>
      </c>
      <c r="F56" s="126">
        <f t="shared" si="19"/>
        <v>0</v>
      </c>
      <c r="G56" s="126">
        <f t="shared" si="19"/>
        <v>0</v>
      </c>
      <c r="H56" s="126">
        <f t="shared" si="19"/>
        <v>0</v>
      </c>
      <c r="I56" s="126">
        <f t="shared" si="19"/>
        <v>0</v>
      </c>
      <c r="J56" s="126">
        <f>SUM(B56:I56)</f>
        <v>0</v>
      </c>
    </row>
    <row r="57" spans="1:10" ht="12.75">
      <c r="A57" s="112"/>
      <c r="B57" s="128"/>
      <c r="C57" s="128"/>
      <c r="D57" s="128"/>
      <c r="E57" s="128"/>
      <c r="F57" s="128"/>
      <c r="G57" s="128"/>
      <c r="H57" s="128"/>
      <c r="I57" s="128"/>
      <c r="J57" s="128"/>
    </row>
    <row r="58" spans="1:10" ht="12.75">
      <c r="A58" s="129" t="s">
        <v>896</v>
      </c>
      <c r="B58" s="128"/>
      <c r="C58" s="128"/>
      <c r="D58" s="128"/>
      <c r="E58" s="128"/>
      <c r="F58" s="128"/>
      <c r="G58" s="128"/>
      <c r="H58" s="128"/>
      <c r="I58" s="128"/>
      <c r="J58" s="128"/>
    </row>
    <row r="59" spans="1:10" ht="12.75">
      <c r="A59" s="130" t="s">
        <v>914</v>
      </c>
      <c r="B59" s="131">
        <f aca="true" t="shared" si="20" ref="B59:I66">B31*B$48*B$50</f>
        <v>0</v>
      </c>
      <c r="C59" s="131">
        <f t="shared" si="20"/>
        <v>0</v>
      </c>
      <c r="D59" s="131">
        <f t="shared" si="20"/>
        <v>0</v>
      </c>
      <c r="E59" s="131">
        <f t="shared" si="20"/>
        <v>0</v>
      </c>
      <c r="F59" s="131">
        <f t="shared" si="20"/>
        <v>0</v>
      </c>
      <c r="G59" s="131">
        <f t="shared" si="20"/>
        <v>0</v>
      </c>
      <c r="H59" s="131">
        <f t="shared" si="20"/>
        <v>0</v>
      </c>
      <c r="I59" s="131">
        <f t="shared" si="20"/>
        <v>0</v>
      </c>
      <c r="J59" s="126">
        <f aca="true" t="shared" si="21" ref="J59:J73">SUM(B59:I59)</f>
        <v>0</v>
      </c>
    </row>
    <row r="60" spans="1:10" ht="12.75">
      <c r="A60" s="130" t="s">
        <v>1065</v>
      </c>
      <c r="B60" s="131">
        <f t="shared" si="20"/>
        <v>0</v>
      </c>
      <c r="C60" s="131">
        <f t="shared" si="20"/>
        <v>0</v>
      </c>
      <c r="D60" s="131">
        <f t="shared" si="20"/>
        <v>0</v>
      </c>
      <c r="E60" s="131">
        <f t="shared" si="20"/>
        <v>0</v>
      </c>
      <c r="F60" s="131">
        <f t="shared" si="20"/>
        <v>0</v>
      </c>
      <c r="G60" s="131">
        <f t="shared" si="20"/>
        <v>0</v>
      </c>
      <c r="H60" s="131">
        <f t="shared" si="20"/>
        <v>0</v>
      </c>
      <c r="I60" s="131">
        <f t="shared" si="20"/>
        <v>0</v>
      </c>
      <c r="J60" s="126">
        <f t="shared" si="21"/>
        <v>0</v>
      </c>
    </row>
    <row r="61" spans="1:10" ht="12.75">
      <c r="A61" s="130" t="s">
        <v>1066</v>
      </c>
      <c r="B61" s="131">
        <f t="shared" si="20"/>
        <v>0</v>
      </c>
      <c r="C61" s="131">
        <f t="shared" si="20"/>
        <v>0</v>
      </c>
      <c r="D61" s="131">
        <f t="shared" si="20"/>
        <v>0</v>
      </c>
      <c r="E61" s="131">
        <f t="shared" si="20"/>
        <v>0</v>
      </c>
      <c r="F61" s="131">
        <f t="shared" si="20"/>
        <v>0</v>
      </c>
      <c r="G61" s="131">
        <f t="shared" si="20"/>
        <v>0</v>
      </c>
      <c r="H61" s="131">
        <f t="shared" si="20"/>
        <v>0</v>
      </c>
      <c r="I61" s="131">
        <f t="shared" si="20"/>
        <v>0</v>
      </c>
      <c r="J61" s="126">
        <f t="shared" si="21"/>
        <v>0</v>
      </c>
    </row>
    <row r="62" spans="1:10" ht="12.75">
      <c r="A62" s="130" t="s">
        <v>1067</v>
      </c>
      <c r="B62" s="131">
        <f t="shared" si="20"/>
        <v>0</v>
      </c>
      <c r="C62" s="131">
        <f t="shared" si="20"/>
        <v>0</v>
      </c>
      <c r="D62" s="131">
        <f t="shared" si="20"/>
        <v>0</v>
      </c>
      <c r="E62" s="131">
        <f t="shared" si="20"/>
        <v>0</v>
      </c>
      <c r="F62" s="131">
        <f t="shared" si="20"/>
        <v>0</v>
      </c>
      <c r="G62" s="131">
        <f t="shared" si="20"/>
        <v>0</v>
      </c>
      <c r="H62" s="131">
        <f t="shared" si="20"/>
        <v>0</v>
      </c>
      <c r="I62" s="131">
        <f t="shared" si="20"/>
        <v>0</v>
      </c>
      <c r="J62" s="126">
        <f t="shared" si="21"/>
        <v>0</v>
      </c>
    </row>
    <row r="63" spans="1:10" ht="12.75">
      <c r="A63" s="130" t="s">
        <v>1068</v>
      </c>
      <c r="B63" s="131">
        <f t="shared" si="20"/>
        <v>0</v>
      </c>
      <c r="C63" s="131">
        <f t="shared" si="20"/>
        <v>0</v>
      </c>
      <c r="D63" s="131">
        <f t="shared" si="20"/>
        <v>0</v>
      </c>
      <c r="E63" s="131">
        <f t="shared" si="20"/>
        <v>0</v>
      </c>
      <c r="F63" s="131">
        <f t="shared" si="20"/>
        <v>0</v>
      </c>
      <c r="G63" s="131">
        <f t="shared" si="20"/>
        <v>0</v>
      </c>
      <c r="H63" s="131">
        <f t="shared" si="20"/>
        <v>0</v>
      </c>
      <c r="I63" s="131">
        <f t="shared" si="20"/>
        <v>0</v>
      </c>
      <c r="J63" s="126">
        <f t="shared" si="21"/>
        <v>0</v>
      </c>
    </row>
    <row r="64" spans="1:10" ht="12.75">
      <c r="A64" s="130" t="s">
        <v>1069</v>
      </c>
      <c r="B64" s="131">
        <f t="shared" si="20"/>
        <v>0</v>
      </c>
      <c r="C64" s="131">
        <f t="shared" si="20"/>
        <v>0</v>
      </c>
      <c r="D64" s="131">
        <f t="shared" si="20"/>
        <v>0</v>
      </c>
      <c r="E64" s="131">
        <f t="shared" si="20"/>
        <v>0</v>
      </c>
      <c r="F64" s="131">
        <f t="shared" si="20"/>
        <v>0</v>
      </c>
      <c r="G64" s="131">
        <f t="shared" si="20"/>
        <v>0</v>
      </c>
      <c r="H64" s="131">
        <f t="shared" si="20"/>
        <v>0</v>
      </c>
      <c r="I64" s="131">
        <f t="shared" si="20"/>
        <v>0</v>
      </c>
      <c r="J64" s="126">
        <f t="shared" si="21"/>
        <v>0</v>
      </c>
    </row>
    <row r="65" spans="1:10" ht="12.75">
      <c r="A65" s="130" t="s">
        <v>1070</v>
      </c>
      <c r="B65" s="131">
        <f t="shared" si="20"/>
        <v>0</v>
      </c>
      <c r="C65" s="131">
        <f t="shared" si="20"/>
        <v>0</v>
      </c>
      <c r="D65" s="131">
        <f t="shared" si="20"/>
        <v>0</v>
      </c>
      <c r="E65" s="131">
        <f t="shared" si="20"/>
        <v>0</v>
      </c>
      <c r="F65" s="131">
        <f t="shared" si="20"/>
        <v>0</v>
      </c>
      <c r="G65" s="131">
        <f t="shared" si="20"/>
        <v>0</v>
      </c>
      <c r="H65" s="131">
        <f t="shared" si="20"/>
        <v>0</v>
      </c>
      <c r="I65" s="131">
        <f t="shared" si="20"/>
        <v>0</v>
      </c>
      <c r="J65" s="126">
        <f t="shared" si="21"/>
        <v>0</v>
      </c>
    </row>
    <row r="66" spans="1:10" ht="12.75">
      <c r="A66" s="130" t="s">
        <v>1071</v>
      </c>
      <c r="B66" s="131">
        <f t="shared" si="20"/>
        <v>0</v>
      </c>
      <c r="C66" s="131">
        <f t="shared" si="20"/>
        <v>0</v>
      </c>
      <c r="D66" s="131">
        <f t="shared" si="20"/>
        <v>0</v>
      </c>
      <c r="E66" s="131">
        <f t="shared" si="20"/>
        <v>0</v>
      </c>
      <c r="F66" s="131">
        <f t="shared" si="20"/>
        <v>0</v>
      </c>
      <c r="G66" s="131">
        <f t="shared" si="20"/>
        <v>0</v>
      </c>
      <c r="H66" s="131">
        <f t="shared" si="20"/>
        <v>0</v>
      </c>
      <c r="I66" s="131">
        <f t="shared" si="20"/>
        <v>0</v>
      </c>
      <c r="J66" s="126">
        <f t="shared" si="21"/>
        <v>0</v>
      </c>
    </row>
    <row r="67" spans="1:10" ht="12.75">
      <c r="A67" s="152" t="s">
        <v>1177</v>
      </c>
      <c r="B67" s="131">
        <f>B21*B$48*B$50*0.75</f>
        <v>0</v>
      </c>
      <c r="C67" s="131">
        <f aca="true" t="shared" si="22" ref="C67:I67">C21*C$48*C$50*0.75</f>
        <v>0</v>
      </c>
      <c r="D67" s="131">
        <f t="shared" si="22"/>
        <v>0</v>
      </c>
      <c r="E67" s="131">
        <f t="shared" si="22"/>
        <v>0</v>
      </c>
      <c r="F67" s="131">
        <f t="shared" si="22"/>
        <v>0</v>
      </c>
      <c r="G67" s="131">
        <f t="shared" si="22"/>
        <v>0</v>
      </c>
      <c r="H67" s="131">
        <f t="shared" si="22"/>
        <v>0</v>
      </c>
      <c r="I67" s="131">
        <f t="shared" si="22"/>
        <v>0</v>
      </c>
      <c r="J67" s="126">
        <f t="shared" si="21"/>
        <v>0</v>
      </c>
    </row>
    <row r="68" spans="1:10" ht="15.75">
      <c r="A68" s="87" t="s">
        <v>934</v>
      </c>
      <c r="B68" s="131">
        <f>SUM(B59:B67)</f>
        <v>0</v>
      </c>
      <c r="C68" s="131">
        <f aca="true" t="shared" si="23" ref="C68:I68">SUM(C59:C67)</f>
        <v>0</v>
      </c>
      <c r="D68" s="131">
        <f t="shared" si="23"/>
        <v>0</v>
      </c>
      <c r="E68" s="131">
        <f t="shared" si="23"/>
        <v>0</v>
      </c>
      <c r="F68" s="131">
        <f t="shared" si="23"/>
        <v>0</v>
      </c>
      <c r="G68" s="131">
        <f t="shared" si="23"/>
        <v>0</v>
      </c>
      <c r="H68" s="131">
        <f t="shared" si="23"/>
        <v>0</v>
      </c>
      <c r="I68" s="131">
        <f t="shared" si="23"/>
        <v>0</v>
      </c>
      <c r="J68" s="126">
        <f t="shared" si="21"/>
        <v>0</v>
      </c>
    </row>
    <row r="69" spans="1:10" ht="16.5" thickBot="1">
      <c r="A69" s="87" t="s">
        <v>935</v>
      </c>
      <c r="B69" s="132">
        <f aca="true" t="shared" si="24" ref="B69:I69">IF(B52&gt;B54,B52-B68,B54-B68)</f>
        <v>0</v>
      </c>
      <c r="C69" s="132">
        <f t="shared" si="24"/>
        <v>0</v>
      </c>
      <c r="D69" s="132">
        <f t="shared" si="24"/>
        <v>0</v>
      </c>
      <c r="E69" s="132">
        <f t="shared" si="24"/>
        <v>0</v>
      </c>
      <c r="F69" s="132">
        <f t="shared" si="24"/>
        <v>0</v>
      </c>
      <c r="G69" s="132">
        <f t="shared" si="24"/>
        <v>0</v>
      </c>
      <c r="H69" s="132">
        <f t="shared" si="24"/>
        <v>0</v>
      </c>
      <c r="I69" s="132">
        <f t="shared" si="24"/>
        <v>0</v>
      </c>
      <c r="J69" s="133">
        <f t="shared" si="21"/>
        <v>0</v>
      </c>
    </row>
    <row r="70" spans="1:10" ht="16.5" thickBot="1">
      <c r="A70" s="88" t="s">
        <v>936</v>
      </c>
      <c r="B70" s="135">
        <f aca="true" t="shared" si="25" ref="B70:I70">B68+B69</f>
        <v>0</v>
      </c>
      <c r="C70" s="135">
        <f t="shared" si="25"/>
        <v>0</v>
      </c>
      <c r="D70" s="135">
        <f t="shared" si="25"/>
        <v>0</v>
      </c>
      <c r="E70" s="135">
        <f t="shared" si="25"/>
        <v>0</v>
      </c>
      <c r="F70" s="135">
        <f t="shared" si="25"/>
        <v>0</v>
      </c>
      <c r="G70" s="135">
        <f t="shared" si="25"/>
        <v>0</v>
      </c>
      <c r="H70" s="135">
        <f t="shared" si="25"/>
        <v>0</v>
      </c>
      <c r="I70" s="135">
        <f t="shared" si="25"/>
        <v>0</v>
      </c>
      <c r="J70" s="136">
        <f t="shared" si="21"/>
        <v>0</v>
      </c>
    </row>
    <row r="71" spans="1:10" ht="13.5" thickTop="1">
      <c r="A71" s="129" t="s">
        <v>912</v>
      </c>
      <c r="B71" s="137">
        <f aca="true" t="shared" si="26" ref="B71:I71">B7*30*B50</f>
        <v>0</v>
      </c>
      <c r="C71" s="137">
        <f t="shared" si="26"/>
        <v>0</v>
      </c>
      <c r="D71" s="137">
        <f t="shared" si="26"/>
        <v>0</v>
      </c>
      <c r="E71" s="137">
        <f t="shared" si="26"/>
        <v>0</v>
      </c>
      <c r="F71" s="137">
        <f t="shared" si="26"/>
        <v>0</v>
      </c>
      <c r="G71" s="137">
        <f t="shared" si="26"/>
        <v>0</v>
      </c>
      <c r="H71" s="137">
        <f t="shared" si="26"/>
        <v>0</v>
      </c>
      <c r="I71" s="137">
        <f t="shared" si="26"/>
        <v>0</v>
      </c>
      <c r="J71" s="138">
        <f t="shared" si="21"/>
        <v>0</v>
      </c>
    </row>
    <row r="72" spans="1:10" ht="12.75">
      <c r="A72" s="139" t="s">
        <v>913</v>
      </c>
      <c r="B72" s="140">
        <f aca="true" t="shared" si="27" ref="B72:I72">B42*110*B50</f>
        <v>0</v>
      </c>
      <c r="C72" s="140">
        <f t="shared" si="27"/>
        <v>0</v>
      </c>
      <c r="D72" s="140">
        <f t="shared" si="27"/>
        <v>0</v>
      </c>
      <c r="E72" s="140">
        <f t="shared" si="27"/>
        <v>0</v>
      </c>
      <c r="F72" s="140">
        <f t="shared" si="27"/>
        <v>0</v>
      </c>
      <c r="G72" s="140">
        <f t="shared" si="27"/>
        <v>0</v>
      </c>
      <c r="H72" s="140">
        <f t="shared" si="27"/>
        <v>0</v>
      </c>
      <c r="I72" s="140">
        <f t="shared" si="27"/>
        <v>0</v>
      </c>
      <c r="J72" s="141">
        <f t="shared" si="21"/>
        <v>0</v>
      </c>
    </row>
    <row r="73" spans="1:10" ht="13.5" thickBot="1">
      <c r="A73" s="134" t="s">
        <v>1039</v>
      </c>
      <c r="B73" s="142">
        <f aca="true" t="shared" si="28" ref="B73:I73">SUM(B70:B72)</f>
        <v>0</v>
      </c>
      <c r="C73" s="142">
        <f t="shared" si="28"/>
        <v>0</v>
      </c>
      <c r="D73" s="142">
        <f t="shared" si="28"/>
        <v>0</v>
      </c>
      <c r="E73" s="142">
        <f t="shared" si="28"/>
        <v>0</v>
      </c>
      <c r="F73" s="142">
        <f t="shared" si="28"/>
        <v>0</v>
      </c>
      <c r="G73" s="142">
        <f t="shared" si="28"/>
        <v>0</v>
      </c>
      <c r="H73" s="142">
        <f t="shared" si="28"/>
        <v>0</v>
      </c>
      <c r="I73" s="142">
        <f t="shared" si="28"/>
        <v>0</v>
      </c>
      <c r="J73" s="143">
        <f t="shared" si="21"/>
        <v>0</v>
      </c>
    </row>
    <row r="74" ht="13.5" thickTop="1"/>
  </sheetData>
  <sheetProtection password="EE5D" sheet="1"/>
  <mergeCells count="3">
    <mergeCell ref="A1:J1"/>
    <mergeCell ref="A2:J2"/>
    <mergeCell ref="A3:J3"/>
  </mergeCells>
  <printOptions headings="1" horizontalCentered="1"/>
  <pageMargins left="0.5" right="0.5" top="1" bottom="1" header="0.5" footer="0.5"/>
  <pageSetup cellComments="asDisplayed" fitToHeight="1" fitToWidth="1" horizontalDpi="600" verticalDpi="600" orientation="portrait" scale="60" r:id="rId3"/>
  <headerFooter alignWithMargins="0">
    <oddFooter>&amp;C&amp;A
Printed on &amp;D</oddFooter>
  </headerFooter>
  <rowBreaks count="1" manualBreakCount="1">
    <brk id="42" max="9" man="1"/>
  </rowBreaks>
  <legacyDrawing r:id="rId2"/>
</worksheet>
</file>

<file path=xl/worksheets/sheet11.xml><?xml version="1.0" encoding="utf-8"?>
<worksheet xmlns="http://schemas.openxmlformats.org/spreadsheetml/2006/main" xmlns:r="http://schemas.openxmlformats.org/officeDocument/2006/relationships">
  <dimension ref="A1:K1700"/>
  <sheetViews>
    <sheetView zoomScalePageLayoutView="0" workbookViewId="0" topLeftCell="A1">
      <selection activeCell="A2" sqref="A2"/>
    </sheetView>
  </sheetViews>
  <sheetFormatPr defaultColWidth="9.140625" defaultRowHeight="12.75"/>
  <cols>
    <col min="1" max="1" width="9.140625" style="31" customWidth="1"/>
    <col min="2" max="2" width="32.57421875" style="31" customWidth="1"/>
    <col min="3" max="6" width="9.140625" style="31" customWidth="1"/>
    <col min="7" max="7" width="9.140625" style="284" customWidth="1"/>
    <col min="8" max="16384" width="9.140625" style="31" customWidth="1"/>
  </cols>
  <sheetData>
    <row r="1" spans="1:11" ht="12.75">
      <c r="A1" s="162" t="s">
        <v>1181</v>
      </c>
      <c r="B1" s="162"/>
      <c r="C1" s="162"/>
      <c r="D1" s="162"/>
      <c r="E1" s="162"/>
      <c r="F1" s="162"/>
      <c r="G1" s="279"/>
      <c r="H1" s="163"/>
      <c r="I1" s="164"/>
      <c r="J1" s="164"/>
      <c r="K1" s="164"/>
    </row>
    <row r="2" spans="1:11" ht="12.75">
      <c r="A2" s="165" t="s">
        <v>29</v>
      </c>
      <c r="B2" s="165" t="s">
        <v>30</v>
      </c>
      <c r="C2" s="166" t="s">
        <v>31</v>
      </c>
      <c r="D2" s="167" t="s">
        <v>32</v>
      </c>
      <c r="E2" s="167" t="s">
        <v>33</v>
      </c>
      <c r="F2" s="167" t="s">
        <v>744</v>
      </c>
      <c r="G2" s="280" t="s">
        <v>34</v>
      </c>
      <c r="H2" s="165" t="s">
        <v>35</v>
      </c>
      <c r="I2" s="165" t="s">
        <v>36</v>
      </c>
      <c r="J2" s="165" t="s">
        <v>739</v>
      </c>
      <c r="K2" s="165" t="s">
        <v>1023</v>
      </c>
    </row>
    <row r="3" spans="1:11" ht="63.75">
      <c r="A3" s="168" t="s">
        <v>898</v>
      </c>
      <c r="B3" s="169" t="s">
        <v>899</v>
      </c>
      <c r="C3" s="170" t="s">
        <v>900</v>
      </c>
      <c r="D3" s="171" t="s">
        <v>901</v>
      </c>
      <c r="E3" s="171" t="s">
        <v>902</v>
      </c>
      <c r="F3" s="171" t="s">
        <v>983</v>
      </c>
      <c r="G3" s="281" t="s">
        <v>37</v>
      </c>
      <c r="H3" s="172" t="s">
        <v>787</v>
      </c>
      <c r="I3" s="173" t="s">
        <v>788</v>
      </c>
      <c r="J3" s="173" t="s">
        <v>740</v>
      </c>
      <c r="K3" s="173" t="s">
        <v>1022</v>
      </c>
    </row>
    <row r="4" spans="1:11" ht="12.75">
      <c r="A4" s="174">
        <v>0</v>
      </c>
      <c r="B4" s="175" t="s">
        <v>779</v>
      </c>
      <c r="C4" s="176">
        <v>1</v>
      </c>
      <c r="D4" s="173">
        <v>1</v>
      </c>
      <c r="E4" s="173">
        <v>1</v>
      </c>
      <c r="F4" s="173">
        <v>1</v>
      </c>
      <c r="G4" s="282">
        <v>1</v>
      </c>
      <c r="H4" s="173">
        <v>1</v>
      </c>
      <c r="I4" s="177">
        <v>0</v>
      </c>
      <c r="J4" s="177">
        <v>0</v>
      </c>
      <c r="K4" s="177">
        <v>0</v>
      </c>
    </row>
    <row r="5" spans="1:11" ht="12.75">
      <c r="A5" s="303" t="s">
        <v>1164</v>
      </c>
      <c r="B5" s="175" t="s">
        <v>779</v>
      </c>
      <c r="C5" s="176">
        <v>1</v>
      </c>
      <c r="D5" s="173">
        <v>1</v>
      </c>
      <c r="E5" s="173">
        <v>1</v>
      </c>
      <c r="F5" s="173">
        <v>1</v>
      </c>
      <c r="G5" s="173">
        <v>1</v>
      </c>
      <c r="H5" s="173">
        <v>1</v>
      </c>
      <c r="I5" s="173">
        <v>1</v>
      </c>
      <c r="J5" s="173">
        <v>1</v>
      </c>
      <c r="K5" s="173">
        <v>1</v>
      </c>
    </row>
    <row r="6" spans="1:11" ht="12.75">
      <c r="A6">
        <v>1902</v>
      </c>
      <c r="B6" t="s">
        <v>196</v>
      </c>
      <c r="C6">
        <v>1.2819274775</v>
      </c>
      <c r="D6">
        <v>7000</v>
      </c>
      <c r="E6">
        <v>5673.7661886</v>
      </c>
      <c r="F6">
        <v>4169</v>
      </c>
      <c r="G6">
        <v>3400.0331707</v>
      </c>
      <c r="H6">
        <v>4125.9073171</v>
      </c>
      <c r="I6">
        <v>0.1133931707</v>
      </c>
      <c r="J6">
        <v>0.0570913171</v>
      </c>
      <c r="K6">
        <v>0.0343474146</v>
      </c>
    </row>
    <row r="7" spans="1:11" ht="12.75">
      <c r="A7">
        <v>1903</v>
      </c>
      <c r="B7" t="s">
        <v>197</v>
      </c>
      <c r="C7">
        <v>1.1198800367</v>
      </c>
      <c r="D7">
        <v>2878.0585257</v>
      </c>
      <c r="E7">
        <v>4919.9521567</v>
      </c>
      <c r="F7">
        <v>3642</v>
      </c>
      <c r="G7">
        <v>3400.0331707</v>
      </c>
      <c r="H7">
        <v>4125.9073171</v>
      </c>
      <c r="I7">
        <v>0.1133931707</v>
      </c>
      <c r="J7">
        <v>0.0570913171</v>
      </c>
      <c r="K7">
        <v>0.0343474146</v>
      </c>
    </row>
    <row r="8" spans="1:11" ht="12.75">
      <c r="A8">
        <v>1904</v>
      </c>
      <c r="B8" t="s">
        <v>198</v>
      </c>
      <c r="C8">
        <v>1.2582507167</v>
      </c>
      <c r="D8">
        <v>5259.8338642</v>
      </c>
      <c r="E8">
        <v>4520.4578199</v>
      </c>
      <c r="F8">
        <v>4092</v>
      </c>
      <c r="G8">
        <v>3400.0331707</v>
      </c>
      <c r="H8">
        <v>4125.9073171</v>
      </c>
      <c r="I8">
        <v>0.1133931707</v>
      </c>
      <c r="J8">
        <v>0.0570913171</v>
      </c>
      <c r="K8">
        <v>0.0343474146</v>
      </c>
    </row>
    <row r="9" spans="1:11" ht="12.75">
      <c r="A9">
        <v>1906</v>
      </c>
      <c r="B9" t="s">
        <v>199</v>
      </c>
      <c r="C9">
        <v>1.3280510375</v>
      </c>
      <c r="D9">
        <v>3986.9158628</v>
      </c>
      <c r="E9">
        <v>4581.2668168</v>
      </c>
      <c r="F9">
        <v>4319</v>
      </c>
      <c r="G9">
        <v>3400.0331707</v>
      </c>
      <c r="H9">
        <v>4125.9073171</v>
      </c>
      <c r="I9">
        <v>0.1133931707</v>
      </c>
      <c r="J9">
        <v>0.0570913171</v>
      </c>
      <c r="K9">
        <v>0.0343474146</v>
      </c>
    </row>
    <row r="10" spans="1:11" ht="12.75">
      <c r="A10">
        <v>1907</v>
      </c>
      <c r="B10" t="s">
        <v>982</v>
      </c>
      <c r="C10">
        <v>1.0763842358</v>
      </c>
      <c r="D10">
        <v>4611.2657829</v>
      </c>
      <c r="E10">
        <v>4947.0944606</v>
      </c>
      <c r="F10">
        <v>3536</v>
      </c>
      <c r="G10">
        <v>3400.0331707</v>
      </c>
      <c r="H10">
        <v>4125.9073171</v>
      </c>
      <c r="I10">
        <v>0.1133931707</v>
      </c>
      <c r="J10">
        <v>0.0570913171</v>
      </c>
      <c r="K10">
        <v>0.0343474146</v>
      </c>
    </row>
    <row r="11" spans="1:11" ht="12.75">
      <c r="A11">
        <v>1908</v>
      </c>
      <c r="B11" t="s">
        <v>200</v>
      </c>
      <c r="C11">
        <v>1.1059838789</v>
      </c>
      <c r="D11">
        <v>3738.7058477</v>
      </c>
      <c r="E11">
        <v>4640.8690109</v>
      </c>
      <c r="F11">
        <v>3621</v>
      </c>
      <c r="G11">
        <v>3400.0331707</v>
      </c>
      <c r="H11">
        <v>4125.9073171</v>
      </c>
      <c r="I11">
        <v>0.1133931707</v>
      </c>
      <c r="J11">
        <v>0.0570913171</v>
      </c>
      <c r="K11">
        <v>0.0343474146</v>
      </c>
    </row>
    <row r="12" spans="1:11" ht="12.75">
      <c r="A12">
        <v>1909</v>
      </c>
      <c r="B12" t="s">
        <v>201</v>
      </c>
      <c r="C12">
        <v>1.3357382974</v>
      </c>
      <c r="D12">
        <v>4010.9565261</v>
      </c>
      <c r="E12">
        <v>4401.4593858</v>
      </c>
      <c r="F12">
        <v>4344</v>
      </c>
      <c r="G12">
        <v>3400.0331707</v>
      </c>
      <c r="H12">
        <v>4125.9073171</v>
      </c>
      <c r="I12">
        <v>0.1133931707</v>
      </c>
      <c r="J12">
        <v>0.0570913171</v>
      </c>
      <c r="K12">
        <v>0.0343474146</v>
      </c>
    </row>
    <row r="13" spans="1:11" ht="12.75">
      <c r="A13">
        <v>3902</v>
      </c>
      <c r="B13" t="s">
        <v>202</v>
      </c>
      <c r="C13">
        <v>1.0846294012</v>
      </c>
      <c r="D13">
        <v>2343.7259152</v>
      </c>
      <c r="E13">
        <v>4653.3431184</v>
      </c>
      <c r="F13">
        <v>3539</v>
      </c>
      <c r="G13">
        <v>3400.0331707</v>
      </c>
      <c r="H13">
        <v>4125.9073171</v>
      </c>
      <c r="I13">
        <v>0.1133931707</v>
      </c>
      <c r="J13">
        <v>0.0570913171</v>
      </c>
      <c r="K13">
        <v>0.0343474146</v>
      </c>
    </row>
    <row r="14" spans="1:11" ht="12.75">
      <c r="A14">
        <v>3903</v>
      </c>
      <c r="B14" t="s">
        <v>203</v>
      </c>
      <c r="C14">
        <v>1.0212865134</v>
      </c>
      <c r="D14">
        <v>3551.4029255</v>
      </c>
      <c r="E14">
        <v>4490.5518565</v>
      </c>
      <c r="F14">
        <v>3355</v>
      </c>
      <c r="G14">
        <v>3400.0331707</v>
      </c>
      <c r="H14">
        <v>4125.9073171</v>
      </c>
      <c r="I14">
        <v>0.1133931707</v>
      </c>
      <c r="J14">
        <v>0.0570913171</v>
      </c>
      <c r="K14">
        <v>0.0343474146</v>
      </c>
    </row>
    <row r="15" spans="1:11" ht="12.75">
      <c r="A15">
        <v>3904</v>
      </c>
      <c r="B15" t="s">
        <v>204</v>
      </c>
      <c r="C15">
        <v>1.1027116659</v>
      </c>
      <c r="D15">
        <v>1576.6981469</v>
      </c>
      <c r="E15">
        <v>4625.4403877</v>
      </c>
      <c r="F15">
        <v>3598</v>
      </c>
      <c r="G15">
        <v>3400.0331707</v>
      </c>
      <c r="H15">
        <v>4125.9073171</v>
      </c>
      <c r="I15">
        <v>0.1133931707</v>
      </c>
      <c r="J15">
        <v>0.0570913171</v>
      </c>
      <c r="K15">
        <v>0.0343474146</v>
      </c>
    </row>
    <row r="16" spans="1:11" ht="12.75">
      <c r="A16">
        <v>3905</v>
      </c>
      <c r="B16" t="s">
        <v>205</v>
      </c>
      <c r="C16">
        <v>1.1092602249</v>
      </c>
      <c r="D16">
        <v>2458.1698932</v>
      </c>
      <c r="E16">
        <v>4385.2576918</v>
      </c>
      <c r="F16">
        <v>3644</v>
      </c>
      <c r="G16">
        <v>3400.0331707</v>
      </c>
      <c r="H16">
        <v>4125.9073171</v>
      </c>
      <c r="I16">
        <v>0.1133931707</v>
      </c>
      <c r="J16">
        <v>0.0570913171</v>
      </c>
      <c r="K16">
        <v>0.0343474146</v>
      </c>
    </row>
    <row r="17" spans="1:11" ht="12.75">
      <c r="A17">
        <v>3906</v>
      </c>
      <c r="B17" t="s">
        <v>264</v>
      </c>
      <c r="C17">
        <v>1.3166738927</v>
      </c>
      <c r="D17">
        <v>2025.8422643</v>
      </c>
      <c r="E17">
        <v>4106.11655</v>
      </c>
      <c r="F17">
        <v>4282</v>
      </c>
      <c r="G17">
        <v>3400.0331707</v>
      </c>
      <c r="H17">
        <v>4125.9073171</v>
      </c>
      <c r="I17">
        <v>0.1133931707</v>
      </c>
      <c r="J17">
        <v>0.0570913171</v>
      </c>
      <c r="K17">
        <v>0.0343474146</v>
      </c>
    </row>
    <row r="18" spans="1:11" ht="12.75">
      <c r="A18">
        <v>3907</v>
      </c>
      <c r="B18" t="s">
        <v>265</v>
      </c>
      <c r="C18">
        <v>1.1076153309</v>
      </c>
      <c r="D18">
        <v>2270.7403798</v>
      </c>
      <c r="E18">
        <v>4395.3810371</v>
      </c>
      <c r="F18">
        <v>3614</v>
      </c>
      <c r="G18">
        <v>3400.0331707</v>
      </c>
      <c r="H18">
        <v>4125.9073171</v>
      </c>
      <c r="I18">
        <v>0.1133931707</v>
      </c>
      <c r="J18">
        <v>0.0570913171</v>
      </c>
      <c r="K18">
        <v>0.0343474146</v>
      </c>
    </row>
    <row r="19" spans="1:11" ht="12.75">
      <c r="A19">
        <v>5901</v>
      </c>
      <c r="B19" t="s">
        <v>266</v>
      </c>
      <c r="C19">
        <v>1.5236375759</v>
      </c>
      <c r="D19">
        <v>6484.5241984</v>
      </c>
      <c r="E19">
        <v>4983.542284</v>
      </c>
      <c r="F19">
        <v>5022</v>
      </c>
      <c r="G19">
        <v>3400.0331707</v>
      </c>
      <c r="H19">
        <v>4125.9073171</v>
      </c>
      <c r="I19">
        <v>0.1133931707</v>
      </c>
      <c r="J19">
        <v>0.0570913171</v>
      </c>
      <c r="K19">
        <v>0.0343474146</v>
      </c>
    </row>
    <row r="20" spans="1:11" ht="12.75">
      <c r="A20">
        <v>5902</v>
      </c>
      <c r="B20" t="s">
        <v>267</v>
      </c>
      <c r="C20">
        <v>1.232128961</v>
      </c>
      <c r="D20">
        <v>4012.3949706</v>
      </c>
      <c r="E20">
        <v>4567.8236798</v>
      </c>
      <c r="F20">
        <v>4034</v>
      </c>
      <c r="G20">
        <v>3400.0331707</v>
      </c>
      <c r="H20">
        <v>4125.9073171</v>
      </c>
      <c r="I20">
        <v>0.1133931707</v>
      </c>
      <c r="J20">
        <v>0.0570913171</v>
      </c>
      <c r="K20">
        <v>0.0343474146</v>
      </c>
    </row>
    <row r="21" spans="1:11" ht="12.75">
      <c r="A21">
        <v>5904</v>
      </c>
      <c r="B21" t="s">
        <v>268</v>
      </c>
      <c r="C21">
        <v>1.3193012664</v>
      </c>
      <c r="D21">
        <v>2704.6046001</v>
      </c>
      <c r="E21">
        <v>5136.9430741</v>
      </c>
      <c r="F21">
        <v>4334</v>
      </c>
      <c r="G21">
        <v>3400.0331707</v>
      </c>
      <c r="H21">
        <v>4125.9073171</v>
      </c>
      <c r="I21">
        <v>0.1133931707</v>
      </c>
      <c r="J21">
        <v>0.0570913171</v>
      </c>
      <c r="K21">
        <v>0.0343474146</v>
      </c>
    </row>
    <row r="22" spans="1:11" ht="12.75">
      <c r="A22">
        <v>7901</v>
      </c>
      <c r="B22" t="s">
        <v>1137</v>
      </c>
      <c r="C22">
        <v>1.3274990959</v>
      </c>
      <c r="D22">
        <v>3406.557357</v>
      </c>
      <c r="E22">
        <v>4762.5782404</v>
      </c>
      <c r="F22">
        <v>4390</v>
      </c>
      <c r="G22">
        <v>3400.0331707</v>
      </c>
      <c r="H22">
        <v>4125.9073171</v>
      </c>
      <c r="I22">
        <v>0.1133931707</v>
      </c>
      <c r="J22">
        <v>0.0570913171</v>
      </c>
      <c r="K22">
        <v>0.0343474146</v>
      </c>
    </row>
    <row r="23" spans="1:11" ht="12.75">
      <c r="A23">
        <v>7904</v>
      </c>
      <c r="B23" t="s">
        <v>269</v>
      </c>
      <c r="C23">
        <v>1.1152711528</v>
      </c>
      <c r="D23">
        <v>2215.7840704</v>
      </c>
      <c r="E23">
        <v>4546.7941944</v>
      </c>
      <c r="F23">
        <v>3676</v>
      </c>
      <c r="G23">
        <v>3400.0331707</v>
      </c>
      <c r="H23">
        <v>4125.9073171</v>
      </c>
      <c r="I23">
        <v>0.1133931707</v>
      </c>
      <c r="J23">
        <v>0.0570913171</v>
      </c>
      <c r="K23">
        <v>0.0343474146</v>
      </c>
    </row>
    <row r="24" spans="1:11" ht="12.75">
      <c r="A24">
        <v>7905</v>
      </c>
      <c r="B24" t="s">
        <v>794</v>
      </c>
      <c r="C24">
        <v>1.0819571219</v>
      </c>
      <c r="D24">
        <v>2913.4635306</v>
      </c>
      <c r="E24">
        <v>4509.1835147</v>
      </c>
      <c r="F24">
        <v>3578</v>
      </c>
      <c r="G24">
        <v>3400.0331707</v>
      </c>
      <c r="H24">
        <v>4125.9073171</v>
      </c>
      <c r="I24">
        <v>0.1133931707</v>
      </c>
      <c r="J24">
        <v>0.0570913171</v>
      </c>
      <c r="K24">
        <v>0.0343474146</v>
      </c>
    </row>
    <row r="25" spans="1:11" ht="12.75">
      <c r="A25">
        <v>7906</v>
      </c>
      <c r="B25" t="s">
        <v>270</v>
      </c>
      <c r="C25">
        <v>1.1230314803</v>
      </c>
      <c r="D25">
        <v>2210.7009763</v>
      </c>
      <c r="E25">
        <v>4675.6498967</v>
      </c>
      <c r="F25">
        <v>3726</v>
      </c>
      <c r="G25">
        <v>3400.0331707</v>
      </c>
      <c r="H25">
        <v>4125.9073171</v>
      </c>
      <c r="I25">
        <v>0.1133931707</v>
      </c>
      <c r="J25">
        <v>0.0570913171</v>
      </c>
      <c r="K25">
        <v>0.0343474146</v>
      </c>
    </row>
    <row r="26" spans="1:11" ht="12.75">
      <c r="A26">
        <v>8902</v>
      </c>
      <c r="B26" t="s">
        <v>795</v>
      </c>
      <c r="C26">
        <v>1.1181715669</v>
      </c>
      <c r="D26">
        <v>5493.6144332</v>
      </c>
      <c r="E26">
        <v>4800.1944826</v>
      </c>
      <c r="F26">
        <v>3757</v>
      </c>
      <c r="G26">
        <v>3400.0331707</v>
      </c>
      <c r="H26">
        <v>4125.9073171</v>
      </c>
      <c r="I26">
        <v>0.1133931707</v>
      </c>
      <c r="J26">
        <v>0.0570913171</v>
      </c>
      <c r="K26">
        <v>0.0343474146</v>
      </c>
    </row>
    <row r="27" spans="1:11" ht="12.75">
      <c r="A27">
        <v>8903</v>
      </c>
      <c r="B27" t="s">
        <v>271</v>
      </c>
      <c r="C27">
        <v>1.2684238593</v>
      </c>
      <c r="D27">
        <v>6697.1401684</v>
      </c>
      <c r="E27">
        <v>5147.5399486</v>
      </c>
      <c r="F27">
        <v>4235</v>
      </c>
      <c r="G27">
        <v>3400.0331707</v>
      </c>
      <c r="H27">
        <v>4125.9073171</v>
      </c>
      <c r="I27">
        <v>0.1133931707</v>
      </c>
      <c r="J27">
        <v>0.0570913171</v>
      </c>
      <c r="K27">
        <v>0.0343474146</v>
      </c>
    </row>
    <row r="28" spans="1:11" ht="12.75">
      <c r="A28">
        <v>11901</v>
      </c>
      <c r="B28" t="s">
        <v>272</v>
      </c>
      <c r="C28">
        <v>1.0354257303</v>
      </c>
      <c r="D28">
        <v>4025.7069258</v>
      </c>
      <c r="E28">
        <v>4448.9255578</v>
      </c>
      <c r="F28">
        <v>3446</v>
      </c>
      <c r="G28">
        <v>3400.0331707</v>
      </c>
      <c r="H28">
        <v>4125.9073171</v>
      </c>
      <c r="I28">
        <v>0.1133931707</v>
      </c>
      <c r="J28">
        <v>0.0570913171</v>
      </c>
      <c r="K28">
        <v>0.0343474146</v>
      </c>
    </row>
    <row r="29" spans="1:11" ht="12.75">
      <c r="A29">
        <v>11902</v>
      </c>
      <c r="B29" t="s">
        <v>273</v>
      </c>
      <c r="C29">
        <v>1.076012449</v>
      </c>
      <c r="D29">
        <v>3379.8805119</v>
      </c>
      <c r="E29">
        <v>4524.9760374</v>
      </c>
      <c r="F29">
        <v>3570</v>
      </c>
      <c r="G29">
        <v>3400.0331707</v>
      </c>
      <c r="H29">
        <v>4125.9073171</v>
      </c>
      <c r="I29">
        <v>0.1133931707</v>
      </c>
      <c r="J29">
        <v>0.0570913171</v>
      </c>
      <c r="K29">
        <v>0.0343474146</v>
      </c>
    </row>
    <row r="30" spans="1:11" ht="12.75">
      <c r="A30">
        <v>11904</v>
      </c>
      <c r="B30" t="s">
        <v>274</v>
      </c>
      <c r="C30">
        <v>1.1191512879</v>
      </c>
      <c r="D30">
        <v>4194.7808511</v>
      </c>
      <c r="E30">
        <v>4368.0754656</v>
      </c>
      <c r="F30">
        <v>3701</v>
      </c>
      <c r="G30">
        <v>3400.0331707</v>
      </c>
      <c r="H30">
        <v>4125.9073171</v>
      </c>
      <c r="I30">
        <v>0.1133931707</v>
      </c>
      <c r="J30">
        <v>0.0570913171</v>
      </c>
      <c r="K30">
        <v>0.0343474146</v>
      </c>
    </row>
    <row r="31" spans="1:11" ht="12.75">
      <c r="A31">
        <v>14901</v>
      </c>
      <c r="B31" t="s">
        <v>275</v>
      </c>
      <c r="C31">
        <v>1.1753472036</v>
      </c>
      <c r="D31">
        <v>2811.644353</v>
      </c>
      <c r="E31">
        <v>4467.8423076</v>
      </c>
      <c r="F31">
        <v>3835</v>
      </c>
      <c r="G31">
        <v>3400.0331707</v>
      </c>
      <c r="H31">
        <v>4125.9073171</v>
      </c>
      <c r="I31">
        <v>0.1133931707</v>
      </c>
      <c r="J31">
        <v>0.0570913171</v>
      </c>
      <c r="K31">
        <v>0.0343474146</v>
      </c>
    </row>
    <row r="32" spans="1:11" ht="12.75">
      <c r="A32">
        <v>14902</v>
      </c>
      <c r="B32" t="s">
        <v>1138</v>
      </c>
      <c r="C32">
        <v>1.3328774416</v>
      </c>
      <c r="D32">
        <v>3147.3798078</v>
      </c>
      <c r="E32">
        <v>4389.1605119</v>
      </c>
      <c r="F32">
        <v>4349</v>
      </c>
      <c r="G32">
        <v>3400.0331707</v>
      </c>
      <c r="H32">
        <v>4125.9073171</v>
      </c>
      <c r="I32">
        <v>0.1133931707</v>
      </c>
      <c r="J32">
        <v>0.0570913171</v>
      </c>
      <c r="K32">
        <v>0.0343474146</v>
      </c>
    </row>
    <row r="33" spans="1:11" ht="12.75">
      <c r="A33">
        <v>14903</v>
      </c>
      <c r="B33" t="s">
        <v>276</v>
      </c>
      <c r="C33">
        <v>1.0284338098</v>
      </c>
      <c r="D33">
        <v>3541.2445854</v>
      </c>
      <c r="E33">
        <v>5057.5278901</v>
      </c>
      <c r="F33">
        <v>3401</v>
      </c>
      <c r="G33">
        <v>3400.0331707</v>
      </c>
      <c r="H33">
        <v>4125.9073171</v>
      </c>
      <c r="I33">
        <v>0.1133931707</v>
      </c>
      <c r="J33">
        <v>0.0570913171</v>
      </c>
      <c r="K33">
        <v>0.0343474146</v>
      </c>
    </row>
    <row r="34" spans="1:11" ht="12.75">
      <c r="A34">
        <v>14906</v>
      </c>
      <c r="B34" t="s">
        <v>277</v>
      </c>
      <c r="C34">
        <v>1.0354257303</v>
      </c>
      <c r="D34">
        <v>2785.1338606</v>
      </c>
      <c r="E34">
        <v>4713.5468604</v>
      </c>
      <c r="F34">
        <v>3446</v>
      </c>
      <c r="G34">
        <v>3400.0331707</v>
      </c>
      <c r="H34">
        <v>4125.9073171</v>
      </c>
      <c r="I34">
        <v>0.1133931707</v>
      </c>
      <c r="J34">
        <v>0.0570913171</v>
      </c>
      <c r="K34">
        <v>0.0343474146</v>
      </c>
    </row>
    <row r="35" spans="1:11" ht="12.75">
      <c r="A35">
        <v>14907</v>
      </c>
      <c r="B35" t="s">
        <v>278</v>
      </c>
      <c r="C35">
        <v>1.2403757339</v>
      </c>
      <c r="D35">
        <v>2887.6312654</v>
      </c>
      <c r="E35">
        <v>4598.0786595</v>
      </c>
      <c r="F35">
        <v>4061</v>
      </c>
      <c r="G35">
        <v>3400.0331707</v>
      </c>
      <c r="H35">
        <v>4125.9073171</v>
      </c>
      <c r="I35">
        <v>0.1133931707</v>
      </c>
      <c r="J35">
        <v>0.0570913171</v>
      </c>
      <c r="K35">
        <v>0.0343474146</v>
      </c>
    </row>
    <row r="36" spans="1:11" ht="12.75">
      <c r="A36">
        <v>14909</v>
      </c>
      <c r="B36" t="s">
        <v>279</v>
      </c>
      <c r="C36">
        <v>1.032007458</v>
      </c>
      <c r="D36">
        <v>4285.7204838</v>
      </c>
      <c r="E36">
        <v>4409.8173945</v>
      </c>
      <c r="F36">
        <v>3424</v>
      </c>
      <c r="G36">
        <v>3400.0331707</v>
      </c>
      <c r="H36">
        <v>4125.9073171</v>
      </c>
      <c r="I36">
        <v>0.1133931707</v>
      </c>
      <c r="J36">
        <v>0.0570913171</v>
      </c>
      <c r="K36">
        <v>0.0343474146</v>
      </c>
    </row>
    <row r="37" spans="1:11" ht="12.75">
      <c r="A37">
        <v>14910</v>
      </c>
      <c r="B37" t="s">
        <v>280</v>
      </c>
      <c r="C37">
        <v>1.1339725302</v>
      </c>
      <c r="D37">
        <v>2818.9678239</v>
      </c>
      <c r="E37">
        <v>4480.1621219</v>
      </c>
      <c r="F37">
        <v>3700</v>
      </c>
      <c r="G37">
        <v>3400.0331707</v>
      </c>
      <c r="H37">
        <v>4125.9073171</v>
      </c>
      <c r="I37">
        <v>0.1133931707</v>
      </c>
      <c r="J37">
        <v>0.0570913171</v>
      </c>
      <c r="K37">
        <v>0.0343474146</v>
      </c>
    </row>
    <row r="38" spans="1:11" ht="12.75">
      <c r="A38">
        <v>15901</v>
      </c>
      <c r="B38" t="s">
        <v>903</v>
      </c>
      <c r="C38">
        <v>1.0284338098</v>
      </c>
      <c r="D38">
        <v>6830.219137</v>
      </c>
      <c r="E38">
        <v>5440.6827095</v>
      </c>
      <c r="F38">
        <v>3401</v>
      </c>
      <c r="G38">
        <v>3400.0331707</v>
      </c>
      <c r="H38">
        <v>4125.9073171</v>
      </c>
      <c r="I38">
        <v>0.1133931707</v>
      </c>
      <c r="J38">
        <v>0.0570913171</v>
      </c>
      <c r="K38">
        <v>0.0343474146</v>
      </c>
    </row>
    <row r="39" spans="1:11" ht="12.75">
      <c r="A39">
        <v>15904</v>
      </c>
      <c r="B39" t="s">
        <v>984</v>
      </c>
      <c r="C39">
        <v>1.0425730267</v>
      </c>
      <c r="D39">
        <v>1969.3269236</v>
      </c>
      <c r="E39">
        <v>4985.3419974</v>
      </c>
      <c r="F39">
        <v>3492</v>
      </c>
      <c r="G39">
        <v>3400.0331707</v>
      </c>
      <c r="H39">
        <v>4125.9073171</v>
      </c>
      <c r="I39">
        <v>0.1133931707</v>
      </c>
      <c r="J39">
        <v>0.0570913171</v>
      </c>
      <c r="K39">
        <v>0.0343474146</v>
      </c>
    </row>
    <row r="40" spans="1:11" ht="12.75">
      <c r="A40">
        <v>15905</v>
      </c>
      <c r="B40" t="s">
        <v>904</v>
      </c>
      <c r="C40">
        <v>1.0532939714</v>
      </c>
      <c r="D40">
        <v>1873.1639648</v>
      </c>
      <c r="E40">
        <v>5008.2923453</v>
      </c>
      <c r="F40">
        <v>3561</v>
      </c>
      <c r="G40">
        <v>3400.0331707</v>
      </c>
      <c r="H40">
        <v>4125.9073171</v>
      </c>
      <c r="I40">
        <v>0.1133931707</v>
      </c>
      <c r="J40">
        <v>0.0570913171</v>
      </c>
      <c r="K40">
        <v>0.0343474146</v>
      </c>
    </row>
    <row r="41" spans="1:11" ht="12.75">
      <c r="A41">
        <v>15906</v>
      </c>
      <c r="B41" t="s">
        <v>985</v>
      </c>
      <c r="C41">
        <v>1.1476155456</v>
      </c>
      <c r="D41">
        <v>31.943229284</v>
      </c>
      <c r="E41">
        <v>3936.3628914</v>
      </c>
      <c r="F41">
        <v>3770</v>
      </c>
      <c r="G41">
        <v>3400.0331707</v>
      </c>
      <c r="H41">
        <v>4125.9073171</v>
      </c>
      <c r="I41">
        <v>0.1133931707</v>
      </c>
      <c r="J41">
        <v>0.0570913171</v>
      </c>
      <c r="K41">
        <v>0.0343474146</v>
      </c>
    </row>
    <row r="42" spans="1:11" ht="12.75">
      <c r="A42">
        <v>15907</v>
      </c>
      <c r="B42" t="s">
        <v>905</v>
      </c>
      <c r="C42">
        <v>1.0497203232</v>
      </c>
      <c r="D42">
        <v>3400.027109</v>
      </c>
      <c r="E42">
        <v>4547.1395461</v>
      </c>
      <c r="F42">
        <v>3538</v>
      </c>
      <c r="G42">
        <v>3400.0331707</v>
      </c>
      <c r="H42">
        <v>4125.9073171</v>
      </c>
      <c r="I42">
        <v>0.1133931707</v>
      </c>
      <c r="J42">
        <v>0.0570913171</v>
      </c>
      <c r="K42">
        <v>0.0343474146</v>
      </c>
    </row>
    <row r="43" spans="1:11" ht="12.75">
      <c r="A43">
        <v>15908</v>
      </c>
      <c r="B43" t="s">
        <v>986</v>
      </c>
      <c r="C43">
        <v>1.0497203232</v>
      </c>
      <c r="D43">
        <v>2259.29855</v>
      </c>
      <c r="E43">
        <v>4564.1014119</v>
      </c>
      <c r="F43">
        <v>3538</v>
      </c>
      <c r="G43">
        <v>3400.0331707</v>
      </c>
      <c r="H43">
        <v>4125.9073171</v>
      </c>
      <c r="I43">
        <v>0.1133931707</v>
      </c>
      <c r="J43">
        <v>0.0570913171</v>
      </c>
      <c r="K43">
        <v>0.0343474146</v>
      </c>
    </row>
    <row r="44" spans="1:11" ht="12.75">
      <c r="A44">
        <v>15909</v>
      </c>
      <c r="B44" t="s">
        <v>906</v>
      </c>
      <c r="C44">
        <v>1.0810499471</v>
      </c>
      <c r="D44">
        <v>2183.3334854</v>
      </c>
      <c r="E44">
        <v>4631.5284533</v>
      </c>
      <c r="F44">
        <v>3575</v>
      </c>
      <c r="G44">
        <v>3400.0331707</v>
      </c>
      <c r="H44">
        <v>4125.9073171</v>
      </c>
      <c r="I44">
        <v>0.1133931707</v>
      </c>
      <c r="J44">
        <v>0.0570913171</v>
      </c>
      <c r="K44">
        <v>0.0343474146</v>
      </c>
    </row>
    <row r="45" spans="1:11" ht="12.75">
      <c r="A45">
        <v>15910</v>
      </c>
      <c r="B45" t="s">
        <v>987</v>
      </c>
      <c r="C45">
        <v>1.0389993785</v>
      </c>
      <c r="D45">
        <v>6308.2273893</v>
      </c>
      <c r="E45">
        <v>5073.1095478</v>
      </c>
      <c r="F45">
        <v>3469</v>
      </c>
      <c r="G45">
        <v>3400.0331707</v>
      </c>
      <c r="H45">
        <v>4125.9073171</v>
      </c>
      <c r="I45">
        <v>0.1133931707</v>
      </c>
      <c r="J45">
        <v>0.0570913171</v>
      </c>
      <c r="K45">
        <v>0.0343474146</v>
      </c>
    </row>
    <row r="46" spans="1:11" ht="12.75">
      <c r="A46">
        <v>15911</v>
      </c>
      <c r="B46" t="s">
        <v>907</v>
      </c>
      <c r="C46">
        <v>1.0354257303</v>
      </c>
      <c r="D46">
        <v>3253.0140736</v>
      </c>
      <c r="E46">
        <v>4715.9817906</v>
      </c>
      <c r="F46">
        <v>3446</v>
      </c>
      <c r="G46">
        <v>3400.0331707</v>
      </c>
      <c r="H46">
        <v>4125.9073171</v>
      </c>
      <c r="I46">
        <v>0.1133931707</v>
      </c>
      <c r="J46">
        <v>0.0570913171</v>
      </c>
      <c r="K46">
        <v>0.0343474146</v>
      </c>
    </row>
    <row r="47" spans="1:11" ht="12.75">
      <c r="A47">
        <v>15912</v>
      </c>
      <c r="B47" t="s">
        <v>908</v>
      </c>
      <c r="C47">
        <v>1.0389993785</v>
      </c>
      <c r="D47">
        <v>2947.29775</v>
      </c>
      <c r="E47">
        <v>4996.6512232</v>
      </c>
      <c r="F47">
        <v>3469</v>
      </c>
      <c r="G47">
        <v>3400.0331707</v>
      </c>
      <c r="H47">
        <v>4125.9073171</v>
      </c>
      <c r="I47">
        <v>0.1133931707</v>
      </c>
      <c r="J47">
        <v>0.0570913171</v>
      </c>
      <c r="K47">
        <v>0.0343474146</v>
      </c>
    </row>
    <row r="48" spans="1:11" ht="12.75">
      <c r="A48">
        <v>15913</v>
      </c>
      <c r="B48" t="s">
        <v>909</v>
      </c>
      <c r="C48">
        <v>1.2153299791</v>
      </c>
      <c r="D48">
        <v>38.444311648</v>
      </c>
      <c r="E48">
        <v>3963.0515021</v>
      </c>
      <c r="F48">
        <v>3979</v>
      </c>
      <c r="G48">
        <v>3400.0331707</v>
      </c>
      <c r="H48">
        <v>4125.9073171</v>
      </c>
      <c r="I48">
        <v>0.1133931707</v>
      </c>
      <c r="J48">
        <v>0.0570913171</v>
      </c>
      <c r="K48">
        <v>0.0343474146</v>
      </c>
    </row>
    <row r="49" spans="1:11" ht="12.75">
      <c r="A49">
        <v>15914</v>
      </c>
      <c r="B49" t="s">
        <v>988</v>
      </c>
      <c r="C49">
        <v>1.1174792222</v>
      </c>
      <c r="D49">
        <v>78.091709977</v>
      </c>
      <c r="E49">
        <v>3977.6611846</v>
      </c>
      <c r="F49">
        <v>3671</v>
      </c>
      <c r="G49">
        <v>3400.0331707</v>
      </c>
      <c r="H49">
        <v>4125.9073171</v>
      </c>
      <c r="I49">
        <v>0.1133931707</v>
      </c>
      <c r="J49">
        <v>0.0570913171</v>
      </c>
      <c r="K49">
        <v>0.0343474146</v>
      </c>
    </row>
    <row r="50" spans="1:11" ht="12.75">
      <c r="A50">
        <v>15915</v>
      </c>
      <c r="B50" t="s">
        <v>910</v>
      </c>
      <c r="C50">
        <v>1.0389993785</v>
      </c>
      <c r="D50">
        <v>4891.9892381</v>
      </c>
      <c r="E50">
        <v>4678.1023779</v>
      </c>
      <c r="F50">
        <v>3469</v>
      </c>
      <c r="G50">
        <v>3400.0331707</v>
      </c>
      <c r="H50">
        <v>4125.9073171</v>
      </c>
      <c r="I50">
        <v>0.1133931707</v>
      </c>
      <c r="J50">
        <v>0.0570913171</v>
      </c>
      <c r="K50">
        <v>0.0343474146</v>
      </c>
    </row>
    <row r="51" spans="1:11" ht="12.75">
      <c r="A51">
        <v>15916</v>
      </c>
      <c r="B51" t="s">
        <v>911</v>
      </c>
      <c r="C51">
        <v>1.0389993785</v>
      </c>
      <c r="D51">
        <v>4025.1043463</v>
      </c>
      <c r="E51">
        <v>4638.0581178</v>
      </c>
      <c r="F51">
        <v>3469</v>
      </c>
      <c r="G51">
        <v>3400.0331707</v>
      </c>
      <c r="H51">
        <v>4125.9073171</v>
      </c>
      <c r="I51">
        <v>0.1133931707</v>
      </c>
      <c r="J51">
        <v>0.0570913171</v>
      </c>
      <c r="K51">
        <v>0.0343474146</v>
      </c>
    </row>
    <row r="52" spans="1:11" ht="12.75">
      <c r="A52">
        <v>15917</v>
      </c>
      <c r="B52" t="s">
        <v>989</v>
      </c>
      <c r="C52">
        <v>1.0507497907</v>
      </c>
      <c r="D52">
        <v>1986.2650116</v>
      </c>
      <c r="E52">
        <v>4516.3794961</v>
      </c>
      <c r="F52">
        <v>3497</v>
      </c>
      <c r="G52">
        <v>3400.0331707</v>
      </c>
      <c r="H52">
        <v>4125.9073171</v>
      </c>
      <c r="I52">
        <v>0.1133931707</v>
      </c>
      <c r="J52">
        <v>0.0570913171</v>
      </c>
      <c r="K52">
        <v>0.0343474146</v>
      </c>
    </row>
    <row r="53" spans="1:11" ht="12.75">
      <c r="A53">
        <v>16901</v>
      </c>
      <c r="B53" t="s">
        <v>796</v>
      </c>
      <c r="C53">
        <v>1.4327313705</v>
      </c>
      <c r="D53">
        <v>7000</v>
      </c>
      <c r="E53">
        <v>5703.9768242</v>
      </c>
      <c r="F53">
        <v>4738</v>
      </c>
      <c r="G53">
        <v>3400.0331707</v>
      </c>
      <c r="H53">
        <v>4125.9073171</v>
      </c>
      <c r="I53">
        <v>0.1133931707</v>
      </c>
      <c r="J53">
        <v>0.0570913171</v>
      </c>
      <c r="K53">
        <v>0.0343474146</v>
      </c>
    </row>
    <row r="54" spans="1:11" ht="12.75">
      <c r="A54">
        <v>16902</v>
      </c>
      <c r="B54" t="s">
        <v>990</v>
      </c>
      <c r="C54">
        <v>1.3417115008</v>
      </c>
      <c r="D54">
        <v>7000</v>
      </c>
      <c r="E54">
        <v>5382.2918894</v>
      </c>
      <c r="F54">
        <v>4437</v>
      </c>
      <c r="G54">
        <v>3400.0331707</v>
      </c>
      <c r="H54">
        <v>4125.9073171</v>
      </c>
      <c r="I54">
        <v>0.1133931707</v>
      </c>
      <c r="J54">
        <v>0.0570913171</v>
      </c>
      <c r="K54">
        <v>0.0343474146</v>
      </c>
    </row>
    <row r="55" spans="1:11" ht="12.75">
      <c r="A55">
        <v>18902</v>
      </c>
      <c r="B55" t="s">
        <v>281</v>
      </c>
      <c r="C55">
        <v>1.3092785538</v>
      </c>
      <c r="D55">
        <v>5551.5996173</v>
      </c>
      <c r="E55">
        <v>5700.857004</v>
      </c>
      <c r="F55">
        <v>4272</v>
      </c>
      <c r="G55">
        <v>3400.0331707</v>
      </c>
      <c r="H55">
        <v>4125.9073171</v>
      </c>
      <c r="I55">
        <v>0.1133931707</v>
      </c>
      <c r="J55">
        <v>0.0570913171</v>
      </c>
      <c r="K55">
        <v>0.0343474146</v>
      </c>
    </row>
    <row r="56" spans="1:11" ht="12.75">
      <c r="A56">
        <v>18903</v>
      </c>
      <c r="B56" t="s">
        <v>282</v>
      </c>
      <c r="C56">
        <v>1.4013703631</v>
      </c>
      <c r="D56">
        <v>7000</v>
      </c>
      <c r="E56">
        <v>4662.3301775</v>
      </c>
      <c r="F56">
        <v>4619</v>
      </c>
      <c r="G56">
        <v>3400.0331707</v>
      </c>
      <c r="H56">
        <v>4125.9073171</v>
      </c>
      <c r="I56">
        <v>0.1133931707</v>
      </c>
      <c r="J56">
        <v>0.0570913171</v>
      </c>
      <c r="K56">
        <v>0.0343474146</v>
      </c>
    </row>
    <row r="57" spans="1:11" ht="12.75">
      <c r="A57">
        <v>18904</v>
      </c>
      <c r="B57" t="s">
        <v>797</v>
      </c>
      <c r="C57">
        <v>1.2893574148</v>
      </c>
      <c r="D57">
        <v>4400.0976308</v>
      </c>
      <c r="E57">
        <v>4514.1932535</v>
      </c>
      <c r="F57">
        <v>4207</v>
      </c>
      <c r="G57">
        <v>3400.0331707</v>
      </c>
      <c r="H57">
        <v>4125.9073171</v>
      </c>
      <c r="I57">
        <v>0.1133931707</v>
      </c>
      <c r="J57">
        <v>0.0570913171</v>
      </c>
      <c r="K57">
        <v>0.0343474146</v>
      </c>
    </row>
    <row r="58" spans="1:11" ht="12.75">
      <c r="A58">
        <v>18905</v>
      </c>
      <c r="B58" t="s">
        <v>283</v>
      </c>
      <c r="C58">
        <v>1.3776233847</v>
      </c>
      <c r="D58">
        <v>4944.3304039</v>
      </c>
      <c r="E58">
        <v>4628.7400137</v>
      </c>
      <c r="F58">
        <v>4495</v>
      </c>
      <c r="G58">
        <v>3400.0331707</v>
      </c>
      <c r="H58">
        <v>4125.9073171</v>
      </c>
      <c r="I58">
        <v>0.1133931707</v>
      </c>
      <c r="J58">
        <v>0.0570913171</v>
      </c>
      <c r="K58">
        <v>0.0343474146</v>
      </c>
    </row>
    <row r="59" spans="1:11" ht="12.75">
      <c r="A59">
        <v>18906</v>
      </c>
      <c r="B59" t="s">
        <v>1139</v>
      </c>
      <c r="C59">
        <v>1.3918720067</v>
      </c>
      <c r="D59">
        <v>7000</v>
      </c>
      <c r="E59">
        <v>4506.4671682</v>
      </c>
      <c r="F59">
        <v>4557</v>
      </c>
      <c r="G59">
        <v>3400.0331707</v>
      </c>
      <c r="H59">
        <v>4125.9073171</v>
      </c>
      <c r="I59">
        <v>0.1133931707</v>
      </c>
      <c r="J59">
        <v>0.0570913171</v>
      </c>
      <c r="K59">
        <v>0.0343474146</v>
      </c>
    </row>
    <row r="60" spans="1:11" ht="12.75">
      <c r="A60">
        <v>18907</v>
      </c>
      <c r="B60" t="s">
        <v>284</v>
      </c>
      <c r="C60">
        <v>1.3692697402</v>
      </c>
      <c r="D60">
        <v>5522.872466</v>
      </c>
      <c r="E60">
        <v>4615.4526148</v>
      </c>
      <c r="F60">
        <v>4483</v>
      </c>
      <c r="G60">
        <v>3400.0331707</v>
      </c>
      <c r="H60">
        <v>4125.9073171</v>
      </c>
      <c r="I60">
        <v>0.1133931707</v>
      </c>
      <c r="J60">
        <v>0.0570913171</v>
      </c>
      <c r="K60">
        <v>0.0343474146</v>
      </c>
    </row>
    <row r="61" spans="1:11" ht="12.75">
      <c r="A61">
        <v>20901</v>
      </c>
      <c r="B61" t="s">
        <v>285</v>
      </c>
      <c r="C61">
        <v>1.0532939714</v>
      </c>
      <c r="D61">
        <v>3171.8359893</v>
      </c>
      <c r="E61">
        <v>4584.3968282</v>
      </c>
      <c r="F61">
        <v>3561</v>
      </c>
      <c r="G61">
        <v>3400.0331707</v>
      </c>
      <c r="H61">
        <v>4125.9073171</v>
      </c>
      <c r="I61">
        <v>0.1133931707</v>
      </c>
      <c r="J61">
        <v>0.0570913171</v>
      </c>
      <c r="K61">
        <v>0.0343474146</v>
      </c>
    </row>
    <row r="62" spans="1:11" ht="12.75">
      <c r="A62">
        <v>20902</v>
      </c>
      <c r="B62" t="s">
        <v>286</v>
      </c>
      <c r="C62">
        <v>1.0532939714</v>
      </c>
      <c r="D62">
        <v>6180.6826888</v>
      </c>
      <c r="E62">
        <v>5010.4324707</v>
      </c>
      <c r="F62">
        <v>3561</v>
      </c>
      <c r="G62">
        <v>3400.0331707</v>
      </c>
      <c r="H62">
        <v>4125.9073171</v>
      </c>
      <c r="I62">
        <v>0.1133931707</v>
      </c>
      <c r="J62">
        <v>0.0570913171</v>
      </c>
      <c r="K62">
        <v>0.0343474146</v>
      </c>
    </row>
    <row r="63" spans="1:11" ht="12.75">
      <c r="A63">
        <v>20904</v>
      </c>
      <c r="B63" t="s">
        <v>209</v>
      </c>
      <c r="C63">
        <v>1.2839983671</v>
      </c>
      <c r="D63">
        <v>3816.2774845</v>
      </c>
      <c r="E63">
        <v>4801.3804792</v>
      </c>
      <c r="F63">
        <v>4287</v>
      </c>
      <c r="G63">
        <v>3400.0331707</v>
      </c>
      <c r="H63">
        <v>4125.9073171</v>
      </c>
      <c r="I63">
        <v>0.1133931707</v>
      </c>
      <c r="J63">
        <v>0.0570913171</v>
      </c>
      <c r="K63">
        <v>0.0343474146</v>
      </c>
    </row>
    <row r="64" spans="1:11" ht="12.75">
      <c r="A64">
        <v>20905</v>
      </c>
      <c r="B64" t="s">
        <v>287</v>
      </c>
      <c r="C64">
        <v>1.0568676196</v>
      </c>
      <c r="D64">
        <v>6749.3444068</v>
      </c>
      <c r="E64">
        <v>4906.6220894</v>
      </c>
      <c r="F64">
        <v>3584</v>
      </c>
      <c r="G64">
        <v>3400.0331707</v>
      </c>
      <c r="H64">
        <v>4125.9073171</v>
      </c>
      <c r="I64">
        <v>0.1133931707</v>
      </c>
      <c r="J64">
        <v>0.0570913171</v>
      </c>
      <c r="K64">
        <v>0.0343474146</v>
      </c>
    </row>
    <row r="65" spans="1:11" ht="12.75">
      <c r="A65">
        <v>20906</v>
      </c>
      <c r="B65" t="s">
        <v>288</v>
      </c>
      <c r="C65">
        <v>1.0515848353</v>
      </c>
      <c r="D65">
        <v>7000</v>
      </c>
      <c r="E65">
        <v>5485.1348122</v>
      </c>
      <c r="F65">
        <v>3550</v>
      </c>
      <c r="G65">
        <v>3400.0331707</v>
      </c>
      <c r="H65">
        <v>4125.9073171</v>
      </c>
      <c r="I65">
        <v>0.1133931707</v>
      </c>
      <c r="J65">
        <v>0.0570913171</v>
      </c>
      <c r="K65">
        <v>0.0343474146</v>
      </c>
    </row>
    <row r="66" spans="1:11" ht="12.75">
      <c r="A66">
        <v>20907</v>
      </c>
      <c r="B66" t="s">
        <v>289</v>
      </c>
      <c r="C66">
        <v>1.1065642496</v>
      </c>
      <c r="D66">
        <v>3441.5150224</v>
      </c>
      <c r="E66">
        <v>4413.2427646</v>
      </c>
      <c r="F66">
        <v>3718</v>
      </c>
      <c r="G66">
        <v>3400.0331707</v>
      </c>
      <c r="H66">
        <v>4125.9073171</v>
      </c>
      <c r="I66">
        <v>0.1133931707</v>
      </c>
      <c r="J66">
        <v>0.0570913171</v>
      </c>
      <c r="K66">
        <v>0.0343474146</v>
      </c>
    </row>
    <row r="67" spans="1:11" ht="12.75">
      <c r="A67">
        <v>20908</v>
      </c>
      <c r="B67" t="s">
        <v>290</v>
      </c>
      <c r="C67">
        <v>1.0532939714</v>
      </c>
      <c r="D67">
        <v>4500.0370353</v>
      </c>
      <c r="E67">
        <v>4767.8897036</v>
      </c>
      <c r="F67">
        <v>3561</v>
      </c>
      <c r="G67">
        <v>3400.0331707</v>
      </c>
      <c r="H67">
        <v>4125.9073171</v>
      </c>
      <c r="I67">
        <v>0.1133931707</v>
      </c>
      <c r="J67">
        <v>0.0570913171</v>
      </c>
      <c r="K67">
        <v>0.0343474146</v>
      </c>
    </row>
    <row r="68" spans="1:11" ht="12.75">
      <c r="A68">
        <v>20910</v>
      </c>
      <c r="B68" t="s">
        <v>291</v>
      </c>
      <c r="C68">
        <v>1.4175797228</v>
      </c>
      <c r="D68">
        <v>5060.7052335</v>
      </c>
      <c r="E68">
        <v>5299.8880022</v>
      </c>
      <c r="F68">
        <v>4733</v>
      </c>
      <c r="G68">
        <v>3400.0331707</v>
      </c>
      <c r="H68">
        <v>4125.9073171</v>
      </c>
      <c r="I68">
        <v>0.1133931707</v>
      </c>
      <c r="J68">
        <v>0.0570913171</v>
      </c>
      <c r="K68">
        <v>0.0343474146</v>
      </c>
    </row>
    <row r="69" spans="1:11" ht="12.75">
      <c r="A69">
        <v>21901</v>
      </c>
      <c r="B69" t="s">
        <v>292</v>
      </c>
      <c r="C69">
        <v>1.032007458</v>
      </c>
      <c r="D69">
        <v>6610.2843155</v>
      </c>
      <c r="E69">
        <v>5025.1525441</v>
      </c>
      <c r="F69">
        <v>3424</v>
      </c>
      <c r="G69">
        <v>3400.0331707</v>
      </c>
      <c r="H69">
        <v>4125.9073171</v>
      </c>
      <c r="I69">
        <v>0.1133931707</v>
      </c>
      <c r="J69">
        <v>0.0570913171</v>
      </c>
      <c r="K69">
        <v>0.0343474146</v>
      </c>
    </row>
    <row r="70" spans="1:11" ht="12.75">
      <c r="A70">
        <v>21902</v>
      </c>
      <c r="B70" t="s">
        <v>293</v>
      </c>
      <c r="C70">
        <v>1.0389993785</v>
      </c>
      <c r="D70">
        <v>4208.3021251</v>
      </c>
      <c r="E70">
        <v>4710.8462116</v>
      </c>
      <c r="F70">
        <v>3469</v>
      </c>
      <c r="G70">
        <v>3400.0331707</v>
      </c>
      <c r="H70">
        <v>4125.9073171</v>
      </c>
      <c r="I70">
        <v>0.1133931707</v>
      </c>
      <c r="J70">
        <v>0.0570913171</v>
      </c>
      <c r="K70">
        <v>0.0343474146</v>
      </c>
    </row>
    <row r="71" spans="1:11" ht="12.75">
      <c r="A71">
        <v>24901</v>
      </c>
      <c r="B71" t="s">
        <v>294</v>
      </c>
      <c r="C71">
        <v>1.1976375429</v>
      </c>
      <c r="D71">
        <v>7000</v>
      </c>
      <c r="E71">
        <v>6258.0773767</v>
      </c>
      <c r="F71">
        <v>4049</v>
      </c>
      <c r="G71">
        <v>3400.0331707</v>
      </c>
      <c r="H71">
        <v>4125.9073171</v>
      </c>
      <c r="I71">
        <v>0.1133931707</v>
      </c>
      <c r="J71">
        <v>0.0570913171</v>
      </c>
      <c r="K71">
        <v>0.0343474146</v>
      </c>
    </row>
    <row r="72" spans="1:11" ht="12.75">
      <c r="A72">
        <v>25901</v>
      </c>
      <c r="B72" t="s">
        <v>295</v>
      </c>
      <c r="C72">
        <v>1.1847605111</v>
      </c>
      <c r="D72">
        <v>3449.7153442</v>
      </c>
      <c r="E72">
        <v>4554.3205605</v>
      </c>
      <c r="F72">
        <v>3853</v>
      </c>
      <c r="G72">
        <v>3400.0331707</v>
      </c>
      <c r="H72">
        <v>4125.9073171</v>
      </c>
      <c r="I72">
        <v>0.1133931707</v>
      </c>
      <c r="J72">
        <v>0.0570913171</v>
      </c>
      <c r="K72">
        <v>0.0343474146</v>
      </c>
    </row>
    <row r="73" spans="1:11" ht="12.75">
      <c r="A73">
        <v>25902</v>
      </c>
      <c r="B73" t="s">
        <v>296</v>
      </c>
      <c r="C73">
        <v>1.0730357555</v>
      </c>
      <c r="D73">
        <v>4549.9096558</v>
      </c>
      <c r="E73">
        <v>4677.0770341</v>
      </c>
      <c r="F73">
        <v>3525</v>
      </c>
      <c r="G73">
        <v>3400.0331707</v>
      </c>
      <c r="H73">
        <v>4125.9073171</v>
      </c>
      <c r="I73">
        <v>0.1133931707</v>
      </c>
      <c r="J73">
        <v>0.0570913171</v>
      </c>
      <c r="K73">
        <v>0.0343474146</v>
      </c>
    </row>
    <row r="74" spans="1:11" ht="12.75">
      <c r="A74">
        <v>25904</v>
      </c>
      <c r="B74" t="s">
        <v>297</v>
      </c>
      <c r="C74">
        <v>1.3796545654</v>
      </c>
      <c r="D74">
        <v>3772.5489623</v>
      </c>
      <c r="E74">
        <v>4931.1745491</v>
      </c>
      <c r="F74">
        <v>4517</v>
      </c>
      <c r="G74">
        <v>3400.0331707</v>
      </c>
      <c r="H74">
        <v>4125.9073171</v>
      </c>
      <c r="I74">
        <v>0.1133931707</v>
      </c>
      <c r="J74">
        <v>0.0570913171</v>
      </c>
      <c r="K74">
        <v>0.0343474146</v>
      </c>
    </row>
    <row r="75" spans="1:11" ht="12.75">
      <c r="A75">
        <v>25905</v>
      </c>
      <c r="B75" t="s">
        <v>298</v>
      </c>
      <c r="C75">
        <v>1.3591075678</v>
      </c>
      <c r="D75">
        <v>6790.6061519</v>
      </c>
      <c r="E75">
        <v>4834.5293255</v>
      </c>
      <c r="F75">
        <v>4420</v>
      </c>
      <c r="G75">
        <v>3400.0331707</v>
      </c>
      <c r="H75">
        <v>4125.9073171</v>
      </c>
      <c r="I75">
        <v>0.1133931707</v>
      </c>
      <c r="J75">
        <v>0.0570913171</v>
      </c>
      <c r="K75">
        <v>0.0343474146</v>
      </c>
    </row>
    <row r="76" spans="1:11" ht="12.75">
      <c r="A76">
        <v>25906</v>
      </c>
      <c r="B76" t="s">
        <v>299</v>
      </c>
      <c r="C76">
        <v>1.3770104266</v>
      </c>
      <c r="D76">
        <v>2713.9684851</v>
      </c>
      <c r="E76">
        <v>4413.2910776</v>
      </c>
      <c r="F76">
        <v>4493</v>
      </c>
      <c r="G76">
        <v>3400.0331707</v>
      </c>
      <c r="H76">
        <v>4125.9073171</v>
      </c>
      <c r="I76">
        <v>0.1133931707</v>
      </c>
      <c r="J76">
        <v>0.0570913171</v>
      </c>
      <c r="K76">
        <v>0.0343474146</v>
      </c>
    </row>
    <row r="77" spans="1:11" ht="12.75">
      <c r="A77">
        <v>25908</v>
      </c>
      <c r="B77" t="s">
        <v>210</v>
      </c>
      <c r="C77">
        <v>1.3800752172</v>
      </c>
      <c r="D77">
        <v>3914.9723177</v>
      </c>
      <c r="E77">
        <v>4545.0019285</v>
      </c>
      <c r="F77">
        <v>4503</v>
      </c>
      <c r="G77">
        <v>3400.0331707</v>
      </c>
      <c r="H77">
        <v>4125.9073171</v>
      </c>
      <c r="I77">
        <v>0.1133931707</v>
      </c>
      <c r="J77">
        <v>0.0570913171</v>
      </c>
      <c r="K77">
        <v>0.0343474146</v>
      </c>
    </row>
    <row r="78" spans="1:11" ht="12.75">
      <c r="A78">
        <v>25909</v>
      </c>
      <c r="B78" t="s">
        <v>300</v>
      </c>
      <c r="C78">
        <v>1.1355049255</v>
      </c>
      <c r="D78">
        <v>3097.609511</v>
      </c>
      <c r="E78">
        <v>4835.7657162</v>
      </c>
      <c r="F78">
        <v>3705</v>
      </c>
      <c r="G78">
        <v>3400.0331707</v>
      </c>
      <c r="H78">
        <v>4125.9073171</v>
      </c>
      <c r="I78">
        <v>0.1133931707</v>
      </c>
      <c r="J78">
        <v>0.0570913171</v>
      </c>
      <c r="K78">
        <v>0.0343474146</v>
      </c>
    </row>
    <row r="79" spans="1:11" ht="12.75">
      <c r="A79">
        <v>26901</v>
      </c>
      <c r="B79" t="s">
        <v>211</v>
      </c>
      <c r="C79">
        <v>1.1170345467</v>
      </c>
      <c r="D79">
        <v>5438.3934154</v>
      </c>
      <c r="E79">
        <v>4754.5564686</v>
      </c>
      <c r="F79">
        <v>3694</v>
      </c>
      <c r="G79">
        <v>3400.0331707</v>
      </c>
      <c r="H79">
        <v>4125.9073171</v>
      </c>
      <c r="I79">
        <v>0.1133931707</v>
      </c>
      <c r="J79">
        <v>0.0570913171</v>
      </c>
      <c r="K79">
        <v>0.0343474146</v>
      </c>
    </row>
    <row r="80" spans="1:11" ht="12.75">
      <c r="A80">
        <v>28902</v>
      </c>
      <c r="B80" t="s">
        <v>301</v>
      </c>
      <c r="C80">
        <v>1.0657647113</v>
      </c>
      <c r="D80">
        <v>3184.5727514</v>
      </c>
      <c r="E80">
        <v>4713.4657112</v>
      </c>
      <c r="F80">
        <v>3536</v>
      </c>
      <c r="G80">
        <v>3400.0331707</v>
      </c>
      <c r="H80">
        <v>4125.9073171</v>
      </c>
      <c r="I80">
        <v>0.1133931707</v>
      </c>
      <c r="J80">
        <v>0.0570913171</v>
      </c>
      <c r="K80">
        <v>0.0343474146</v>
      </c>
    </row>
    <row r="81" spans="1:11" ht="12.75">
      <c r="A81">
        <v>30902</v>
      </c>
      <c r="B81" t="s">
        <v>798</v>
      </c>
      <c r="C81">
        <v>1.1560753885</v>
      </c>
      <c r="D81">
        <v>3253.6893228</v>
      </c>
      <c r="E81">
        <v>4888.4582971</v>
      </c>
      <c r="F81">
        <v>3785</v>
      </c>
      <c r="G81">
        <v>3400.0331707</v>
      </c>
      <c r="H81">
        <v>4125.9073171</v>
      </c>
      <c r="I81">
        <v>0.1133931707</v>
      </c>
      <c r="J81">
        <v>0.0570913171</v>
      </c>
      <c r="K81">
        <v>0.0343474146</v>
      </c>
    </row>
    <row r="82" spans="1:11" ht="12.75">
      <c r="A82">
        <v>30903</v>
      </c>
      <c r="B82" t="s">
        <v>212</v>
      </c>
      <c r="C82">
        <v>1.5572201152</v>
      </c>
      <c r="D82">
        <v>5541.3903055</v>
      </c>
      <c r="E82">
        <v>5088.6478533</v>
      </c>
      <c r="F82">
        <v>5081</v>
      </c>
      <c r="G82">
        <v>3400.0331707</v>
      </c>
      <c r="H82">
        <v>4125.9073171</v>
      </c>
      <c r="I82">
        <v>0.1133931707</v>
      </c>
      <c r="J82">
        <v>0.0570913171</v>
      </c>
      <c r="K82">
        <v>0.0343474146</v>
      </c>
    </row>
    <row r="83" spans="1:11" ht="12.75">
      <c r="A83">
        <v>30906</v>
      </c>
      <c r="B83" t="s">
        <v>799</v>
      </c>
      <c r="C83">
        <v>1.3305109607</v>
      </c>
      <c r="D83">
        <v>6523.3226872</v>
      </c>
      <c r="E83">
        <v>4607.7063303</v>
      </c>
      <c r="F83">
        <v>4327</v>
      </c>
      <c r="G83">
        <v>3400.0331707</v>
      </c>
      <c r="H83">
        <v>4125.9073171</v>
      </c>
      <c r="I83">
        <v>0.1133931707</v>
      </c>
      <c r="J83">
        <v>0.0570913171</v>
      </c>
      <c r="K83">
        <v>0.0343474146</v>
      </c>
    </row>
    <row r="84" spans="1:11" ht="12.75">
      <c r="A84">
        <v>31901</v>
      </c>
      <c r="B84" t="s">
        <v>302</v>
      </c>
      <c r="C84">
        <v>1.0674331883</v>
      </c>
      <c r="D84">
        <v>2185.9807442</v>
      </c>
      <c r="E84">
        <v>4672.7538509</v>
      </c>
      <c r="F84">
        <v>3652</v>
      </c>
      <c r="G84">
        <v>3400.0331707</v>
      </c>
      <c r="H84">
        <v>4125.9073171</v>
      </c>
      <c r="I84">
        <v>0.1133931707</v>
      </c>
      <c r="J84">
        <v>0.0570913171</v>
      </c>
      <c r="K84">
        <v>0.0343474146</v>
      </c>
    </row>
    <row r="85" spans="1:11" ht="12.75">
      <c r="A85">
        <v>31903</v>
      </c>
      <c r="B85" t="s">
        <v>303</v>
      </c>
      <c r="C85">
        <v>1.0602858919</v>
      </c>
      <c r="D85">
        <v>2922.4912208</v>
      </c>
      <c r="E85">
        <v>4707.1461315</v>
      </c>
      <c r="F85">
        <v>3606</v>
      </c>
      <c r="G85">
        <v>3400.0331707</v>
      </c>
      <c r="H85">
        <v>4125.9073171</v>
      </c>
      <c r="I85">
        <v>0.1133931707</v>
      </c>
      <c r="J85">
        <v>0.0570913171</v>
      </c>
      <c r="K85">
        <v>0.0343474146</v>
      </c>
    </row>
    <row r="86" spans="1:11" ht="12.75">
      <c r="A86">
        <v>31905</v>
      </c>
      <c r="B86" t="s">
        <v>304</v>
      </c>
      <c r="C86">
        <v>1.1034228044</v>
      </c>
      <c r="D86">
        <v>2468.5012927</v>
      </c>
      <c r="E86">
        <v>4905.0762339</v>
      </c>
      <c r="F86">
        <v>3719</v>
      </c>
      <c r="G86">
        <v>3400.0331707</v>
      </c>
      <c r="H86">
        <v>4125.9073171</v>
      </c>
      <c r="I86">
        <v>0.1133931707</v>
      </c>
      <c r="J86">
        <v>0.0570913171</v>
      </c>
      <c r="K86">
        <v>0.0343474146</v>
      </c>
    </row>
    <row r="87" spans="1:11" ht="12.75">
      <c r="A87">
        <v>31906</v>
      </c>
      <c r="B87" t="s">
        <v>305</v>
      </c>
      <c r="C87">
        <v>1.0602858919</v>
      </c>
      <c r="D87">
        <v>2464.2099587</v>
      </c>
      <c r="E87">
        <v>4784.9130448</v>
      </c>
      <c r="F87">
        <v>3606</v>
      </c>
      <c r="G87">
        <v>3400.0331707</v>
      </c>
      <c r="H87">
        <v>4125.9073171</v>
      </c>
      <c r="I87">
        <v>0.1133931707</v>
      </c>
      <c r="J87">
        <v>0.0570913171</v>
      </c>
      <c r="K87">
        <v>0.0343474146</v>
      </c>
    </row>
    <row r="88" spans="1:11" ht="12.75">
      <c r="A88">
        <v>31909</v>
      </c>
      <c r="B88" t="s">
        <v>306</v>
      </c>
      <c r="C88">
        <v>1.0497203232</v>
      </c>
      <c r="D88">
        <v>7000</v>
      </c>
      <c r="E88">
        <v>5029.9383028</v>
      </c>
      <c r="F88">
        <v>3538</v>
      </c>
      <c r="G88">
        <v>3400.0331707</v>
      </c>
      <c r="H88">
        <v>4125.9073171</v>
      </c>
      <c r="I88">
        <v>0.1133931707</v>
      </c>
      <c r="J88">
        <v>0.0570913171</v>
      </c>
      <c r="K88">
        <v>0.0343474146</v>
      </c>
    </row>
    <row r="89" spans="1:11" ht="12.75">
      <c r="A89">
        <v>31911</v>
      </c>
      <c r="B89" t="s">
        <v>307</v>
      </c>
      <c r="C89">
        <v>1.1277521053</v>
      </c>
      <c r="D89">
        <v>1965.7705825</v>
      </c>
      <c r="E89">
        <v>4647.4868066</v>
      </c>
      <c r="F89">
        <v>3801</v>
      </c>
      <c r="G89">
        <v>3400.0331707</v>
      </c>
      <c r="H89">
        <v>4125.9073171</v>
      </c>
      <c r="I89">
        <v>0.1133931707</v>
      </c>
      <c r="J89">
        <v>0.0570913171</v>
      </c>
      <c r="K89">
        <v>0.0343474146</v>
      </c>
    </row>
    <row r="90" spans="1:11" ht="12.75">
      <c r="A90">
        <v>31912</v>
      </c>
      <c r="B90" t="s">
        <v>308</v>
      </c>
      <c r="C90">
        <v>1.0638595401</v>
      </c>
      <c r="D90">
        <v>1694.7272406</v>
      </c>
      <c r="E90">
        <v>4634.7173856</v>
      </c>
      <c r="F90">
        <v>3629</v>
      </c>
      <c r="G90">
        <v>3400.0331707</v>
      </c>
      <c r="H90">
        <v>4125.9073171</v>
      </c>
      <c r="I90">
        <v>0.1133931707</v>
      </c>
      <c r="J90">
        <v>0.0570913171</v>
      </c>
      <c r="K90">
        <v>0.0343474146</v>
      </c>
    </row>
    <row r="91" spans="1:11" ht="12.75">
      <c r="A91">
        <v>31913</v>
      </c>
      <c r="B91" t="s">
        <v>309</v>
      </c>
      <c r="C91">
        <v>1.3230508099</v>
      </c>
      <c r="D91">
        <v>1314.3868148</v>
      </c>
      <c r="E91">
        <v>4354.3913398</v>
      </c>
      <c r="F91">
        <v>4473</v>
      </c>
      <c r="G91">
        <v>3400.0331707</v>
      </c>
      <c r="H91">
        <v>4125.9073171</v>
      </c>
      <c r="I91">
        <v>0.1133931707</v>
      </c>
      <c r="J91">
        <v>0.0570913171</v>
      </c>
      <c r="K91">
        <v>0.0343474146</v>
      </c>
    </row>
    <row r="92" spans="1:11" ht="12.75">
      <c r="A92">
        <v>31914</v>
      </c>
      <c r="B92" t="s">
        <v>310</v>
      </c>
      <c r="C92">
        <v>1.1943838968</v>
      </c>
      <c r="D92">
        <v>1410.8986906</v>
      </c>
      <c r="E92">
        <v>4512.5929684</v>
      </c>
      <c r="F92">
        <v>4038</v>
      </c>
      <c r="G92">
        <v>3400.0331707</v>
      </c>
      <c r="H92">
        <v>4125.9073171</v>
      </c>
      <c r="I92">
        <v>0.1133931707</v>
      </c>
      <c r="J92">
        <v>0.0570913171</v>
      </c>
      <c r="K92">
        <v>0.0343474146</v>
      </c>
    </row>
    <row r="93" spans="1:11" ht="12.75">
      <c r="A93">
        <v>31916</v>
      </c>
      <c r="B93" t="s">
        <v>311</v>
      </c>
      <c r="C93">
        <v>1.1142275303</v>
      </c>
      <c r="D93">
        <v>506.96255472</v>
      </c>
      <c r="E93">
        <v>4237.708733</v>
      </c>
      <c r="F93">
        <v>3732</v>
      </c>
      <c r="G93">
        <v>3400.0331707</v>
      </c>
      <c r="H93">
        <v>4125.9073171</v>
      </c>
      <c r="I93">
        <v>0.1133931707</v>
      </c>
      <c r="J93">
        <v>0.0570913171</v>
      </c>
      <c r="K93">
        <v>0.0343474146</v>
      </c>
    </row>
    <row r="94" spans="1:11" ht="12.75">
      <c r="A94">
        <v>37901</v>
      </c>
      <c r="B94" t="s">
        <v>312</v>
      </c>
      <c r="C94">
        <v>1.2819150345</v>
      </c>
      <c r="D94">
        <v>3394.8466197</v>
      </c>
      <c r="E94">
        <v>4447.0811496</v>
      </c>
      <c r="F94">
        <v>4197</v>
      </c>
      <c r="G94">
        <v>3400.0331707</v>
      </c>
      <c r="H94">
        <v>4125.9073171</v>
      </c>
      <c r="I94">
        <v>0.1133931707</v>
      </c>
      <c r="J94">
        <v>0.0570913171</v>
      </c>
      <c r="K94">
        <v>0.0343474146</v>
      </c>
    </row>
    <row r="95" spans="1:11" ht="12.75">
      <c r="A95">
        <v>37904</v>
      </c>
      <c r="B95" t="s">
        <v>313</v>
      </c>
      <c r="C95">
        <v>1.0465523198</v>
      </c>
      <c r="D95">
        <v>3007.6331734</v>
      </c>
      <c r="E95">
        <v>4522.2931041</v>
      </c>
      <c r="F95">
        <v>3438</v>
      </c>
      <c r="G95">
        <v>3400.0331707</v>
      </c>
      <c r="H95">
        <v>4125.9073171</v>
      </c>
      <c r="I95">
        <v>0.1133931707</v>
      </c>
      <c r="J95">
        <v>0.0570913171</v>
      </c>
      <c r="K95">
        <v>0.0343474146</v>
      </c>
    </row>
    <row r="96" spans="1:11" ht="12.75">
      <c r="A96">
        <v>39902</v>
      </c>
      <c r="B96" t="s">
        <v>314</v>
      </c>
      <c r="C96">
        <v>1.3344500323</v>
      </c>
      <c r="D96">
        <v>4871.3549095</v>
      </c>
      <c r="E96">
        <v>4578.3892349</v>
      </c>
      <c r="F96">
        <v>4369</v>
      </c>
      <c r="G96">
        <v>3400.0331707</v>
      </c>
      <c r="H96">
        <v>4125.9073171</v>
      </c>
      <c r="I96">
        <v>0.1133931707</v>
      </c>
      <c r="J96">
        <v>0.0570913171</v>
      </c>
      <c r="K96">
        <v>0.0343474146</v>
      </c>
    </row>
    <row r="97" spans="1:11" ht="12.75">
      <c r="A97">
        <v>39903</v>
      </c>
      <c r="B97" t="s">
        <v>315</v>
      </c>
      <c r="C97">
        <v>1.3292576198</v>
      </c>
      <c r="D97">
        <v>3227.7979726</v>
      </c>
      <c r="E97">
        <v>4549.5744776</v>
      </c>
      <c r="F97">
        <v>4352</v>
      </c>
      <c r="G97">
        <v>3400.0331707</v>
      </c>
      <c r="H97">
        <v>4125.9073171</v>
      </c>
      <c r="I97">
        <v>0.1133931707</v>
      </c>
      <c r="J97">
        <v>0.0570913171</v>
      </c>
      <c r="K97">
        <v>0.0343474146</v>
      </c>
    </row>
    <row r="98" spans="1:11" ht="12.75">
      <c r="A98">
        <v>39905</v>
      </c>
      <c r="B98" t="s">
        <v>494</v>
      </c>
      <c r="C98">
        <v>1.3966207223</v>
      </c>
      <c r="D98">
        <v>7000</v>
      </c>
      <c r="E98">
        <v>4656.647008</v>
      </c>
      <c r="F98">
        <v>4588</v>
      </c>
      <c r="G98">
        <v>3400.0331707</v>
      </c>
      <c r="H98">
        <v>4125.9073171</v>
      </c>
      <c r="I98">
        <v>0.1133931707</v>
      </c>
      <c r="J98">
        <v>0.0570913171</v>
      </c>
      <c r="K98">
        <v>0.0343474146</v>
      </c>
    </row>
    <row r="99" spans="1:11" ht="12.75">
      <c r="A99">
        <v>42903</v>
      </c>
      <c r="B99" t="s">
        <v>1126</v>
      </c>
      <c r="C99">
        <v>1.5565164046</v>
      </c>
      <c r="D99">
        <v>3574.2069261</v>
      </c>
      <c r="E99">
        <v>4640.9785776</v>
      </c>
      <c r="F99">
        <v>5062</v>
      </c>
      <c r="G99">
        <v>3400.0331707</v>
      </c>
      <c r="H99">
        <v>4125.9073171</v>
      </c>
      <c r="I99">
        <v>0.1133931707</v>
      </c>
      <c r="J99">
        <v>0.0570913171</v>
      </c>
      <c r="K99">
        <v>0.0343474146</v>
      </c>
    </row>
    <row r="100" spans="1:11" ht="12.75">
      <c r="A100">
        <v>43901</v>
      </c>
      <c r="B100" t="s">
        <v>316</v>
      </c>
      <c r="C100">
        <v>1.0425730267</v>
      </c>
      <c r="D100">
        <v>5436.3975132</v>
      </c>
      <c r="E100">
        <v>4842.7951681</v>
      </c>
      <c r="F100">
        <v>3492</v>
      </c>
      <c r="G100">
        <v>3400.0331707</v>
      </c>
      <c r="H100">
        <v>4125.9073171</v>
      </c>
      <c r="I100">
        <v>0.1133931707</v>
      </c>
      <c r="J100">
        <v>0.0570913171</v>
      </c>
      <c r="K100">
        <v>0.0343474146</v>
      </c>
    </row>
    <row r="101" spans="1:11" ht="12.75">
      <c r="A101">
        <v>43902</v>
      </c>
      <c r="B101" t="s">
        <v>317</v>
      </c>
      <c r="C101">
        <v>1.1118795306</v>
      </c>
      <c r="D101">
        <v>4325.1020183</v>
      </c>
      <c r="E101">
        <v>5113.8059085</v>
      </c>
      <c r="F101">
        <v>3689</v>
      </c>
      <c r="G101">
        <v>3400.0331707</v>
      </c>
      <c r="H101">
        <v>4125.9073171</v>
      </c>
      <c r="I101">
        <v>0.1133931707</v>
      </c>
      <c r="J101">
        <v>0.0570913171</v>
      </c>
      <c r="K101">
        <v>0.0343474146</v>
      </c>
    </row>
    <row r="102" spans="1:11" ht="12.75">
      <c r="A102">
        <v>43904</v>
      </c>
      <c r="B102" t="s">
        <v>318</v>
      </c>
      <c r="C102">
        <v>1.1230823786</v>
      </c>
      <c r="D102">
        <v>3525.0764898</v>
      </c>
      <c r="E102">
        <v>4679.9061268</v>
      </c>
      <c r="F102">
        <v>3714</v>
      </c>
      <c r="G102">
        <v>3400.0331707</v>
      </c>
      <c r="H102">
        <v>4125.9073171</v>
      </c>
      <c r="I102">
        <v>0.1133931707</v>
      </c>
      <c r="J102">
        <v>0.0570913171</v>
      </c>
      <c r="K102">
        <v>0.0343474146</v>
      </c>
    </row>
    <row r="103" spans="1:11" ht="12.75">
      <c r="A103">
        <v>43905</v>
      </c>
      <c r="B103" t="s">
        <v>319</v>
      </c>
      <c r="C103">
        <v>1.032007458</v>
      </c>
      <c r="D103">
        <v>6582.8222486</v>
      </c>
      <c r="E103">
        <v>5291.3846857</v>
      </c>
      <c r="F103">
        <v>3424</v>
      </c>
      <c r="G103">
        <v>3400.0331707</v>
      </c>
      <c r="H103">
        <v>4125.9073171</v>
      </c>
      <c r="I103">
        <v>0.1133931707</v>
      </c>
      <c r="J103">
        <v>0.0570913171</v>
      </c>
      <c r="K103">
        <v>0.0343474146</v>
      </c>
    </row>
    <row r="104" spans="1:11" ht="12.75">
      <c r="A104">
        <v>43907</v>
      </c>
      <c r="B104" t="s">
        <v>320</v>
      </c>
      <c r="C104">
        <v>1.0425730267</v>
      </c>
      <c r="D104">
        <v>5889.0714667</v>
      </c>
      <c r="E104">
        <v>5226.6951379</v>
      </c>
      <c r="F104">
        <v>3492</v>
      </c>
      <c r="G104">
        <v>3400.0331707</v>
      </c>
      <c r="H104">
        <v>4125.9073171</v>
      </c>
      <c r="I104">
        <v>0.1133931707</v>
      </c>
      <c r="J104">
        <v>0.0570913171</v>
      </c>
      <c r="K104">
        <v>0.0343474146</v>
      </c>
    </row>
    <row r="105" spans="1:11" ht="12.75">
      <c r="A105">
        <v>43908</v>
      </c>
      <c r="B105" t="s">
        <v>800</v>
      </c>
      <c r="C105">
        <v>1.140621091</v>
      </c>
      <c r="D105">
        <v>5017.1187566</v>
      </c>
      <c r="E105">
        <v>4990.4143844</v>
      </c>
      <c r="F105">
        <v>3772</v>
      </c>
      <c r="G105">
        <v>3400.0331707</v>
      </c>
      <c r="H105">
        <v>4125.9073171</v>
      </c>
      <c r="I105">
        <v>0.1133931707</v>
      </c>
      <c r="J105">
        <v>0.0570913171</v>
      </c>
      <c r="K105">
        <v>0.0343474146</v>
      </c>
    </row>
    <row r="106" spans="1:11" ht="12.75">
      <c r="A106">
        <v>43910</v>
      </c>
      <c r="B106" t="s">
        <v>321</v>
      </c>
      <c r="C106">
        <v>1.046146675</v>
      </c>
      <c r="D106">
        <v>6718.03387</v>
      </c>
      <c r="E106">
        <v>5179.3200405</v>
      </c>
      <c r="F106">
        <v>3515</v>
      </c>
      <c r="G106">
        <v>3400.0331707</v>
      </c>
      <c r="H106">
        <v>4125.9073171</v>
      </c>
      <c r="I106">
        <v>0.1133931707</v>
      </c>
      <c r="J106">
        <v>0.0570913171</v>
      </c>
      <c r="K106">
        <v>0.0343474146</v>
      </c>
    </row>
    <row r="107" spans="1:11" ht="12.75">
      <c r="A107">
        <v>43911</v>
      </c>
      <c r="B107" t="s">
        <v>322</v>
      </c>
      <c r="C107">
        <v>1.1004261768</v>
      </c>
      <c r="D107">
        <v>3295.616038</v>
      </c>
      <c r="E107">
        <v>4835.0230887</v>
      </c>
      <c r="F107">
        <v>3651</v>
      </c>
      <c r="G107">
        <v>3400.0331707</v>
      </c>
      <c r="H107">
        <v>4125.9073171</v>
      </c>
      <c r="I107">
        <v>0.1133931707</v>
      </c>
      <c r="J107">
        <v>0.0570913171</v>
      </c>
      <c r="K107">
        <v>0.0343474146</v>
      </c>
    </row>
    <row r="108" spans="1:11" ht="12.75">
      <c r="A108">
        <v>43912</v>
      </c>
      <c r="B108" t="s">
        <v>323</v>
      </c>
      <c r="C108">
        <v>1.0248601616</v>
      </c>
      <c r="D108">
        <v>7000</v>
      </c>
      <c r="E108">
        <v>7263.6247969</v>
      </c>
      <c r="F108">
        <v>3378</v>
      </c>
      <c r="G108">
        <v>3400.0331707</v>
      </c>
      <c r="H108">
        <v>4125.9073171</v>
      </c>
      <c r="I108">
        <v>0.1133931707</v>
      </c>
      <c r="J108">
        <v>0.0570913171</v>
      </c>
      <c r="K108">
        <v>0.0343474146</v>
      </c>
    </row>
    <row r="109" spans="1:11" ht="12.75">
      <c r="A109">
        <v>43914</v>
      </c>
      <c r="B109" t="s">
        <v>324</v>
      </c>
      <c r="C109">
        <v>1.0354257303</v>
      </c>
      <c r="D109">
        <v>4438.9798143</v>
      </c>
      <c r="E109">
        <v>5288.7236329</v>
      </c>
      <c r="F109">
        <v>3446</v>
      </c>
      <c r="G109">
        <v>3400.0331707</v>
      </c>
      <c r="H109">
        <v>4125.9073171</v>
      </c>
      <c r="I109">
        <v>0.1133931707</v>
      </c>
      <c r="J109">
        <v>0.0570913171</v>
      </c>
      <c r="K109">
        <v>0.0343474146</v>
      </c>
    </row>
    <row r="110" spans="1:11" ht="12.75">
      <c r="A110">
        <v>43917</v>
      </c>
      <c r="B110" t="s">
        <v>801</v>
      </c>
      <c r="C110">
        <v>1.3045173348</v>
      </c>
      <c r="D110">
        <v>3417.3533121</v>
      </c>
      <c r="E110">
        <v>4993.4237292</v>
      </c>
      <c r="F110">
        <v>4314</v>
      </c>
      <c r="G110">
        <v>3400.0331707</v>
      </c>
      <c r="H110">
        <v>4125.9073171</v>
      </c>
      <c r="I110">
        <v>0.1133931707</v>
      </c>
      <c r="J110">
        <v>0.0570913171</v>
      </c>
      <c r="K110">
        <v>0.0343474146</v>
      </c>
    </row>
    <row r="111" spans="1:11" ht="12.75">
      <c r="A111">
        <v>43918</v>
      </c>
      <c r="B111" t="s">
        <v>325</v>
      </c>
      <c r="C111">
        <v>1.1212680291</v>
      </c>
      <c r="D111">
        <v>4119.8707414</v>
      </c>
      <c r="E111">
        <v>4722.8427433</v>
      </c>
      <c r="F111">
        <v>3708</v>
      </c>
      <c r="G111">
        <v>3400.0331707</v>
      </c>
      <c r="H111">
        <v>4125.9073171</v>
      </c>
      <c r="I111">
        <v>0.1133931707</v>
      </c>
      <c r="J111">
        <v>0.0570913171</v>
      </c>
      <c r="K111">
        <v>0.0343474146</v>
      </c>
    </row>
    <row r="112" spans="1:11" ht="12.75">
      <c r="A112">
        <v>43919</v>
      </c>
      <c r="B112" t="s">
        <v>802</v>
      </c>
      <c r="C112">
        <v>1.0248601616</v>
      </c>
      <c r="D112">
        <v>7000</v>
      </c>
      <c r="E112">
        <v>6798.988071</v>
      </c>
      <c r="F112">
        <v>3378</v>
      </c>
      <c r="G112">
        <v>3400.0331707</v>
      </c>
      <c r="H112">
        <v>4125.9073171</v>
      </c>
      <c r="I112">
        <v>0.1133931707</v>
      </c>
      <c r="J112">
        <v>0.0570913171</v>
      </c>
      <c r="K112">
        <v>0.0343474146</v>
      </c>
    </row>
    <row r="113" spans="1:11" ht="12.75">
      <c r="A113">
        <v>45902</v>
      </c>
      <c r="B113" t="s">
        <v>1127</v>
      </c>
      <c r="C113">
        <v>1.1456104115</v>
      </c>
      <c r="D113">
        <v>6059.3933479</v>
      </c>
      <c r="E113">
        <v>4696.2771364</v>
      </c>
      <c r="F113">
        <v>3776</v>
      </c>
      <c r="G113">
        <v>3400.0331707</v>
      </c>
      <c r="H113">
        <v>4125.9073171</v>
      </c>
      <c r="I113">
        <v>0.1133931707</v>
      </c>
      <c r="J113">
        <v>0.0570913171</v>
      </c>
      <c r="K113">
        <v>0.0343474146</v>
      </c>
    </row>
    <row r="114" spans="1:11" ht="12.75">
      <c r="A114">
        <v>45903</v>
      </c>
      <c r="B114" t="s">
        <v>635</v>
      </c>
      <c r="C114">
        <v>1.2322457439</v>
      </c>
      <c r="D114">
        <v>7000</v>
      </c>
      <c r="E114">
        <v>5070.1170541</v>
      </c>
      <c r="F114">
        <v>4075</v>
      </c>
      <c r="G114">
        <v>3400.0331707</v>
      </c>
      <c r="H114">
        <v>4125.9073171</v>
      </c>
      <c r="I114">
        <v>0.1133931707</v>
      </c>
      <c r="J114">
        <v>0.0570913171</v>
      </c>
      <c r="K114">
        <v>0.0343474146</v>
      </c>
    </row>
    <row r="115" spans="1:11" ht="12.75">
      <c r="A115">
        <v>46901</v>
      </c>
      <c r="B115" t="s">
        <v>326</v>
      </c>
      <c r="C115">
        <v>1.0284338098</v>
      </c>
      <c r="D115">
        <v>4943.603812</v>
      </c>
      <c r="E115">
        <v>4464.1330857</v>
      </c>
      <c r="F115">
        <v>3401</v>
      </c>
      <c r="G115">
        <v>3400.0331707</v>
      </c>
      <c r="H115">
        <v>4125.9073171</v>
      </c>
      <c r="I115">
        <v>0.1133931707</v>
      </c>
      <c r="J115">
        <v>0.0570913171</v>
      </c>
      <c r="K115">
        <v>0.0343474146</v>
      </c>
    </row>
    <row r="116" spans="1:11" ht="12.75">
      <c r="A116">
        <v>46902</v>
      </c>
      <c r="B116" t="s">
        <v>991</v>
      </c>
      <c r="C116">
        <v>1.032007458</v>
      </c>
      <c r="D116">
        <v>6731.6203965</v>
      </c>
      <c r="E116">
        <v>4986.914033</v>
      </c>
      <c r="F116">
        <v>3424</v>
      </c>
      <c r="G116">
        <v>3400.0331707</v>
      </c>
      <c r="H116">
        <v>4125.9073171</v>
      </c>
      <c r="I116">
        <v>0.1133931707</v>
      </c>
      <c r="J116">
        <v>0.0570913171</v>
      </c>
      <c r="K116">
        <v>0.0343474146</v>
      </c>
    </row>
    <row r="117" spans="1:11" ht="12.75">
      <c r="A117">
        <v>47901</v>
      </c>
      <c r="B117" t="s">
        <v>327</v>
      </c>
      <c r="C117">
        <v>1.2390948486</v>
      </c>
      <c r="D117">
        <v>3844.6483255</v>
      </c>
      <c r="E117">
        <v>4631.2929849</v>
      </c>
      <c r="F117">
        <v>4043</v>
      </c>
      <c r="G117">
        <v>3400.0331707</v>
      </c>
      <c r="H117">
        <v>4125.9073171</v>
      </c>
      <c r="I117">
        <v>0.1133931707</v>
      </c>
      <c r="J117">
        <v>0.0570913171</v>
      </c>
      <c r="K117">
        <v>0.0343474146</v>
      </c>
    </row>
    <row r="118" spans="1:11" ht="12.75">
      <c r="A118">
        <v>47902</v>
      </c>
      <c r="B118" t="s">
        <v>328</v>
      </c>
      <c r="C118">
        <v>1.2734205035</v>
      </c>
      <c r="D118">
        <v>3866.9666207</v>
      </c>
      <c r="E118">
        <v>4622.2179861</v>
      </c>
      <c r="F118">
        <v>4155</v>
      </c>
      <c r="G118">
        <v>3400.0331707</v>
      </c>
      <c r="H118">
        <v>4125.9073171</v>
      </c>
      <c r="I118">
        <v>0.1133931707</v>
      </c>
      <c r="J118">
        <v>0.0570913171</v>
      </c>
      <c r="K118">
        <v>0.0343474146</v>
      </c>
    </row>
    <row r="119" spans="1:11" ht="12.75">
      <c r="A119">
        <v>47903</v>
      </c>
      <c r="B119" t="s">
        <v>329</v>
      </c>
      <c r="C119">
        <v>1.3796545654</v>
      </c>
      <c r="D119">
        <v>3496.6000135</v>
      </c>
      <c r="E119">
        <v>4624.2085414</v>
      </c>
      <c r="F119">
        <v>4517</v>
      </c>
      <c r="G119">
        <v>3400.0331707</v>
      </c>
      <c r="H119">
        <v>4125.9073171</v>
      </c>
      <c r="I119">
        <v>0.1133931707</v>
      </c>
      <c r="J119">
        <v>0.0570913171</v>
      </c>
      <c r="K119">
        <v>0.0343474146</v>
      </c>
    </row>
    <row r="120" spans="1:11" ht="12.75">
      <c r="A120">
        <v>47905</v>
      </c>
      <c r="B120" t="s">
        <v>330</v>
      </c>
      <c r="C120">
        <v>1.3868177566</v>
      </c>
      <c r="D120">
        <v>3135.8179684</v>
      </c>
      <c r="E120">
        <v>4736.2636892</v>
      </c>
      <c r="F120">
        <v>4525</v>
      </c>
      <c r="G120">
        <v>3400.0331707</v>
      </c>
      <c r="H120">
        <v>4125.9073171</v>
      </c>
      <c r="I120">
        <v>0.1133931707</v>
      </c>
      <c r="J120">
        <v>0.0570913171</v>
      </c>
      <c r="K120">
        <v>0.0343474146</v>
      </c>
    </row>
    <row r="121" spans="1:11" ht="12.75">
      <c r="A121">
        <v>49901</v>
      </c>
      <c r="B121" t="s">
        <v>331</v>
      </c>
      <c r="C121">
        <v>1.1007275808</v>
      </c>
      <c r="D121">
        <v>4377.6812325</v>
      </c>
      <c r="E121">
        <v>4366.8540247</v>
      </c>
      <c r="F121">
        <v>3652</v>
      </c>
      <c r="G121">
        <v>3400.0331707</v>
      </c>
      <c r="H121">
        <v>4125.9073171</v>
      </c>
      <c r="I121">
        <v>0.1133931707</v>
      </c>
      <c r="J121">
        <v>0.0570913171</v>
      </c>
      <c r="K121">
        <v>0.0343474146</v>
      </c>
    </row>
    <row r="122" spans="1:11" ht="12.75">
      <c r="A122">
        <v>49903</v>
      </c>
      <c r="B122" t="s">
        <v>332</v>
      </c>
      <c r="C122">
        <v>1.292452424</v>
      </c>
      <c r="D122">
        <v>3873.0250715</v>
      </c>
      <c r="E122">
        <v>4466.9761896</v>
      </c>
      <c r="F122">
        <v>4260</v>
      </c>
      <c r="G122">
        <v>3400.0331707</v>
      </c>
      <c r="H122">
        <v>4125.9073171</v>
      </c>
      <c r="I122">
        <v>0.1133931707</v>
      </c>
      <c r="J122">
        <v>0.0570913171</v>
      </c>
      <c r="K122">
        <v>0.0343474146</v>
      </c>
    </row>
    <row r="123" spans="1:11" ht="12.75">
      <c r="A123">
        <v>49905</v>
      </c>
      <c r="B123" t="s">
        <v>333</v>
      </c>
      <c r="C123">
        <v>1.1747361</v>
      </c>
      <c r="D123">
        <v>7000</v>
      </c>
      <c r="E123">
        <v>5366.7120001</v>
      </c>
      <c r="F123">
        <v>3872</v>
      </c>
      <c r="G123">
        <v>3400.0331707</v>
      </c>
      <c r="H123">
        <v>4125.9073171</v>
      </c>
      <c r="I123">
        <v>0.1133931707</v>
      </c>
      <c r="J123">
        <v>0.0570913171</v>
      </c>
      <c r="K123">
        <v>0.0343474146</v>
      </c>
    </row>
    <row r="124" spans="1:11" ht="12.75">
      <c r="A124">
        <v>50910</v>
      </c>
      <c r="B124" t="s">
        <v>334</v>
      </c>
      <c r="C124">
        <v>1.032007458</v>
      </c>
      <c r="D124">
        <v>2672.8509305</v>
      </c>
      <c r="E124">
        <v>4661.6724556</v>
      </c>
      <c r="F124">
        <v>3424</v>
      </c>
      <c r="G124">
        <v>3400.0331707</v>
      </c>
      <c r="H124">
        <v>4125.9073171</v>
      </c>
      <c r="I124">
        <v>0.1133931707</v>
      </c>
      <c r="J124">
        <v>0.0570913171</v>
      </c>
      <c r="K124">
        <v>0.0343474146</v>
      </c>
    </row>
    <row r="125" spans="1:11" ht="12.75">
      <c r="A125">
        <v>57903</v>
      </c>
      <c r="B125" t="s">
        <v>335</v>
      </c>
      <c r="C125">
        <v>1.0497203232</v>
      </c>
      <c r="D125">
        <v>6978.2799441</v>
      </c>
      <c r="E125">
        <v>5434.8980034</v>
      </c>
      <c r="F125">
        <v>3538</v>
      </c>
      <c r="G125">
        <v>3400.0331707</v>
      </c>
      <c r="H125">
        <v>4125.9073171</v>
      </c>
      <c r="I125">
        <v>0.1133931707</v>
      </c>
      <c r="J125">
        <v>0.0570913171</v>
      </c>
      <c r="K125">
        <v>0.0343474146</v>
      </c>
    </row>
    <row r="126" spans="1:11" ht="12.75">
      <c r="A126">
        <v>57904</v>
      </c>
      <c r="B126" t="s">
        <v>336</v>
      </c>
      <c r="C126">
        <v>1.0425730267</v>
      </c>
      <c r="D126">
        <v>4962.3228418</v>
      </c>
      <c r="E126">
        <v>4664.7033179</v>
      </c>
      <c r="F126">
        <v>3492</v>
      </c>
      <c r="G126">
        <v>3400.0331707</v>
      </c>
      <c r="H126">
        <v>4125.9073171</v>
      </c>
      <c r="I126">
        <v>0.1133931707</v>
      </c>
      <c r="J126">
        <v>0.0570913171</v>
      </c>
      <c r="K126">
        <v>0.0343474146</v>
      </c>
    </row>
    <row r="127" spans="1:11" ht="12.75">
      <c r="A127">
        <v>57905</v>
      </c>
      <c r="B127" t="s">
        <v>337</v>
      </c>
      <c r="C127">
        <v>1.0568676196</v>
      </c>
      <c r="D127">
        <v>7000</v>
      </c>
      <c r="E127">
        <v>5311.1613932</v>
      </c>
      <c r="F127">
        <v>3584</v>
      </c>
      <c r="G127">
        <v>3400.0331707</v>
      </c>
      <c r="H127">
        <v>4125.9073171</v>
      </c>
      <c r="I127">
        <v>0.1133931707</v>
      </c>
      <c r="J127">
        <v>0.0570913171</v>
      </c>
      <c r="K127">
        <v>0.0343474146</v>
      </c>
    </row>
    <row r="128" spans="1:11" ht="12.75">
      <c r="A128">
        <v>57906</v>
      </c>
      <c r="B128" t="s">
        <v>338</v>
      </c>
      <c r="C128">
        <v>1.046146675</v>
      </c>
      <c r="D128">
        <v>3997.2382483</v>
      </c>
      <c r="E128">
        <v>4681.0929599</v>
      </c>
      <c r="F128">
        <v>3515</v>
      </c>
      <c r="G128">
        <v>3400.0331707</v>
      </c>
      <c r="H128">
        <v>4125.9073171</v>
      </c>
      <c r="I128">
        <v>0.1133931707</v>
      </c>
      <c r="J128">
        <v>0.0570913171</v>
      </c>
      <c r="K128">
        <v>0.0343474146</v>
      </c>
    </row>
    <row r="129" spans="1:11" ht="12.75">
      <c r="A129">
        <v>57907</v>
      </c>
      <c r="B129" t="s">
        <v>339</v>
      </c>
      <c r="C129">
        <v>1.0497203232</v>
      </c>
      <c r="D129">
        <v>4197.2556506</v>
      </c>
      <c r="E129">
        <v>4758.7741573</v>
      </c>
      <c r="F129">
        <v>3538</v>
      </c>
      <c r="G129">
        <v>3400.0331707</v>
      </c>
      <c r="H129">
        <v>4125.9073171</v>
      </c>
      <c r="I129">
        <v>0.1133931707</v>
      </c>
      <c r="J129">
        <v>0.0570913171</v>
      </c>
      <c r="K129">
        <v>0.0343474146</v>
      </c>
    </row>
    <row r="130" spans="1:11" ht="12.75">
      <c r="A130">
        <v>57909</v>
      </c>
      <c r="B130" t="s">
        <v>340</v>
      </c>
      <c r="C130">
        <v>1.0497203232</v>
      </c>
      <c r="D130">
        <v>3763.8839064</v>
      </c>
      <c r="E130">
        <v>4724.0786001</v>
      </c>
      <c r="F130">
        <v>3538</v>
      </c>
      <c r="G130">
        <v>3400.0331707</v>
      </c>
      <c r="H130">
        <v>4125.9073171</v>
      </c>
      <c r="I130">
        <v>0.1133931707</v>
      </c>
      <c r="J130">
        <v>0.0570913171</v>
      </c>
      <c r="K130">
        <v>0.0343474146</v>
      </c>
    </row>
    <row r="131" spans="1:11" ht="12.75">
      <c r="A131">
        <v>57910</v>
      </c>
      <c r="B131" t="s">
        <v>341</v>
      </c>
      <c r="C131">
        <v>1.0497203232</v>
      </c>
      <c r="D131">
        <v>2991.3270534</v>
      </c>
      <c r="E131">
        <v>4569.4418873</v>
      </c>
      <c r="F131">
        <v>3538</v>
      </c>
      <c r="G131">
        <v>3400.0331707</v>
      </c>
      <c r="H131">
        <v>4125.9073171</v>
      </c>
      <c r="I131">
        <v>0.1133931707</v>
      </c>
      <c r="J131">
        <v>0.0570913171</v>
      </c>
      <c r="K131">
        <v>0.0343474146</v>
      </c>
    </row>
    <row r="132" spans="1:11" ht="12.75">
      <c r="A132">
        <v>57911</v>
      </c>
      <c r="B132" t="s">
        <v>342</v>
      </c>
      <c r="C132">
        <v>1.0425730267</v>
      </c>
      <c r="D132">
        <v>6634.5855285</v>
      </c>
      <c r="E132">
        <v>5295.3987153</v>
      </c>
      <c r="F132">
        <v>3492</v>
      </c>
      <c r="G132">
        <v>3400.0331707</v>
      </c>
      <c r="H132">
        <v>4125.9073171</v>
      </c>
      <c r="I132">
        <v>0.1133931707</v>
      </c>
      <c r="J132">
        <v>0.0570913171</v>
      </c>
      <c r="K132">
        <v>0.0343474146</v>
      </c>
    </row>
    <row r="133" spans="1:11" ht="12.75">
      <c r="A133">
        <v>57912</v>
      </c>
      <c r="B133" t="s">
        <v>343</v>
      </c>
      <c r="C133">
        <v>1.0497203232</v>
      </c>
      <c r="D133">
        <v>4182.7717489</v>
      </c>
      <c r="E133">
        <v>4569.1706445</v>
      </c>
      <c r="F133">
        <v>3538</v>
      </c>
      <c r="G133">
        <v>3400.0331707</v>
      </c>
      <c r="H133">
        <v>4125.9073171</v>
      </c>
      <c r="I133">
        <v>0.1133931707</v>
      </c>
      <c r="J133">
        <v>0.0570913171</v>
      </c>
      <c r="K133">
        <v>0.0343474146</v>
      </c>
    </row>
    <row r="134" spans="1:11" ht="12.75">
      <c r="A134">
        <v>57913</v>
      </c>
      <c r="B134" t="s">
        <v>344</v>
      </c>
      <c r="C134">
        <v>1.0425730267</v>
      </c>
      <c r="D134">
        <v>4456.8443852</v>
      </c>
      <c r="E134">
        <v>4883.1786347</v>
      </c>
      <c r="F134">
        <v>3492</v>
      </c>
      <c r="G134">
        <v>3400.0331707</v>
      </c>
      <c r="H134">
        <v>4125.9073171</v>
      </c>
      <c r="I134">
        <v>0.1133931707</v>
      </c>
      <c r="J134">
        <v>0.0570913171</v>
      </c>
      <c r="K134">
        <v>0.0343474146</v>
      </c>
    </row>
    <row r="135" spans="1:11" ht="12.75">
      <c r="A135">
        <v>57914</v>
      </c>
      <c r="B135" t="s">
        <v>345</v>
      </c>
      <c r="C135">
        <v>1.0497203232</v>
      </c>
      <c r="D135">
        <v>3039.8857399</v>
      </c>
      <c r="E135">
        <v>4727.252755</v>
      </c>
      <c r="F135">
        <v>3538</v>
      </c>
      <c r="G135">
        <v>3400.0331707</v>
      </c>
      <c r="H135">
        <v>4125.9073171</v>
      </c>
      <c r="I135">
        <v>0.1133931707</v>
      </c>
      <c r="J135">
        <v>0.0570913171</v>
      </c>
      <c r="K135">
        <v>0.0343474146</v>
      </c>
    </row>
    <row r="136" spans="1:11" ht="12.75">
      <c r="A136">
        <v>57916</v>
      </c>
      <c r="B136" t="s">
        <v>346</v>
      </c>
      <c r="C136">
        <v>1.0497203232</v>
      </c>
      <c r="D136">
        <v>6646.6414196</v>
      </c>
      <c r="E136">
        <v>5005.2399573</v>
      </c>
      <c r="F136">
        <v>3538</v>
      </c>
      <c r="G136">
        <v>3400.0331707</v>
      </c>
      <c r="H136">
        <v>4125.9073171</v>
      </c>
      <c r="I136">
        <v>0.1133931707</v>
      </c>
      <c r="J136">
        <v>0.0570913171</v>
      </c>
      <c r="K136">
        <v>0.0343474146</v>
      </c>
    </row>
    <row r="137" spans="1:11" ht="12.75">
      <c r="A137">
        <v>57922</v>
      </c>
      <c r="B137" t="s">
        <v>347</v>
      </c>
      <c r="C137">
        <v>1.0389993785</v>
      </c>
      <c r="D137">
        <v>6288.3627723</v>
      </c>
      <c r="E137">
        <v>5122.8571519</v>
      </c>
      <c r="F137">
        <v>3469</v>
      </c>
      <c r="G137">
        <v>3400.0331707</v>
      </c>
      <c r="H137">
        <v>4125.9073171</v>
      </c>
      <c r="I137">
        <v>0.1133931707</v>
      </c>
      <c r="J137">
        <v>0.0570913171</v>
      </c>
      <c r="K137">
        <v>0.0343474146</v>
      </c>
    </row>
    <row r="138" spans="1:11" ht="12.75">
      <c r="A138">
        <v>61901</v>
      </c>
      <c r="B138" t="s">
        <v>348</v>
      </c>
      <c r="C138">
        <v>1.0497203232</v>
      </c>
      <c r="D138">
        <v>6764.073008</v>
      </c>
      <c r="E138">
        <v>5494.6210249</v>
      </c>
      <c r="F138">
        <v>3538</v>
      </c>
      <c r="G138">
        <v>3400.0331707</v>
      </c>
      <c r="H138">
        <v>4125.9073171</v>
      </c>
      <c r="I138">
        <v>0.1133931707</v>
      </c>
      <c r="J138">
        <v>0.0570913171</v>
      </c>
      <c r="K138">
        <v>0.0343474146</v>
      </c>
    </row>
    <row r="139" spans="1:11" ht="12.75">
      <c r="A139">
        <v>61902</v>
      </c>
      <c r="B139" t="s">
        <v>349</v>
      </c>
      <c r="C139">
        <v>1.0497203232</v>
      </c>
      <c r="D139">
        <v>6678.5416805</v>
      </c>
      <c r="E139">
        <v>5213.8175575</v>
      </c>
      <c r="F139">
        <v>3538</v>
      </c>
      <c r="G139">
        <v>3400.0331707</v>
      </c>
      <c r="H139">
        <v>4125.9073171</v>
      </c>
      <c r="I139">
        <v>0.1133931707</v>
      </c>
      <c r="J139">
        <v>0.0570913171</v>
      </c>
      <c r="K139">
        <v>0.0343474146</v>
      </c>
    </row>
    <row r="140" spans="1:11" ht="12.75">
      <c r="A140">
        <v>61903</v>
      </c>
      <c r="B140" t="s">
        <v>350</v>
      </c>
      <c r="C140">
        <v>1.1239895534</v>
      </c>
      <c r="D140">
        <v>5066.4586771</v>
      </c>
      <c r="E140">
        <v>4913.470145</v>
      </c>
      <c r="F140">
        <v>3717</v>
      </c>
      <c r="G140">
        <v>3400.0331707</v>
      </c>
      <c r="H140">
        <v>4125.9073171</v>
      </c>
      <c r="I140">
        <v>0.1133931707</v>
      </c>
      <c r="J140">
        <v>0.0570913171</v>
      </c>
      <c r="K140">
        <v>0.0343474146</v>
      </c>
    </row>
    <row r="141" spans="1:11" ht="12.75">
      <c r="A141">
        <v>61905</v>
      </c>
      <c r="B141" t="s">
        <v>351</v>
      </c>
      <c r="C141">
        <v>1.0913312613</v>
      </c>
      <c r="D141">
        <v>7000</v>
      </c>
      <c r="E141">
        <v>6367.6571011</v>
      </c>
      <c r="F141">
        <v>3609</v>
      </c>
      <c r="G141">
        <v>3400.0331707</v>
      </c>
      <c r="H141">
        <v>4125.9073171</v>
      </c>
      <c r="I141">
        <v>0.1133931707</v>
      </c>
      <c r="J141">
        <v>0.0570913171</v>
      </c>
      <c r="K141">
        <v>0.0343474146</v>
      </c>
    </row>
    <row r="142" spans="1:11" ht="12.75">
      <c r="A142">
        <v>61906</v>
      </c>
      <c r="B142" t="s">
        <v>352</v>
      </c>
      <c r="C142">
        <v>1.1738259222</v>
      </c>
      <c r="D142">
        <v>7000</v>
      </c>
      <c r="E142">
        <v>6203.1155756</v>
      </c>
      <c r="F142">
        <v>3869</v>
      </c>
      <c r="G142">
        <v>3400.0331707</v>
      </c>
      <c r="H142">
        <v>4125.9073171</v>
      </c>
      <c r="I142">
        <v>0.1133931707</v>
      </c>
      <c r="J142">
        <v>0.0570913171</v>
      </c>
      <c r="K142">
        <v>0.0343474146</v>
      </c>
    </row>
    <row r="143" spans="1:11" ht="12.75">
      <c r="A143">
        <v>61907</v>
      </c>
      <c r="B143" t="s">
        <v>353</v>
      </c>
      <c r="C143">
        <v>1.1197560711</v>
      </c>
      <c r="D143">
        <v>4966.182257</v>
      </c>
      <c r="E143">
        <v>4920.6692238</v>
      </c>
      <c r="F143">
        <v>3703</v>
      </c>
      <c r="G143">
        <v>3400.0331707</v>
      </c>
      <c r="H143">
        <v>4125.9073171</v>
      </c>
      <c r="I143">
        <v>0.1133931707</v>
      </c>
      <c r="J143">
        <v>0.0570913171</v>
      </c>
      <c r="K143">
        <v>0.0343474146</v>
      </c>
    </row>
    <row r="144" spans="1:11" ht="12.75">
      <c r="A144">
        <v>61908</v>
      </c>
      <c r="B144" t="s">
        <v>354</v>
      </c>
      <c r="C144">
        <v>1.101933197</v>
      </c>
      <c r="D144">
        <v>4169.4651908</v>
      </c>
      <c r="E144">
        <v>4795.5710533</v>
      </c>
      <c r="F144">
        <v>3656</v>
      </c>
      <c r="G144">
        <v>3400.0331707</v>
      </c>
      <c r="H144">
        <v>4125.9073171</v>
      </c>
      <c r="I144">
        <v>0.1133931707</v>
      </c>
      <c r="J144">
        <v>0.0570913171</v>
      </c>
      <c r="K144">
        <v>0.0343474146</v>
      </c>
    </row>
    <row r="145" spans="1:11" ht="12.75">
      <c r="A145">
        <v>61910</v>
      </c>
      <c r="B145" t="s">
        <v>355</v>
      </c>
      <c r="C145">
        <v>1.0344816417</v>
      </c>
      <c r="D145">
        <v>6920.4388597</v>
      </c>
      <c r="E145">
        <v>5357.8452078</v>
      </c>
      <c r="F145">
        <v>3421</v>
      </c>
      <c r="G145">
        <v>3400.0331707</v>
      </c>
      <c r="H145">
        <v>4125.9073171</v>
      </c>
      <c r="I145">
        <v>0.1133931707</v>
      </c>
      <c r="J145">
        <v>0.0570913171</v>
      </c>
      <c r="K145">
        <v>0.0343474146</v>
      </c>
    </row>
    <row r="146" spans="1:11" ht="12.75">
      <c r="A146">
        <v>61911</v>
      </c>
      <c r="B146" t="s">
        <v>356</v>
      </c>
      <c r="C146">
        <v>1.0389993785</v>
      </c>
      <c r="D146">
        <v>7000</v>
      </c>
      <c r="E146">
        <v>5504.2524414</v>
      </c>
      <c r="F146">
        <v>3469</v>
      </c>
      <c r="G146">
        <v>3400.0331707</v>
      </c>
      <c r="H146">
        <v>4125.9073171</v>
      </c>
      <c r="I146">
        <v>0.1133931707</v>
      </c>
      <c r="J146">
        <v>0.0570913171</v>
      </c>
      <c r="K146">
        <v>0.0343474146</v>
      </c>
    </row>
    <row r="147" spans="1:11" ht="12.75">
      <c r="A147">
        <v>61912</v>
      </c>
      <c r="B147" t="s">
        <v>357</v>
      </c>
      <c r="C147">
        <v>1.0690801559</v>
      </c>
      <c r="D147">
        <v>4868.5187997</v>
      </c>
      <c r="E147">
        <v>5100.5245852</v>
      </c>
      <c r="F147">
        <v>3547</v>
      </c>
      <c r="G147">
        <v>3400.0331707</v>
      </c>
      <c r="H147">
        <v>4125.9073171</v>
      </c>
      <c r="I147">
        <v>0.1133931707</v>
      </c>
      <c r="J147">
        <v>0.0570913171</v>
      </c>
      <c r="K147">
        <v>0.0343474146</v>
      </c>
    </row>
    <row r="148" spans="1:11" ht="12.75">
      <c r="A148">
        <v>61914</v>
      </c>
      <c r="B148" t="s">
        <v>358</v>
      </c>
      <c r="C148">
        <v>1.0284338098</v>
      </c>
      <c r="D148">
        <v>4292.2778693</v>
      </c>
      <c r="E148">
        <v>4755.1830639</v>
      </c>
      <c r="F148">
        <v>3401</v>
      </c>
      <c r="G148">
        <v>3400.0331707</v>
      </c>
      <c r="H148">
        <v>4125.9073171</v>
      </c>
      <c r="I148">
        <v>0.1133931707</v>
      </c>
      <c r="J148">
        <v>0.0570913171</v>
      </c>
      <c r="K148">
        <v>0.0343474146</v>
      </c>
    </row>
    <row r="149" spans="1:11" ht="12.75">
      <c r="A149">
        <v>67907</v>
      </c>
      <c r="B149" t="s">
        <v>359</v>
      </c>
      <c r="C149">
        <v>1.3304793639</v>
      </c>
      <c r="D149">
        <v>3426.4890515</v>
      </c>
      <c r="E149">
        <v>4674.0801154</v>
      </c>
      <c r="F149">
        <v>4356</v>
      </c>
      <c r="G149">
        <v>3400.0331707</v>
      </c>
      <c r="H149">
        <v>4125.9073171</v>
      </c>
      <c r="I149">
        <v>0.1133931707</v>
      </c>
      <c r="J149">
        <v>0.0570913171</v>
      </c>
      <c r="K149">
        <v>0.0343474146</v>
      </c>
    </row>
    <row r="150" spans="1:11" ht="12.75">
      <c r="A150">
        <v>67908</v>
      </c>
      <c r="B150" t="s">
        <v>360</v>
      </c>
      <c r="C150">
        <v>1.3769056411</v>
      </c>
      <c r="D150">
        <v>3088.5987898</v>
      </c>
      <c r="E150">
        <v>4999.145327</v>
      </c>
      <c r="F150">
        <v>4508</v>
      </c>
      <c r="G150">
        <v>3400.0331707</v>
      </c>
      <c r="H150">
        <v>4125.9073171</v>
      </c>
      <c r="I150">
        <v>0.1133931707</v>
      </c>
      <c r="J150">
        <v>0.0570913171</v>
      </c>
      <c r="K150">
        <v>0.0343474146</v>
      </c>
    </row>
    <row r="151" spans="1:11" ht="12.75">
      <c r="A151">
        <v>68901</v>
      </c>
      <c r="B151" t="s">
        <v>361</v>
      </c>
      <c r="C151">
        <v>1.0497203232</v>
      </c>
      <c r="D151">
        <v>4453.7634349</v>
      </c>
      <c r="E151">
        <v>4480.2926083</v>
      </c>
      <c r="F151">
        <v>3538</v>
      </c>
      <c r="G151">
        <v>3400.0331707</v>
      </c>
      <c r="H151">
        <v>4125.9073171</v>
      </c>
      <c r="I151">
        <v>0.1133931707</v>
      </c>
      <c r="J151">
        <v>0.0570913171</v>
      </c>
      <c r="K151">
        <v>0.0343474146</v>
      </c>
    </row>
    <row r="152" spans="1:11" ht="12.75">
      <c r="A152">
        <v>70901</v>
      </c>
      <c r="B152" t="s">
        <v>362</v>
      </c>
      <c r="C152">
        <v>1.3795263246</v>
      </c>
      <c r="D152">
        <v>2419.7877144</v>
      </c>
      <c r="E152">
        <v>4962.9739705</v>
      </c>
      <c r="F152">
        <v>4577</v>
      </c>
      <c r="G152">
        <v>3400.0331707</v>
      </c>
      <c r="H152">
        <v>4125.9073171</v>
      </c>
      <c r="I152">
        <v>0.1133931707</v>
      </c>
      <c r="J152">
        <v>0.0570913171</v>
      </c>
      <c r="K152">
        <v>0.0343474146</v>
      </c>
    </row>
    <row r="153" spans="1:11" ht="12.75">
      <c r="A153">
        <v>70903</v>
      </c>
      <c r="B153" t="s">
        <v>363</v>
      </c>
      <c r="C153">
        <v>1.0440910445</v>
      </c>
      <c r="D153">
        <v>4269.8654662</v>
      </c>
      <c r="E153">
        <v>4671.2342521</v>
      </c>
      <c r="F153">
        <v>3486</v>
      </c>
      <c r="G153">
        <v>3400.0331707</v>
      </c>
      <c r="H153">
        <v>4125.9073171</v>
      </c>
      <c r="I153">
        <v>0.1133931707</v>
      </c>
      <c r="J153">
        <v>0.0570913171</v>
      </c>
      <c r="K153">
        <v>0.0343474146</v>
      </c>
    </row>
    <row r="154" spans="1:11" ht="12.75">
      <c r="A154">
        <v>70905</v>
      </c>
      <c r="B154" t="s">
        <v>364</v>
      </c>
      <c r="C154">
        <v>1.1088654901</v>
      </c>
      <c r="D154">
        <v>2479.3569293</v>
      </c>
      <c r="E154">
        <v>4628.3385337</v>
      </c>
      <c r="F154">
        <v>3679</v>
      </c>
      <c r="G154">
        <v>3400.0331707</v>
      </c>
      <c r="H154">
        <v>4125.9073171</v>
      </c>
      <c r="I154">
        <v>0.1133931707</v>
      </c>
      <c r="J154">
        <v>0.0570913171</v>
      </c>
      <c r="K154">
        <v>0.0343474146</v>
      </c>
    </row>
    <row r="155" spans="1:11" ht="12.75">
      <c r="A155">
        <v>70907</v>
      </c>
      <c r="B155" t="s">
        <v>366</v>
      </c>
      <c r="C155">
        <v>1.3077921614</v>
      </c>
      <c r="D155">
        <v>2995.3380273</v>
      </c>
      <c r="E155">
        <v>4979.122011</v>
      </c>
      <c r="F155">
        <v>4339</v>
      </c>
      <c r="G155">
        <v>3400.0331707</v>
      </c>
      <c r="H155">
        <v>4125.9073171</v>
      </c>
      <c r="I155">
        <v>0.1133931707</v>
      </c>
      <c r="J155">
        <v>0.0570913171</v>
      </c>
      <c r="K155">
        <v>0.0343474146</v>
      </c>
    </row>
    <row r="156" spans="1:11" ht="12.75">
      <c r="A156">
        <v>70908</v>
      </c>
      <c r="B156" t="s">
        <v>367</v>
      </c>
      <c r="C156">
        <v>1.0389993785</v>
      </c>
      <c r="D156">
        <v>5058.6957297</v>
      </c>
      <c r="E156">
        <v>4658.1728843</v>
      </c>
      <c r="F156">
        <v>3469</v>
      </c>
      <c r="G156">
        <v>3400.0331707</v>
      </c>
      <c r="H156">
        <v>4125.9073171</v>
      </c>
      <c r="I156">
        <v>0.1133931707</v>
      </c>
      <c r="J156">
        <v>0.0570913171</v>
      </c>
      <c r="K156">
        <v>0.0343474146</v>
      </c>
    </row>
    <row r="157" spans="1:11" ht="12.75">
      <c r="A157">
        <v>70909</v>
      </c>
      <c r="B157" t="s">
        <v>368</v>
      </c>
      <c r="C157">
        <v>1.3962923298</v>
      </c>
      <c r="D157">
        <v>4111.7983752</v>
      </c>
      <c r="E157">
        <v>4781.6614481</v>
      </c>
      <c r="F157">
        <v>4647</v>
      </c>
      <c r="G157">
        <v>3400.0331707</v>
      </c>
      <c r="H157">
        <v>4125.9073171</v>
      </c>
      <c r="I157">
        <v>0.1133931707</v>
      </c>
      <c r="J157">
        <v>0.0570913171</v>
      </c>
      <c r="K157">
        <v>0.0343474146</v>
      </c>
    </row>
    <row r="158" spans="1:11" ht="12.75">
      <c r="A158">
        <v>70910</v>
      </c>
      <c r="B158" t="s">
        <v>369</v>
      </c>
      <c r="C158">
        <v>1.189003746</v>
      </c>
      <c r="D158">
        <v>3417.3649399</v>
      </c>
      <c r="E158">
        <v>4996.7174732</v>
      </c>
      <c r="F158">
        <v>3932</v>
      </c>
      <c r="G158">
        <v>3400.0331707</v>
      </c>
      <c r="H158">
        <v>4125.9073171</v>
      </c>
      <c r="I158">
        <v>0.1133931707</v>
      </c>
      <c r="J158">
        <v>0.0570913171</v>
      </c>
      <c r="K158">
        <v>0.0343474146</v>
      </c>
    </row>
    <row r="159" spans="1:11" ht="12.75">
      <c r="A159">
        <v>70911</v>
      </c>
      <c r="B159" t="s">
        <v>370</v>
      </c>
      <c r="C159">
        <v>1.0530763375</v>
      </c>
      <c r="D159">
        <v>3729.365928</v>
      </c>
      <c r="E159">
        <v>5093.6640173</v>
      </c>
      <c r="F159">
        <v>3516</v>
      </c>
      <c r="G159">
        <v>3400.0331707</v>
      </c>
      <c r="H159">
        <v>4125.9073171</v>
      </c>
      <c r="I159">
        <v>0.1133931707</v>
      </c>
      <c r="J159">
        <v>0.0570913171</v>
      </c>
      <c r="K159">
        <v>0.0343474146</v>
      </c>
    </row>
    <row r="160" spans="1:11" ht="12.75">
      <c r="A160">
        <v>70912</v>
      </c>
      <c r="B160" t="s">
        <v>371</v>
      </c>
      <c r="C160">
        <v>1.0389993785</v>
      </c>
      <c r="D160">
        <v>5994.1408378</v>
      </c>
      <c r="E160">
        <v>5054.4287107</v>
      </c>
      <c r="F160">
        <v>3469</v>
      </c>
      <c r="G160">
        <v>3400.0331707</v>
      </c>
      <c r="H160">
        <v>4125.9073171</v>
      </c>
      <c r="I160">
        <v>0.1133931707</v>
      </c>
      <c r="J160">
        <v>0.0570913171</v>
      </c>
      <c r="K160">
        <v>0.0343474146</v>
      </c>
    </row>
    <row r="161" spans="1:11" ht="12.75">
      <c r="A161">
        <v>70915</v>
      </c>
      <c r="B161" t="s">
        <v>372</v>
      </c>
      <c r="C161">
        <v>1.2065424584</v>
      </c>
      <c r="D161">
        <v>3209.7224524</v>
      </c>
      <c r="E161">
        <v>4665.3082146</v>
      </c>
      <c r="F161">
        <v>3990</v>
      </c>
      <c r="G161">
        <v>3400.0331707</v>
      </c>
      <c r="H161">
        <v>4125.9073171</v>
      </c>
      <c r="I161">
        <v>0.1133931707</v>
      </c>
      <c r="J161">
        <v>0.0570913171</v>
      </c>
      <c r="K161">
        <v>0.0343474146</v>
      </c>
    </row>
    <row r="162" spans="1:11" ht="12.75">
      <c r="A162">
        <v>71901</v>
      </c>
      <c r="B162" t="s">
        <v>373</v>
      </c>
      <c r="C162">
        <v>1.0425730267</v>
      </c>
      <c r="D162">
        <v>1834.1091355</v>
      </c>
      <c r="E162">
        <v>4599.0293573</v>
      </c>
      <c r="F162">
        <v>3492</v>
      </c>
      <c r="G162">
        <v>3400.0331707</v>
      </c>
      <c r="H162">
        <v>4125.9073171</v>
      </c>
      <c r="I162">
        <v>0.1133931707</v>
      </c>
      <c r="J162">
        <v>0.0570913171</v>
      </c>
      <c r="K162">
        <v>0.0343474146</v>
      </c>
    </row>
    <row r="163" spans="1:11" ht="12.75">
      <c r="A163">
        <v>71902</v>
      </c>
      <c r="B163" t="s">
        <v>374</v>
      </c>
      <c r="C163">
        <v>1.0497203232</v>
      </c>
      <c r="D163">
        <v>3567.0776229</v>
      </c>
      <c r="E163">
        <v>4660.4006178</v>
      </c>
      <c r="F163">
        <v>3538</v>
      </c>
      <c r="G163">
        <v>3400.0331707</v>
      </c>
      <c r="H163">
        <v>4125.9073171</v>
      </c>
      <c r="I163">
        <v>0.1133931707</v>
      </c>
      <c r="J163">
        <v>0.0570913171</v>
      </c>
      <c r="K163">
        <v>0.0343474146</v>
      </c>
    </row>
    <row r="164" spans="1:11" ht="12.75">
      <c r="A164">
        <v>71904</v>
      </c>
      <c r="B164" t="s">
        <v>375</v>
      </c>
      <c r="C164">
        <v>1.0930383467</v>
      </c>
      <c r="D164">
        <v>1081.612195</v>
      </c>
      <c r="E164">
        <v>4412.9360568</v>
      </c>
      <c r="F164">
        <v>3684</v>
      </c>
      <c r="G164">
        <v>3400.0331707</v>
      </c>
      <c r="H164">
        <v>4125.9073171</v>
      </c>
      <c r="I164">
        <v>0.1133931707</v>
      </c>
      <c r="J164">
        <v>0.0570913171</v>
      </c>
      <c r="K164">
        <v>0.0343474146</v>
      </c>
    </row>
    <row r="165" spans="1:11" ht="12.75">
      <c r="A165">
        <v>71905</v>
      </c>
      <c r="B165" t="s">
        <v>376</v>
      </c>
      <c r="C165">
        <v>1.0497203232</v>
      </c>
      <c r="D165">
        <v>2264.454422</v>
      </c>
      <c r="E165">
        <v>4856.8899136</v>
      </c>
      <c r="F165">
        <v>3538</v>
      </c>
      <c r="G165">
        <v>3400.0331707</v>
      </c>
      <c r="H165">
        <v>4125.9073171</v>
      </c>
      <c r="I165">
        <v>0.1133931707</v>
      </c>
      <c r="J165">
        <v>0.0570913171</v>
      </c>
      <c r="K165">
        <v>0.0343474146</v>
      </c>
    </row>
    <row r="166" spans="1:11" ht="12.75">
      <c r="A166">
        <v>71906</v>
      </c>
      <c r="B166" t="s">
        <v>377</v>
      </c>
      <c r="C166">
        <v>1.2727984311</v>
      </c>
      <c r="D166">
        <v>3140.9866965</v>
      </c>
      <c r="E166">
        <v>4619.47764</v>
      </c>
      <c r="F166">
        <v>4236</v>
      </c>
      <c r="G166">
        <v>3400.0331707</v>
      </c>
      <c r="H166">
        <v>4125.9073171</v>
      </c>
      <c r="I166">
        <v>0.1133931707</v>
      </c>
      <c r="J166">
        <v>0.0570913171</v>
      </c>
      <c r="K166">
        <v>0.0343474146</v>
      </c>
    </row>
    <row r="167" spans="1:11" ht="12.75">
      <c r="A167">
        <v>71907</v>
      </c>
      <c r="B167" t="s">
        <v>378</v>
      </c>
      <c r="C167">
        <v>1.0503134042</v>
      </c>
      <c r="D167">
        <v>3349.0186311</v>
      </c>
      <c r="E167">
        <v>4594.0422035</v>
      </c>
      <c r="F167">
        <v>3529</v>
      </c>
      <c r="G167">
        <v>3400.0331707</v>
      </c>
      <c r="H167">
        <v>4125.9073171</v>
      </c>
      <c r="I167">
        <v>0.1133931707</v>
      </c>
      <c r="J167">
        <v>0.0570913171</v>
      </c>
      <c r="K167">
        <v>0.0343474146</v>
      </c>
    </row>
    <row r="168" spans="1:11" ht="12.75">
      <c r="A168">
        <v>71909</v>
      </c>
      <c r="B168" t="s">
        <v>379</v>
      </c>
      <c r="C168">
        <v>1.0532939714</v>
      </c>
      <c r="D168">
        <v>2899.4511047</v>
      </c>
      <c r="E168">
        <v>4598.570905</v>
      </c>
      <c r="F168">
        <v>3561</v>
      </c>
      <c r="G168">
        <v>3400.0331707</v>
      </c>
      <c r="H168">
        <v>4125.9073171</v>
      </c>
      <c r="I168">
        <v>0.1133931707</v>
      </c>
      <c r="J168">
        <v>0.0570913171</v>
      </c>
      <c r="K168">
        <v>0.0343474146</v>
      </c>
    </row>
    <row r="169" spans="1:11" ht="12.75">
      <c r="A169">
        <v>72902</v>
      </c>
      <c r="B169" t="s">
        <v>380</v>
      </c>
      <c r="C169">
        <v>1.1359166103</v>
      </c>
      <c r="D169">
        <v>3849.5332217</v>
      </c>
      <c r="E169">
        <v>4933.2274022</v>
      </c>
      <c r="F169">
        <v>3719</v>
      </c>
      <c r="G169">
        <v>3400.0331707</v>
      </c>
      <c r="H169">
        <v>4125.9073171</v>
      </c>
      <c r="I169">
        <v>0.1133931707</v>
      </c>
      <c r="J169">
        <v>0.0570913171</v>
      </c>
      <c r="K169">
        <v>0.0343474146</v>
      </c>
    </row>
    <row r="170" spans="1:11" ht="12.75">
      <c r="A170">
        <v>72903</v>
      </c>
      <c r="B170" t="s">
        <v>381</v>
      </c>
      <c r="C170">
        <v>1.0801427723</v>
      </c>
      <c r="D170">
        <v>4985.3283398</v>
      </c>
      <c r="E170">
        <v>4631.0066336</v>
      </c>
      <c r="F170">
        <v>3572</v>
      </c>
      <c r="G170">
        <v>3400.0331707</v>
      </c>
      <c r="H170">
        <v>4125.9073171</v>
      </c>
      <c r="I170">
        <v>0.1133931707</v>
      </c>
      <c r="J170">
        <v>0.0570913171</v>
      </c>
      <c r="K170">
        <v>0.0343474146</v>
      </c>
    </row>
    <row r="171" spans="1:11" ht="12.75">
      <c r="A171">
        <v>72908</v>
      </c>
      <c r="B171" t="s">
        <v>382</v>
      </c>
      <c r="C171">
        <v>1.3877929104</v>
      </c>
      <c r="D171">
        <v>7000</v>
      </c>
      <c r="E171">
        <v>4753.5915662</v>
      </c>
      <c r="F171">
        <v>4559</v>
      </c>
      <c r="G171">
        <v>3400.0331707</v>
      </c>
      <c r="H171">
        <v>4125.9073171</v>
      </c>
      <c r="I171">
        <v>0.1133931707</v>
      </c>
      <c r="J171">
        <v>0.0570913171</v>
      </c>
      <c r="K171">
        <v>0.0343474146</v>
      </c>
    </row>
    <row r="172" spans="1:11" ht="12.75">
      <c r="A172">
        <v>72909</v>
      </c>
      <c r="B172" t="s">
        <v>383</v>
      </c>
      <c r="C172">
        <v>1.3829223935</v>
      </c>
      <c r="D172">
        <v>5335.0006595</v>
      </c>
      <c r="E172">
        <v>4293.7456938</v>
      </c>
      <c r="F172">
        <v>4543</v>
      </c>
      <c r="G172">
        <v>3400.0331707</v>
      </c>
      <c r="H172">
        <v>4125.9073171</v>
      </c>
      <c r="I172">
        <v>0.1133931707</v>
      </c>
      <c r="J172">
        <v>0.0570913171</v>
      </c>
      <c r="K172">
        <v>0.0343474146</v>
      </c>
    </row>
    <row r="173" spans="1:11" ht="12.75">
      <c r="A173">
        <v>73901</v>
      </c>
      <c r="B173" t="s">
        <v>803</v>
      </c>
      <c r="C173">
        <v>1.3376579196</v>
      </c>
      <c r="D173">
        <v>1925.5060633</v>
      </c>
      <c r="E173">
        <v>4317.9638594</v>
      </c>
      <c r="F173">
        <v>4409</v>
      </c>
      <c r="G173">
        <v>3400.0331707</v>
      </c>
      <c r="H173">
        <v>4125.9073171</v>
      </c>
      <c r="I173">
        <v>0.1133931707</v>
      </c>
      <c r="J173">
        <v>0.0570913171</v>
      </c>
      <c r="K173">
        <v>0.0343474146</v>
      </c>
    </row>
    <row r="174" spans="1:11" ht="12.75">
      <c r="A174">
        <v>73903</v>
      </c>
      <c r="B174" t="s">
        <v>1128</v>
      </c>
      <c r="C174">
        <v>1.2909097131</v>
      </c>
      <c r="D174">
        <v>2812.5729086</v>
      </c>
      <c r="E174">
        <v>4514.393124</v>
      </c>
      <c r="F174">
        <v>4269</v>
      </c>
      <c r="G174">
        <v>3400.0331707</v>
      </c>
      <c r="H174">
        <v>4125.9073171</v>
      </c>
      <c r="I174">
        <v>0.1133931707</v>
      </c>
      <c r="J174">
        <v>0.0570913171</v>
      </c>
      <c r="K174">
        <v>0.0343474146</v>
      </c>
    </row>
    <row r="175" spans="1:11" ht="12.75">
      <c r="A175">
        <v>73905</v>
      </c>
      <c r="B175" t="s">
        <v>384</v>
      </c>
      <c r="C175">
        <v>1.3967589833</v>
      </c>
      <c r="D175">
        <v>3207.2243802</v>
      </c>
      <c r="E175">
        <v>4785.7119021</v>
      </c>
      <c r="F175">
        <v>4573</v>
      </c>
      <c r="G175">
        <v>3400.0331707</v>
      </c>
      <c r="H175">
        <v>4125.9073171</v>
      </c>
      <c r="I175">
        <v>0.1133931707</v>
      </c>
      <c r="J175">
        <v>0.0570913171</v>
      </c>
      <c r="K175">
        <v>0.0343474146</v>
      </c>
    </row>
    <row r="176" spans="1:11" ht="12.75">
      <c r="A176">
        <v>75902</v>
      </c>
      <c r="B176" t="s">
        <v>385</v>
      </c>
      <c r="C176">
        <v>1.0380671224</v>
      </c>
      <c r="D176">
        <v>7000</v>
      </c>
      <c r="E176">
        <v>5898.620631</v>
      </c>
      <c r="F176">
        <v>3463</v>
      </c>
      <c r="G176">
        <v>3400.0331707</v>
      </c>
      <c r="H176">
        <v>4125.9073171</v>
      </c>
      <c r="I176">
        <v>0.1133931707</v>
      </c>
      <c r="J176">
        <v>0.0570913171</v>
      </c>
      <c r="K176">
        <v>0.0343474146</v>
      </c>
    </row>
    <row r="177" spans="1:11" ht="12.75">
      <c r="A177">
        <v>79901</v>
      </c>
      <c r="B177" t="s">
        <v>386</v>
      </c>
      <c r="C177">
        <v>1.0568676196</v>
      </c>
      <c r="D177">
        <v>5912.7300877</v>
      </c>
      <c r="E177">
        <v>4831.5026903</v>
      </c>
      <c r="F177">
        <v>3584</v>
      </c>
      <c r="G177">
        <v>3400.0331707</v>
      </c>
      <c r="H177">
        <v>4125.9073171</v>
      </c>
      <c r="I177">
        <v>0.1133931707</v>
      </c>
      <c r="J177">
        <v>0.0570913171</v>
      </c>
      <c r="K177">
        <v>0.0343474146</v>
      </c>
    </row>
    <row r="178" spans="1:11" ht="12.75">
      <c r="A178">
        <v>79906</v>
      </c>
      <c r="B178" t="s">
        <v>804</v>
      </c>
      <c r="C178">
        <v>1.1139289698</v>
      </c>
      <c r="D178">
        <v>3433.6139259</v>
      </c>
      <c r="E178">
        <v>4645.8821793</v>
      </c>
      <c r="F178">
        <v>3731</v>
      </c>
      <c r="G178">
        <v>3400.0331707</v>
      </c>
      <c r="H178">
        <v>4125.9073171</v>
      </c>
      <c r="I178">
        <v>0.1133931707</v>
      </c>
      <c r="J178">
        <v>0.0570913171</v>
      </c>
      <c r="K178">
        <v>0.0343474146</v>
      </c>
    </row>
    <row r="179" spans="1:11" ht="12.75">
      <c r="A179">
        <v>79907</v>
      </c>
      <c r="B179" t="s">
        <v>387</v>
      </c>
      <c r="C179">
        <v>1.0568676196</v>
      </c>
      <c r="D179">
        <v>4417.1164859</v>
      </c>
      <c r="E179">
        <v>4580.1110813</v>
      </c>
      <c r="F179">
        <v>3584</v>
      </c>
      <c r="G179">
        <v>3400.0331707</v>
      </c>
      <c r="H179">
        <v>4125.9073171</v>
      </c>
      <c r="I179">
        <v>0.1133931707</v>
      </c>
      <c r="J179">
        <v>0.0570913171</v>
      </c>
      <c r="K179">
        <v>0.0343474146</v>
      </c>
    </row>
    <row r="180" spans="1:11" ht="12.75">
      <c r="A180">
        <v>79910</v>
      </c>
      <c r="B180" t="s">
        <v>388</v>
      </c>
      <c r="C180">
        <v>1.0389993785</v>
      </c>
      <c r="D180">
        <v>6758.1695511</v>
      </c>
      <c r="E180">
        <v>4848.1729314</v>
      </c>
      <c r="F180">
        <v>3469</v>
      </c>
      <c r="G180">
        <v>3400.0331707</v>
      </c>
      <c r="H180">
        <v>4125.9073171</v>
      </c>
      <c r="I180">
        <v>0.1133931707</v>
      </c>
      <c r="J180">
        <v>0.0570913171</v>
      </c>
      <c r="K180">
        <v>0.0343474146</v>
      </c>
    </row>
    <row r="181" spans="1:11" ht="12.75">
      <c r="A181">
        <v>84901</v>
      </c>
      <c r="B181" t="s">
        <v>389</v>
      </c>
      <c r="C181">
        <v>1.0497203232</v>
      </c>
      <c r="D181">
        <v>4128.5130715</v>
      </c>
      <c r="E181">
        <v>4707.2438207</v>
      </c>
      <c r="F181">
        <v>3538</v>
      </c>
      <c r="G181">
        <v>3400.0331707</v>
      </c>
      <c r="H181">
        <v>4125.9073171</v>
      </c>
      <c r="I181">
        <v>0.1133931707</v>
      </c>
      <c r="J181">
        <v>0.0570913171</v>
      </c>
      <c r="K181">
        <v>0.0343474146</v>
      </c>
    </row>
    <row r="182" spans="1:11" ht="12.75">
      <c r="A182">
        <v>84902</v>
      </c>
      <c r="B182" t="s">
        <v>390</v>
      </c>
      <c r="C182">
        <v>1.0568676196</v>
      </c>
      <c r="D182">
        <v>7000</v>
      </c>
      <c r="E182">
        <v>4404.9186867</v>
      </c>
      <c r="F182">
        <v>3584</v>
      </c>
      <c r="G182">
        <v>3400.0331707</v>
      </c>
      <c r="H182">
        <v>4125.9073171</v>
      </c>
      <c r="I182">
        <v>0.1133931707</v>
      </c>
      <c r="J182">
        <v>0.0570913171</v>
      </c>
      <c r="K182">
        <v>0.0343474146</v>
      </c>
    </row>
    <row r="183" spans="1:11" ht="12.75">
      <c r="A183">
        <v>84904</v>
      </c>
      <c r="B183" t="s">
        <v>391</v>
      </c>
      <c r="C183">
        <v>1.0995657201</v>
      </c>
      <c r="D183">
        <v>6114.2294574</v>
      </c>
      <c r="E183">
        <v>4828.9932341</v>
      </c>
      <c r="F183">
        <v>3706</v>
      </c>
      <c r="G183">
        <v>3400.0331707</v>
      </c>
      <c r="H183">
        <v>4125.9073171</v>
      </c>
      <c r="I183">
        <v>0.1133931707</v>
      </c>
      <c r="J183">
        <v>0.0570913171</v>
      </c>
      <c r="K183">
        <v>0.0343474146</v>
      </c>
    </row>
    <row r="184" spans="1:11" ht="12.75">
      <c r="A184">
        <v>84906</v>
      </c>
      <c r="B184" t="s">
        <v>392</v>
      </c>
      <c r="C184">
        <v>1.0532939714</v>
      </c>
      <c r="D184">
        <v>7000</v>
      </c>
      <c r="E184">
        <v>5542.9604837</v>
      </c>
      <c r="F184">
        <v>3561</v>
      </c>
      <c r="G184">
        <v>3400.0331707</v>
      </c>
      <c r="H184">
        <v>4125.9073171</v>
      </c>
      <c r="I184">
        <v>0.1133931707</v>
      </c>
      <c r="J184">
        <v>0.0570913171</v>
      </c>
      <c r="K184">
        <v>0.0343474146</v>
      </c>
    </row>
    <row r="185" spans="1:11" ht="12.75">
      <c r="A185">
        <v>84908</v>
      </c>
      <c r="B185" t="s">
        <v>393</v>
      </c>
      <c r="C185">
        <v>1.1897633194</v>
      </c>
      <c r="D185">
        <v>6137.1364561</v>
      </c>
      <c r="E185">
        <v>4638.9566716</v>
      </c>
      <c r="F185">
        <v>3985</v>
      </c>
      <c r="G185">
        <v>3400.0331707</v>
      </c>
      <c r="H185">
        <v>4125.9073171</v>
      </c>
      <c r="I185">
        <v>0.1133931707</v>
      </c>
      <c r="J185">
        <v>0.0570913171</v>
      </c>
      <c r="K185">
        <v>0.0343474146</v>
      </c>
    </row>
    <row r="186" spans="1:11" ht="12.75">
      <c r="A186">
        <v>84909</v>
      </c>
      <c r="B186" t="s">
        <v>394</v>
      </c>
      <c r="C186">
        <v>1.0711470507</v>
      </c>
      <c r="D186">
        <v>3176.115851</v>
      </c>
      <c r="E186">
        <v>4630.5223677</v>
      </c>
      <c r="F186">
        <v>3599</v>
      </c>
      <c r="G186">
        <v>3400.0331707</v>
      </c>
      <c r="H186">
        <v>4125.9073171</v>
      </c>
      <c r="I186">
        <v>0.1133931707</v>
      </c>
      <c r="J186">
        <v>0.0570913171</v>
      </c>
      <c r="K186">
        <v>0.0343474146</v>
      </c>
    </row>
    <row r="187" spans="1:11" ht="12.75">
      <c r="A187">
        <v>84910</v>
      </c>
      <c r="B187" t="s">
        <v>395</v>
      </c>
      <c r="C187">
        <v>1.0568676196</v>
      </c>
      <c r="D187">
        <v>5863.1378844</v>
      </c>
      <c r="E187">
        <v>5032.9938248</v>
      </c>
      <c r="F187">
        <v>3584</v>
      </c>
      <c r="G187">
        <v>3400.0331707</v>
      </c>
      <c r="H187">
        <v>4125.9073171</v>
      </c>
      <c r="I187">
        <v>0.1133931707</v>
      </c>
      <c r="J187">
        <v>0.0570913171</v>
      </c>
      <c r="K187">
        <v>0.0343474146</v>
      </c>
    </row>
    <row r="188" spans="1:11" ht="12.75">
      <c r="A188">
        <v>84911</v>
      </c>
      <c r="B188" t="s">
        <v>396</v>
      </c>
      <c r="C188">
        <v>1.046146675</v>
      </c>
      <c r="D188">
        <v>4590.1690924</v>
      </c>
      <c r="E188">
        <v>4723.3462423</v>
      </c>
      <c r="F188">
        <v>3515</v>
      </c>
      <c r="G188">
        <v>3400.0331707</v>
      </c>
      <c r="H188">
        <v>4125.9073171</v>
      </c>
      <c r="I188">
        <v>0.1133931707</v>
      </c>
      <c r="J188">
        <v>0.0570913171</v>
      </c>
      <c r="K188">
        <v>0.0343474146</v>
      </c>
    </row>
    <row r="189" spans="1:11" ht="12.75">
      <c r="A189">
        <v>89903</v>
      </c>
      <c r="B189" t="s">
        <v>805</v>
      </c>
      <c r="C189">
        <v>1.3116910838</v>
      </c>
      <c r="D189">
        <v>3517.6695855</v>
      </c>
      <c r="E189">
        <v>4890.1012191</v>
      </c>
      <c r="F189">
        <v>4309</v>
      </c>
      <c r="G189">
        <v>3400.0331707</v>
      </c>
      <c r="H189">
        <v>4125.9073171</v>
      </c>
      <c r="I189">
        <v>0.1133931707</v>
      </c>
      <c r="J189">
        <v>0.0570913171</v>
      </c>
      <c r="K189">
        <v>0.0343474146</v>
      </c>
    </row>
    <row r="190" spans="1:11" ht="12.75">
      <c r="A190">
        <v>90904</v>
      </c>
      <c r="B190" t="s">
        <v>1140</v>
      </c>
      <c r="C190">
        <v>1.0841503582</v>
      </c>
      <c r="D190">
        <v>4521.8847251</v>
      </c>
      <c r="E190">
        <v>4638.9803952</v>
      </c>
      <c r="F190">
        <v>3597</v>
      </c>
      <c r="G190">
        <v>3400.0331707</v>
      </c>
      <c r="H190">
        <v>4125.9073171</v>
      </c>
      <c r="I190">
        <v>0.1133931707</v>
      </c>
      <c r="J190">
        <v>0.0570913171</v>
      </c>
      <c r="K190">
        <v>0.0343474146</v>
      </c>
    </row>
    <row r="191" spans="1:11" ht="12.75">
      <c r="A191">
        <v>91906</v>
      </c>
      <c r="B191" t="s">
        <v>213</v>
      </c>
      <c r="C191">
        <v>1.0389993785</v>
      </c>
      <c r="D191">
        <v>4709.6993465</v>
      </c>
      <c r="E191">
        <v>4661.3039728</v>
      </c>
      <c r="F191">
        <v>3469</v>
      </c>
      <c r="G191">
        <v>3400.0331707</v>
      </c>
      <c r="H191">
        <v>4125.9073171</v>
      </c>
      <c r="I191">
        <v>0.1133931707</v>
      </c>
      <c r="J191">
        <v>0.0570913171</v>
      </c>
      <c r="K191">
        <v>0.0343474146</v>
      </c>
    </row>
    <row r="192" spans="1:11" ht="12.75">
      <c r="A192">
        <v>91908</v>
      </c>
      <c r="B192" t="s">
        <v>397</v>
      </c>
      <c r="C192">
        <v>1.1313509599</v>
      </c>
      <c r="D192">
        <v>4213.6974569</v>
      </c>
      <c r="E192">
        <v>4874.5070079</v>
      </c>
      <c r="F192">
        <v>3729</v>
      </c>
      <c r="G192">
        <v>3400.0331707</v>
      </c>
      <c r="H192">
        <v>4125.9073171</v>
      </c>
      <c r="I192">
        <v>0.1133931707</v>
      </c>
      <c r="J192">
        <v>0.0570913171</v>
      </c>
      <c r="K192">
        <v>0.0343474146</v>
      </c>
    </row>
    <row r="193" spans="1:11" ht="12.75">
      <c r="A193">
        <v>92901</v>
      </c>
      <c r="B193" t="s">
        <v>398</v>
      </c>
      <c r="C193">
        <v>1.1128823895</v>
      </c>
      <c r="D193">
        <v>3920.4132885</v>
      </c>
      <c r="E193">
        <v>4546.8624741</v>
      </c>
      <c r="F193">
        <v>3675</v>
      </c>
      <c r="G193">
        <v>3400.0331707</v>
      </c>
      <c r="H193">
        <v>4125.9073171</v>
      </c>
      <c r="I193">
        <v>0.1133931707</v>
      </c>
      <c r="J193">
        <v>0.0570913171</v>
      </c>
      <c r="K193">
        <v>0.0343474146</v>
      </c>
    </row>
    <row r="194" spans="1:11" ht="12.75">
      <c r="A194">
        <v>92902</v>
      </c>
      <c r="B194" t="s">
        <v>399</v>
      </c>
      <c r="C194">
        <v>1.0709758349</v>
      </c>
      <c r="D194">
        <v>4918.0501441</v>
      </c>
      <c r="E194">
        <v>4008.9644021</v>
      </c>
      <c r="F194">
        <v>3530</v>
      </c>
      <c r="G194">
        <v>3400.0331707</v>
      </c>
      <c r="H194">
        <v>4125.9073171</v>
      </c>
      <c r="I194">
        <v>0.1133931707</v>
      </c>
      <c r="J194">
        <v>0.0570913171</v>
      </c>
      <c r="K194">
        <v>0.0343474146</v>
      </c>
    </row>
    <row r="195" spans="1:11" ht="12.75">
      <c r="A195">
        <v>92903</v>
      </c>
      <c r="B195" t="s">
        <v>400</v>
      </c>
      <c r="C195">
        <v>1.032007458</v>
      </c>
      <c r="D195">
        <v>6710.7158359</v>
      </c>
      <c r="E195">
        <v>5110.7542937</v>
      </c>
      <c r="F195">
        <v>3424</v>
      </c>
      <c r="G195">
        <v>3400.0331707</v>
      </c>
      <c r="H195">
        <v>4125.9073171</v>
      </c>
      <c r="I195">
        <v>0.1133931707</v>
      </c>
      <c r="J195">
        <v>0.0570913171</v>
      </c>
      <c r="K195">
        <v>0.0343474146</v>
      </c>
    </row>
    <row r="196" spans="1:11" ht="12.75">
      <c r="A196">
        <v>92904</v>
      </c>
      <c r="B196" t="s">
        <v>401</v>
      </c>
      <c r="C196">
        <v>1.0553466616</v>
      </c>
      <c r="D196">
        <v>4821.0851511</v>
      </c>
      <c r="E196">
        <v>4809.4957972</v>
      </c>
      <c r="F196">
        <v>3490</v>
      </c>
      <c r="G196">
        <v>3400.0331707</v>
      </c>
      <c r="H196">
        <v>4125.9073171</v>
      </c>
      <c r="I196">
        <v>0.1133931707</v>
      </c>
      <c r="J196">
        <v>0.0570913171</v>
      </c>
      <c r="K196">
        <v>0.0343474146</v>
      </c>
    </row>
    <row r="197" spans="1:11" ht="12.75">
      <c r="A197">
        <v>92906</v>
      </c>
      <c r="B197" t="s">
        <v>402</v>
      </c>
      <c r="C197">
        <v>1.1371383544</v>
      </c>
      <c r="D197">
        <v>4196.0666616</v>
      </c>
      <c r="E197">
        <v>4865.5649295</v>
      </c>
      <c r="F197">
        <v>3723</v>
      </c>
      <c r="G197">
        <v>3400.0331707</v>
      </c>
      <c r="H197">
        <v>4125.9073171</v>
      </c>
      <c r="I197">
        <v>0.1133931707</v>
      </c>
      <c r="J197">
        <v>0.0570913171</v>
      </c>
      <c r="K197">
        <v>0.0343474146</v>
      </c>
    </row>
    <row r="198" spans="1:11" ht="12.75">
      <c r="A198">
        <v>92907</v>
      </c>
      <c r="B198" t="s">
        <v>403</v>
      </c>
      <c r="C198">
        <v>1.1144400913</v>
      </c>
      <c r="D198">
        <v>2810.8309486</v>
      </c>
      <c r="E198">
        <v>4356.8165948</v>
      </c>
      <c r="F198">
        <v>3687</v>
      </c>
      <c r="G198">
        <v>3400.0331707</v>
      </c>
      <c r="H198">
        <v>4125.9073171</v>
      </c>
      <c r="I198">
        <v>0.1133931707</v>
      </c>
      <c r="J198">
        <v>0.0570913171</v>
      </c>
      <c r="K198">
        <v>0.0343474146</v>
      </c>
    </row>
    <row r="199" spans="1:11" ht="12.75">
      <c r="A199">
        <v>92908</v>
      </c>
      <c r="B199" t="s">
        <v>404</v>
      </c>
      <c r="C199">
        <v>1.1133143438</v>
      </c>
      <c r="D199">
        <v>3757.8818114</v>
      </c>
      <c r="E199">
        <v>4980.9719389</v>
      </c>
      <c r="F199">
        <v>3645</v>
      </c>
      <c r="G199">
        <v>3400.0331707</v>
      </c>
      <c r="H199">
        <v>4125.9073171</v>
      </c>
      <c r="I199">
        <v>0.1133931707</v>
      </c>
      <c r="J199">
        <v>0.0570913171</v>
      </c>
      <c r="K199">
        <v>0.0343474146</v>
      </c>
    </row>
    <row r="200" spans="1:11" ht="12.75">
      <c r="A200">
        <v>93901</v>
      </c>
      <c r="B200" t="s">
        <v>806</v>
      </c>
      <c r="C200">
        <v>1.2993766777</v>
      </c>
      <c r="D200">
        <v>7000</v>
      </c>
      <c r="E200">
        <v>4979.1154727</v>
      </c>
      <c r="F200">
        <v>4297</v>
      </c>
      <c r="G200">
        <v>3400.0331707</v>
      </c>
      <c r="H200">
        <v>4125.9073171</v>
      </c>
      <c r="I200">
        <v>0.1133931707</v>
      </c>
      <c r="J200">
        <v>0.0570913171</v>
      </c>
      <c r="K200">
        <v>0.0343474146</v>
      </c>
    </row>
    <row r="201" spans="1:11" ht="12.75">
      <c r="A201">
        <v>93904</v>
      </c>
      <c r="B201" t="s">
        <v>405</v>
      </c>
      <c r="C201">
        <v>1.1045920173</v>
      </c>
      <c r="D201">
        <v>4868.1525186</v>
      </c>
      <c r="E201">
        <v>4366.2143526</v>
      </c>
      <c r="F201">
        <v>3688</v>
      </c>
      <c r="G201">
        <v>3400.0331707</v>
      </c>
      <c r="H201">
        <v>4125.9073171</v>
      </c>
      <c r="I201">
        <v>0.1133931707</v>
      </c>
      <c r="J201">
        <v>0.0570913171</v>
      </c>
      <c r="K201">
        <v>0.0343474146</v>
      </c>
    </row>
    <row r="202" spans="1:11" ht="12.75">
      <c r="A202">
        <v>93905</v>
      </c>
      <c r="B202" t="s">
        <v>807</v>
      </c>
      <c r="C202">
        <v>1.4158229951</v>
      </c>
      <c r="D202">
        <v>7000</v>
      </c>
      <c r="E202">
        <v>4647.2727673</v>
      </c>
      <c r="F202">
        <v>4712</v>
      </c>
      <c r="G202">
        <v>3400.0331707</v>
      </c>
      <c r="H202">
        <v>4125.9073171</v>
      </c>
      <c r="I202">
        <v>0.1133931707</v>
      </c>
      <c r="J202">
        <v>0.0570913171</v>
      </c>
      <c r="K202">
        <v>0.0343474146</v>
      </c>
    </row>
    <row r="203" spans="1:11" ht="12.75">
      <c r="A203">
        <v>94901</v>
      </c>
      <c r="B203" t="s">
        <v>406</v>
      </c>
      <c r="C203">
        <v>1.032007458</v>
      </c>
      <c r="D203">
        <v>4494.1078051</v>
      </c>
      <c r="E203">
        <v>4583.0881218</v>
      </c>
      <c r="F203">
        <v>3424</v>
      </c>
      <c r="G203">
        <v>3400.0331707</v>
      </c>
      <c r="H203">
        <v>4125.9073171</v>
      </c>
      <c r="I203">
        <v>0.1133931707</v>
      </c>
      <c r="J203">
        <v>0.0570913171</v>
      </c>
      <c r="K203">
        <v>0.0343474146</v>
      </c>
    </row>
    <row r="204" spans="1:11" ht="12.75">
      <c r="A204">
        <v>94902</v>
      </c>
      <c r="B204" t="s">
        <v>1004</v>
      </c>
      <c r="C204">
        <v>1.032007458</v>
      </c>
      <c r="D204">
        <v>4335.4743892</v>
      </c>
      <c r="E204">
        <v>4819.8254745</v>
      </c>
      <c r="F204">
        <v>3424</v>
      </c>
      <c r="G204">
        <v>3400.0331707</v>
      </c>
      <c r="H204">
        <v>4125.9073171</v>
      </c>
      <c r="I204">
        <v>0.1133931707</v>
      </c>
      <c r="J204">
        <v>0.0570913171</v>
      </c>
      <c r="K204">
        <v>0.0343474146</v>
      </c>
    </row>
    <row r="205" spans="1:11" ht="12.75">
      <c r="A205">
        <v>94903</v>
      </c>
      <c r="B205" t="s">
        <v>1129</v>
      </c>
      <c r="C205">
        <v>1.1147395565</v>
      </c>
      <c r="D205">
        <v>4148.2848377</v>
      </c>
      <c r="E205">
        <v>4277.1150526</v>
      </c>
      <c r="F205">
        <v>3662</v>
      </c>
      <c r="G205">
        <v>3400.0331707</v>
      </c>
      <c r="H205">
        <v>4125.9073171</v>
      </c>
      <c r="I205">
        <v>0.1133931707</v>
      </c>
      <c r="J205">
        <v>0.0570913171</v>
      </c>
      <c r="K205">
        <v>0.0343474146</v>
      </c>
    </row>
    <row r="206" spans="1:11" ht="12.75">
      <c r="A206">
        <v>94904</v>
      </c>
      <c r="B206" t="s">
        <v>407</v>
      </c>
      <c r="C206">
        <v>1.1166741401</v>
      </c>
      <c r="D206">
        <v>4358.3814672</v>
      </c>
      <c r="E206">
        <v>4590.1012315</v>
      </c>
      <c r="F206">
        <v>3656</v>
      </c>
      <c r="G206">
        <v>3400.0331707</v>
      </c>
      <c r="H206">
        <v>4125.9073171</v>
      </c>
      <c r="I206">
        <v>0.1133931707</v>
      </c>
      <c r="J206">
        <v>0.0570913171</v>
      </c>
      <c r="K206">
        <v>0.0343474146</v>
      </c>
    </row>
    <row r="207" spans="1:11" ht="12.75">
      <c r="A207">
        <v>95901</v>
      </c>
      <c r="B207" t="s">
        <v>408</v>
      </c>
      <c r="C207">
        <v>1.2599418417</v>
      </c>
      <c r="D207">
        <v>7000</v>
      </c>
      <c r="E207">
        <v>4944.5961388</v>
      </c>
      <c r="F207">
        <v>4139</v>
      </c>
      <c r="G207">
        <v>3400.0331707</v>
      </c>
      <c r="H207">
        <v>4125.9073171</v>
      </c>
      <c r="I207">
        <v>0.1133931707</v>
      </c>
      <c r="J207">
        <v>0.0570913171</v>
      </c>
      <c r="K207">
        <v>0.0343474146</v>
      </c>
    </row>
    <row r="208" spans="1:11" ht="12.75">
      <c r="A208">
        <v>97902</v>
      </c>
      <c r="B208" t="s">
        <v>409</v>
      </c>
      <c r="C208">
        <v>1.3837529659</v>
      </c>
      <c r="D208">
        <v>4696.1159013</v>
      </c>
      <c r="E208">
        <v>4586.576002</v>
      </c>
      <c r="F208">
        <v>4515</v>
      </c>
      <c r="G208">
        <v>3400.0331707</v>
      </c>
      <c r="H208">
        <v>4125.9073171</v>
      </c>
      <c r="I208">
        <v>0.1133931707</v>
      </c>
      <c r="J208">
        <v>0.0570913171</v>
      </c>
      <c r="K208">
        <v>0.0343474146</v>
      </c>
    </row>
    <row r="209" spans="1:11" ht="12.75">
      <c r="A209">
        <v>97903</v>
      </c>
      <c r="B209" t="s">
        <v>410</v>
      </c>
      <c r="C209">
        <v>1.2683978999</v>
      </c>
      <c r="D209">
        <v>4415.7443873</v>
      </c>
      <c r="E209">
        <v>5482.0009228</v>
      </c>
      <c r="F209">
        <v>4125</v>
      </c>
      <c r="G209">
        <v>3400.0331707</v>
      </c>
      <c r="H209">
        <v>4125.9073171</v>
      </c>
      <c r="I209">
        <v>0.1133931707</v>
      </c>
      <c r="J209">
        <v>0.0570913171</v>
      </c>
      <c r="K209">
        <v>0.0343474146</v>
      </c>
    </row>
    <row r="210" spans="1:11" ht="12.75">
      <c r="A210">
        <v>100903</v>
      </c>
      <c r="B210" t="s">
        <v>808</v>
      </c>
      <c r="C210">
        <v>1.1424354406</v>
      </c>
      <c r="D210">
        <v>2939.6125658</v>
      </c>
      <c r="E210">
        <v>4054.8868259</v>
      </c>
      <c r="F210">
        <v>3778</v>
      </c>
      <c r="G210">
        <v>3400.0331707</v>
      </c>
      <c r="H210">
        <v>4125.9073171</v>
      </c>
      <c r="I210">
        <v>0.1133931707</v>
      </c>
      <c r="J210">
        <v>0.0570913171</v>
      </c>
      <c r="K210">
        <v>0.0343474146</v>
      </c>
    </row>
    <row r="211" spans="1:11" ht="12.75">
      <c r="A211">
        <v>100904</v>
      </c>
      <c r="B211" t="s">
        <v>214</v>
      </c>
      <c r="C211">
        <v>1.0986177525</v>
      </c>
      <c r="D211">
        <v>3609.9942944</v>
      </c>
      <c r="E211">
        <v>4927.0931384</v>
      </c>
      <c r="F211">
        <v>3645</v>
      </c>
      <c r="G211">
        <v>3400.0331707</v>
      </c>
      <c r="H211">
        <v>4125.9073171</v>
      </c>
      <c r="I211">
        <v>0.1133931707</v>
      </c>
      <c r="J211">
        <v>0.0570913171</v>
      </c>
      <c r="K211">
        <v>0.0343474146</v>
      </c>
    </row>
    <row r="212" spans="1:11" ht="12.75">
      <c r="A212">
        <v>100905</v>
      </c>
      <c r="B212" t="s">
        <v>1130</v>
      </c>
      <c r="C212">
        <v>1.0344934742</v>
      </c>
      <c r="D212">
        <v>6939.3748996</v>
      </c>
      <c r="E212">
        <v>4662.9840716</v>
      </c>
      <c r="F212">
        <v>3440</v>
      </c>
      <c r="G212">
        <v>3400.0331707</v>
      </c>
      <c r="H212">
        <v>4125.9073171</v>
      </c>
      <c r="I212">
        <v>0.1133931707</v>
      </c>
      <c r="J212">
        <v>0.0570913171</v>
      </c>
      <c r="K212">
        <v>0.0343474146</v>
      </c>
    </row>
    <row r="213" spans="1:11" ht="12.75">
      <c r="A213">
        <v>100907</v>
      </c>
      <c r="B213" t="s">
        <v>215</v>
      </c>
      <c r="C213">
        <v>1.0742040247</v>
      </c>
      <c r="D213">
        <v>3232.2739278</v>
      </c>
      <c r="E213">
        <v>4769.6389244</v>
      </c>
      <c r="F213">
        <v>3564</v>
      </c>
      <c r="G213">
        <v>3400.0331707</v>
      </c>
      <c r="H213">
        <v>4125.9073171</v>
      </c>
      <c r="I213">
        <v>0.1133931707</v>
      </c>
      <c r="J213">
        <v>0.0570913171</v>
      </c>
      <c r="K213">
        <v>0.0343474146</v>
      </c>
    </row>
    <row r="214" spans="1:11" ht="12.75">
      <c r="A214">
        <v>100908</v>
      </c>
      <c r="B214" t="s">
        <v>1141</v>
      </c>
      <c r="C214">
        <v>1.3151010405</v>
      </c>
      <c r="D214">
        <v>3652.2420218</v>
      </c>
      <c r="E214">
        <v>4320.6742616</v>
      </c>
      <c r="F214">
        <v>4349</v>
      </c>
      <c r="G214">
        <v>3400.0331707</v>
      </c>
      <c r="H214">
        <v>4125.9073171</v>
      </c>
      <c r="I214">
        <v>0.1133931707</v>
      </c>
      <c r="J214">
        <v>0.0570913171</v>
      </c>
      <c r="K214">
        <v>0.0343474146</v>
      </c>
    </row>
    <row r="215" spans="1:11" ht="12.75">
      <c r="A215">
        <v>101902</v>
      </c>
      <c r="B215" t="s">
        <v>411</v>
      </c>
      <c r="C215">
        <v>1.0568676196</v>
      </c>
      <c r="D215">
        <v>3575.1130717</v>
      </c>
      <c r="E215">
        <v>4587.529533</v>
      </c>
      <c r="F215">
        <v>3584</v>
      </c>
      <c r="G215">
        <v>3400.0331707</v>
      </c>
      <c r="H215">
        <v>4125.9073171</v>
      </c>
      <c r="I215">
        <v>0.1133931707</v>
      </c>
      <c r="J215">
        <v>0.0570913171</v>
      </c>
      <c r="K215">
        <v>0.0343474146</v>
      </c>
    </row>
    <row r="216" spans="1:11" ht="12.75">
      <c r="A216">
        <v>101903</v>
      </c>
      <c r="B216" t="s">
        <v>412</v>
      </c>
      <c r="C216">
        <v>1.0568676196</v>
      </c>
      <c r="D216">
        <v>4060.3868758</v>
      </c>
      <c r="E216">
        <v>4903.6761455</v>
      </c>
      <c r="F216">
        <v>3584</v>
      </c>
      <c r="G216">
        <v>3400.0331707</v>
      </c>
      <c r="H216">
        <v>4125.9073171</v>
      </c>
      <c r="I216">
        <v>0.1133931707</v>
      </c>
      <c r="J216">
        <v>0.0570913171</v>
      </c>
      <c r="K216">
        <v>0.0343474146</v>
      </c>
    </row>
    <row r="217" spans="1:11" ht="12.75">
      <c r="A217">
        <v>101905</v>
      </c>
      <c r="B217" t="s">
        <v>413</v>
      </c>
      <c r="C217">
        <v>1.0497203232</v>
      </c>
      <c r="D217">
        <v>4152.9540006</v>
      </c>
      <c r="E217">
        <v>4553.7587522</v>
      </c>
      <c r="F217">
        <v>3538</v>
      </c>
      <c r="G217">
        <v>3400.0331707</v>
      </c>
      <c r="H217">
        <v>4125.9073171</v>
      </c>
      <c r="I217">
        <v>0.1133931707</v>
      </c>
      <c r="J217">
        <v>0.0570913171</v>
      </c>
      <c r="K217">
        <v>0.0343474146</v>
      </c>
    </row>
    <row r="218" spans="1:11" ht="12.75">
      <c r="A218">
        <v>101906</v>
      </c>
      <c r="B218" t="s">
        <v>216</v>
      </c>
      <c r="C218">
        <v>1.0625159686</v>
      </c>
      <c r="D218">
        <v>3795.0462952</v>
      </c>
      <c r="E218">
        <v>4742.2028312</v>
      </c>
      <c r="F218">
        <v>3570</v>
      </c>
      <c r="G218">
        <v>3400.0331707</v>
      </c>
      <c r="H218">
        <v>4125.9073171</v>
      </c>
      <c r="I218">
        <v>0.1133931707</v>
      </c>
      <c r="J218">
        <v>0.0570913171</v>
      </c>
      <c r="K218">
        <v>0.0343474146</v>
      </c>
    </row>
    <row r="219" spans="1:11" ht="12.75">
      <c r="A219">
        <v>101907</v>
      </c>
      <c r="B219" t="s">
        <v>414</v>
      </c>
      <c r="C219">
        <v>1.0568676196</v>
      </c>
      <c r="D219">
        <v>3992.6028066</v>
      </c>
      <c r="E219">
        <v>4377.3164527</v>
      </c>
      <c r="F219">
        <v>3584</v>
      </c>
      <c r="G219">
        <v>3400.0331707</v>
      </c>
      <c r="H219">
        <v>4125.9073171</v>
      </c>
      <c r="I219">
        <v>0.1133931707</v>
      </c>
      <c r="J219">
        <v>0.0570913171</v>
      </c>
      <c r="K219">
        <v>0.0343474146</v>
      </c>
    </row>
    <row r="220" spans="1:11" ht="12.75">
      <c r="A220">
        <v>101908</v>
      </c>
      <c r="B220" t="s">
        <v>415</v>
      </c>
      <c r="C220">
        <v>1.0568676196</v>
      </c>
      <c r="D220">
        <v>7000</v>
      </c>
      <c r="E220">
        <v>5377.8294769</v>
      </c>
      <c r="F220">
        <v>3584</v>
      </c>
      <c r="G220">
        <v>3400.0331707</v>
      </c>
      <c r="H220">
        <v>4125.9073171</v>
      </c>
      <c r="I220">
        <v>0.1133931707</v>
      </c>
      <c r="J220">
        <v>0.0570913171</v>
      </c>
      <c r="K220">
        <v>0.0343474146</v>
      </c>
    </row>
    <row r="221" spans="1:11" ht="12.75">
      <c r="A221">
        <v>101909</v>
      </c>
      <c r="B221" t="s">
        <v>416</v>
      </c>
      <c r="C221">
        <v>1.0638595401</v>
      </c>
      <c r="D221">
        <v>3366.6540884</v>
      </c>
      <c r="E221">
        <v>4673.6803561</v>
      </c>
      <c r="F221">
        <v>3629</v>
      </c>
      <c r="G221">
        <v>3400.0331707</v>
      </c>
      <c r="H221">
        <v>4125.9073171</v>
      </c>
      <c r="I221">
        <v>0.1133931707</v>
      </c>
      <c r="J221">
        <v>0.0570913171</v>
      </c>
      <c r="K221">
        <v>0.0343474146</v>
      </c>
    </row>
    <row r="222" spans="1:11" ht="12.75">
      <c r="A222">
        <v>101910</v>
      </c>
      <c r="B222" t="s">
        <v>417</v>
      </c>
      <c r="C222">
        <v>1.0568676196</v>
      </c>
      <c r="D222">
        <v>4006.6237138</v>
      </c>
      <c r="E222">
        <v>4766.8593051</v>
      </c>
      <c r="F222">
        <v>3584</v>
      </c>
      <c r="G222">
        <v>3400.0331707</v>
      </c>
      <c r="H222">
        <v>4125.9073171</v>
      </c>
      <c r="I222">
        <v>0.1133931707</v>
      </c>
      <c r="J222">
        <v>0.0570913171</v>
      </c>
      <c r="K222">
        <v>0.0343474146</v>
      </c>
    </row>
    <row r="223" spans="1:11" ht="12.75">
      <c r="A223">
        <v>101911</v>
      </c>
      <c r="B223" t="s">
        <v>418</v>
      </c>
      <c r="C223">
        <v>1.0568676196</v>
      </c>
      <c r="D223">
        <v>7000</v>
      </c>
      <c r="E223">
        <v>5421.8558498</v>
      </c>
      <c r="F223">
        <v>3584</v>
      </c>
      <c r="G223">
        <v>3400.0331707</v>
      </c>
      <c r="H223">
        <v>4125.9073171</v>
      </c>
      <c r="I223">
        <v>0.1133931707</v>
      </c>
      <c r="J223">
        <v>0.0570913171</v>
      </c>
      <c r="K223">
        <v>0.0343474146</v>
      </c>
    </row>
    <row r="224" spans="1:11" ht="12.75">
      <c r="A224">
        <v>101912</v>
      </c>
      <c r="B224" t="s">
        <v>419</v>
      </c>
      <c r="C224">
        <v>1.0602858919</v>
      </c>
      <c r="D224">
        <v>7000</v>
      </c>
      <c r="E224">
        <v>4817.9388787</v>
      </c>
      <c r="F224">
        <v>3606</v>
      </c>
      <c r="G224">
        <v>3400.0331707</v>
      </c>
      <c r="H224">
        <v>4125.9073171</v>
      </c>
      <c r="I224">
        <v>0.1133931707</v>
      </c>
      <c r="J224">
        <v>0.0570913171</v>
      </c>
      <c r="K224">
        <v>0.0343474146</v>
      </c>
    </row>
    <row r="225" spans="1:11" ht="12.75">
      <c r="A225">
        <v>101913</v>
      </c>
      <c r="B225" t="s">
        <v>420</v>
      </c>
      <c r="C225">
        <v>1.0568676196</v>
      </c>
      <c r="D225">
        <v>4412.3692988</v>
      </c>
      <c r="E225">
        <v>5060.8860225</v>
      </c>
      <c r="F225">
        <v>3584</v>
      </c>
      <c r="G225">
        <v>3400.0331707</v>
      </c>
      <c r="H225">
        <v>4125.9073171</v>
      </c>
      <c r="I225">
        <v>0.1133931707</v>
      </c>
      <c r="J225">
        <v>0.0570913171</v>
      </c>
      <c r="K225">
        <v>0.0343474146</v>
      </c>
    </row>
    <row r="226" spans="1:11" ht="12.75">
      <c r="A226">
        <v>101914</v>
      </c>
      <c r="B226" t="s">
        <v>421</v>
      </c>
      <c r="C226">
        <v>1.0568676196</v>
      </c>
      <c r="D226">
        <v>4658.6198165</v>
      </c>
      <c r="E226">
        <v>4628.7399662</v>
      </c>
      <c r="F226">
        <v>3584</v>
      </c>
      <c r="G226">
        <v>3400.0331707</v>
      </c>
      <c r="H226">
        <v>4125.9073171</v>
      </c>
      <c r="I226">
        <v>0.1133931707</v>
      </c>
      <c r="J226">
        <v>0.0570913171</v>
      </c>
      <c r="K226">
        <v>0.0343474146</v>
      </c>
    </row>
    <row r="227" spans="1:11" ht="12.75">
      <c r="A227">
        <v>101915</v>
      </c>
      <c r="B227" t="s">
        <v>422</v>
      </c>
      <c r="C227">
        <v>1.0568676196</v>
      </c>
      <c r="D227">
        <v>4096.2660692</v>
      </c>
      <c r="E227">
        <v>4601.480782</v>
      </c>
      <c r="F227">
        <v>3584</v>
      </c>
      <c r="G227">
        <v>3400.0331707</v>
      </c>
      <c r="H227">
        <v>4125.9073171</v>
      </c>
      <c r="I227">
        <v>0.1133931707</v>
      </c>
      <c r="J227">
        <v>0.0570913171</v>
      </c>
      <c r="K227">
        <v>0.0343474146</v>
      </c>
    </row>
    <row r="228" spans="1:11" ht="12.75">
      <c r="A228">
        <v>101916</v>
      </c>
      <c r="B228" t="s">
        <v>423</v>
      </c>
      <c r="C228">
        <v>1.0532939714</v>
      </c>
      <c r="D228">
        <v>6938.9975503</v>
      </c>
      <c r="E228">
        <v>5308.6977366</v>
      </c>
      <c r="F228">
        <v>3561</v>
      </c>
      <c r="G228">
        <v>3400.0331707</v>
      </c>
      <c r="H228">
        <v>4125.9073171</v>
      </c>
      <c r="I228">
        <v>0.1133931707</v>
      </c>
      <c r="J228">
        <v>0.0570913171</v>
      </c>
      <c r="K228">
        <v>0.0343474146</v>
      </c>
    </row>
    <row r="229" spans="1:11" ht="12.75">
      <c r="A229">
        <v>101917</v>
      </c>
      <c r="B229" t="s">
        <v>424</v>
      </c>
      <c r="C229">
        <v>1.0568676196</v>
      </c>
      <c r="D229">
        <v>3169.024634</v>
      </c>
      <c r="E229">
        <v>4561.7533086</v>
      </c>
      <c r="F229">
        <v>3584</v>
      </c>
      <c r="G229">
        <v>3400.0331707</v>
      </c>
      <c r="H229">
        <v>4125.9073171</v>
      </c>
      <c r="I229">
        <v>0.1133931707</v>
      </c>
      <c r="J229">
        <v>0.0570913171</v>
      </c>
      <c r="K229">
        <v>0.0343474146</v>
      </c>
    </row>
    <row r="230" spans="1:11" ht="12.75">
      <c r="A230">
        <v>101919</v>
      </c>
      <c r="B230" t="s">
        <v>425</v>
      </c>
      <c r="C230">
        <v>1.0568676196</v>
      </c>
      <c r="D230">
        <v>3804.265238</v>
      </c>
      <c r="E230">
        <v>4731.8505719</v>
      </c>
      <c r="F230">
        <v>3584</v>
      </c>
      <c r="G230">
        <v>3400.0331707</v>
      </c>
      <c r="H230">
        <v>4125.9073171</v>
      </c>
      <c r="I230">
        <v>0.1133931707</v>
      </c>
      <c r="J230">
        <v>0.0570913171</v>
      </c>
      <c r="K230">
        <v>0.0343474146</v>
      </c>
    </row>
    <row r="231" spans="1:11" ht="12.75">
      <c r="A231">
        <v>101920</v>
      </c>
      <c r="B231" t="s">
        <v>426</v>
      </c>
      <c r="C231">
        <v>1.0568676196</v>
      </c>
      <c r="D231">
        <v>7000</v>
      </c>
      <c r="E231">
        <v>5034.850179</v>
      </c>
      <c r="F231">
        <v>3584</v>
      </c>
      <c r="G231">
        <v>3400.0331707</v>
      </c>
      <c r="H231">
        <v>4125.9073171</v>
      </c>
      <c r="I231">
        <v>0.1133931707</v>
      </c>
      <c r="J231">
        <v>0.0570913171</v>
      </c>
      <c r="K231">
        <v>0.0343474146</v>
      </c>
    </row>
    <row r="232" spans="1:11" ht="12.75">
      <c r="A232">
        <v>101921</v>
      </c>
      <c r="B232" t="s">
        <v>427</v>
      </c>
      <c r="C232">
        <v>1.0497203232</v>
      </c>
      <c r="D232">
        <v>7000</v>
      </c>
      <c r="E232">
        <v>5438.9185646</v>
      </c>
      <c r="F232">
        <v>3538</v>
      </c>
      <c r="G232">
        <v>3400.0331707</v>
      </c>
      <c r="H232">
        <v>4125.9073171</v>
      </c>
      <c r="I232">
        <v>0.1133931707</v>
      </c>
      <c r="J232">
        <v>0.0570913171</v>
      </c>
      <c r="K232">
        <v>0.0343474146</v>
      </c>
    </row>
    <row r="233" spans="1:11" ht="12.75">
      <c r="A233">
        <v>101924</v>
      </c>
      <c r="B233" t="s">
        <v>428</v>
      </c>
      <c r="C233">
        <v>1.0497203232</v>
      </c>
      <c r="D233">
        <v>7000</v>
      </c>
      <c r="E233">
        <v>5814.9002584</v>
      </c>
      <c r="F233">
        <v>3538</v>
      </c>
      <c r="G233">
        <v>3400.0331707</v>
      </c>
      <c r="H233">
        <v>4125.9073171</v>
      </c>
      <c r="I233">
        <v>0.1133931707</v>
      </c>
      <c r="J233">
        <v>0.0570913171</v>
      </c>
      <c r="K233">
        <v>0.0343474146</v>
      </c>
    </row>
    <row r="234" spans="1:11" ht="12.75">
      <c r="A234">
        <v>102902</v>
      </c>
      <c r="B234" t="s">
        <v>429</v>
      </c>
      <c r="C234">
        <v>1.0284338098</v>
      </c>
      <c r="D234">
        <v>6066.4455357</v>
      </c>
      <c r="E234">
        <v>4746.3581961</v>
      </c>
      <c r="F234">
        <v>3401</v>
      </c>
      <c r="G234">
        <v>3400.0331707</v>
      </c>
      <c r="H234">
        <v>4125.9073171</v>
      </c>
      <c r="I234">
        <v>0.1133931707</v>
      </c>
      <c r="J234">
        <v>0.0570913171</v>
      </c>
      <c r="K234">
        <v>0.0343474146</v>
      </c>
    </row>
    <row r="235" spans="1:11" ht="12.75">
      <c r="A235">
        <v>102903</v>
      </c>
      <c r="B235" t="s">
        <v>430</v>
      </c>
      <c r="C235">
        <v>1.2565641551</v>
      </c>
      <c r="D235">
        <v>7000</v>
      </c>
      <c r="E235">
        <v>4570.2443781</v>
      </c>
      <c r="F235">
        <v>4100</v>
      </c>
      <c r="G235">
        <v>3400.0331707</v>
      </c>
      <c r="H235">
        <v>4125.9073171</v>
      </c>
      <c r="I235">
        <v>0.1133931707</v>
      </c>
      <c r="J235">
        <v>0.0570913171</v>
      </c>
      <c r="K235">
        <v>0.0343474146</v>
      </c>
    </row>
    <row r="236" spans="1:11" ht="12.75">
      <c r="A236">
        <v>102904</v>
      </c>
      <c r="B236" t="s">
        <v>431</v>
      </c>
      <c r="C236">
        <v>1.0248601616</v>
      </c>
      <c r="D236">
        <v>7000</v>
      </c>
      <c r="E236">
        <v>5309.114324</v>
      </c>
      <c r="F236">
        <v>3378</v>
      </c>
      <c r="G236">
        <v>3400.0331707</v>
      </c>
      <c r="H236">
        <v>4125.9073171</v>
      </c>
      <c r="I236">
        <v>0.1133931707</v>
      </c>
      <c r="J236">
        <v>0.0570913171</v>
      </c>
      <c r="K236">
        <v>0.0343474146</v>
      </c>
    </row>
    <row r="237" spans="1:11" ht="12.75">
      <c r="A237">
        <v>102905</v>
      </c>
      <c r="B237" t="s">
        <v>432</v>
      </c>
      <c r="C237">
        <v>1.2648390898</v>
      </c>
      <c r="D237">
        <v>3902.9682195</v>
      </c>
      <c r="E237">
        <v>5066.5214318</v>
      </c>
      <c r="F237">
        <v>4127</v>
      </c>
      <c r="G237">
        <v>3400.0331707</v>
      </c>
      <c r="H237">
        <v>4125.9073171</v>
      </c>
      <c r="I237">
        <v>0.1133931707</v>
      </c>
      <c r="J237">
        <v>0.0570913171</v>
      </c>
      <c r="K237">
        <v>0.0343474146</v>
      </c>
    </row>
    <row r="238" spans="1:11" ht="12.75">
      <c r="A238">
        <v>102906</v>
      </c>
      <c r="B238" t="s">
        <v>433</v>
      </c>
      <c r="C238">
        <v>1.2121246911</v>
      </c>
      <c r="D238">
        <v>7000</v>
      </c>
      <c r="E238">
        <v>4405.1204622</v>
      </c>
      <c r="F238">
        <v>3955</v>
      </c>
      <c r="G238">
        <v>3400.0331707</v>
      </c>
      <c r="H238">
        <v>4125.9073171</v>
      </c>
      <c r="I238">
        <v>0.1133931707</v>
      </c>
      <c r="J238">
        <v>0.0570913171</v>
      </c>
      <c r="K238">
        <v>0.0343474146</v>
      </c>
    </row>
    <row r="239" spans="1:11" ht="12.75">
      <c r="A239">
        <v>105902</v>
      </c>
      <c r="B239" t="s">
        <v>434</v>
      </c>
      <c r="C239">
        <v>1.0354257303</v>
      </c>
      <c r="D239">
        <v>6677.1680087</v>
      </c>
      <c r="E239">
        <v>5228.9700938</v>
      </c>
      <c r="F239">
        <v>3446</v>
      </c>
      <c r="G239">
        <v>3400.0331707</v>
      </c>
      <c r="H239">
        <v>4125.9073171</v>
      </c>
      <c r="I239">
        <v>0.1133931707</v>
      </c>
      <c r="J239">
        <v>0.0570913171</v>
      </c>
      <c r="K239">
        <v>0.0343474146</v>
      </c>
    </row>
    <row r="240" spans="1:11" ht="12.75">
      <c r="A240">
        <v>105904</v>
      </c>
      <c r="B240" t="s">
        <v>435</v>
      </c>
      <c r="C240">
        <v>1.0248601616</v>
      </c>
      <c r="D240">
        <v>6618.6676786</v>
      </c>
      <c r="E240">
        <v>5046.9752215</v>
      </c>
      <c r="F240">
        <v>3378</v>
      </c>
      <c r="G240">
        <v>3400.0331707</v>
      </c>
      <c r="H240">
        <v>4125.9073171</v>
      </c>
      <c r="I240">
        <v>0.1133931707</v>
      </c>
      <c r="J240">
        <v>0.0570913171</v>
      </c>
      <c r="K240">
        <v>0.0343474146</v>
      </c>
    </row>
    <row r="241" spans="1:11" ht="12.75">
      <c r="A241">
        <v>105905</v>
      </c>
      <c r="B241" t="s">
        <v>436</v>
      </c>
      <c r="C241">
        <v>1.0282784338</v>
      </c>
      <c r="D241">
        <v>6735.4652624</v>
      </c>
      <c r="E241">
        <v>5372.100846</v>
      </c>
      <c r="F241">
        <v>3400</v>
      </c>
      <c r="G241">
        <v>3400.0331707</v>
      </c>
      <c r="H241">
        <v>4125.9073171</v>
      </c>
      <c r="I241">
        <v>0.1133931707</v>
      </c>
      <c r="J241">
        <v>0.0570913171</v>
      </c>
      <c r="K241">
        <v>0.0343474146</v>
      </c>
    </row>
    <row r="242" spans="1:11" ht="12.75">
      <c r="A242">
        <v>105906</v>
      </c>
      <c r="B242" t="s">
        <v>437</v>
      </c>
      <c r="C242">
        <v>1.0354257303</v>
      </c>
      <c r="D242">
        <v>4348.6856672</v>
      </c>
      <c r="E242">
        <v>5162.5717527</v>
      </c>
      <c r="F242">
        <v>3446</v>
      </c>
      <c r="G242">
        <v>3400.0331707</v>
      </c>
      <c r="H242">
        <v>4125.9073171</v>
      </c>
      <c r="I242">
        <v>0.1133931707</v>
      </c>
      <c r="J242">
        <v>0.0570913171</v>
      </c>
      <c r="K242">
        <v>0.0343474146</v>
      </c>
    </row>
    <row r="243" spans="1:11" ht="12.75">
      <c r="A243">
        <v>107902</v>
      </c>
      <c r="B243" t="s">
        <v>438</v>
      </c>
      <c r="C243">
        <v>1.0861305367</v>
      </c>
      <c r="D243">
        <v>3332.100072</v>
      </c>
      <c r="E243">
        <v>4600.9259925</v>
      </c>
      <c r="F243">
        <v>3556</v>
      </c>
      <c r="G243">
        <v>3400.0331707</v>
      </c>
      <c r="H243">
        <v>4125.9073171</v>
      </c>
      <c r="I243">
        <v>0.1133931707</v>
      </c>
      <c r="J243">
        <v>0.0570913171</v>
      </c>
      <c r="K243">
        <v>0.0343474146</v>
      </c>
    </row>
    <row r="244" spans="1:11" ht="12.75">
      <c r="A244">
        <v>108902</v>
      </c>
      <c r="B244" t="s">
        <v>439</v>
      </c>
      <c r="C244">
        <v>1.0638595401</v>
      </c>
      <c r="D244">
        <v>1637.3553799</v>
      </c>
      <c r="E244">
        <v>4652.0964663</v>
      </c>
      <c r="F244">
        <v>3629</v>
      </c>
      <c r="G244">
        <v>3400.0331707</v>
      </c>
      <c r="H244">
        <v>4125.9073171</v>
      </c>
      <c r="I244">
        <v>0.1133931707</v>
      </c>
      <c r="J244">
        <v>0.0570913171</v>
      </c>
      <c r="K244">
        <v>0.0343474146</v>
      </c>
    </row>
    <row r="245" spans="1:11" ht="12.75">
      <c r="A245">
        <v>108903</v>
      </c>
      <c r="B245" t="s">
        <v>440</v>
      </c>
      <c r="C245">
        <v>1.0644458501</v>
      </c>
      <c r="D245">
        <v>1349.5718232</v>
      </c>
      <c r="E245">
        <v>4638.4619915</v>
      </c>
      <c r="F245">
        <v>3631</v>
      </c>
      <c r="G245">
        <v>3400.0331707</v>
      </c>
      <c r="H245">
        <v>4125.9073171</v>
      </c>
      <c r="I245">
        <v>0.1133931707</v>
      </c>
      <c r="J245">
        <v>0.0570913171</v>
      </c>
      <c r="K245">
        <v>0.0343474146</v>
      </c>
    </row>
    <row r="246" spans="1:11" ht="12.75">
      <c r="A246">
        <v>108904</v>
      </c>
      <c r="B246" t="s">
        <v>441</v>
      </c>
      <c r="C246">
        <v>1.0638595401</v>
      </c>
      <c r="D246">
        <v>2918.5264831</v>
      </c>
      <c r="E246">
        <v>4639.6926612</v>
      </c>
      <c r="F246">
        <v>3629</v>
      </c>
      <c r="G246">
        <v>3400.0331707</v>
      </c>
      <c r="H246">
        <v>4125.9073171</v>
      </c>
      <c r="I246">
        <v>0.1133931707</v>
      </c>
      <c r="J246">
        <v>0.0570913171</v>
      </c>
      <c r="K246">
        <v>0.0343474146</v>
      </c>
    </row>
    <row r="247" spans="1:11" ht="12.75">
      <c r="A247">
        <v>108905</v>
      </c>
      <c r="B247" t="s">
        <v>442</v>
      </c>
      <c r="C247">
        <v>1.1173284495</v>
      </c>
      <c r="D247">
        <v>2336.1883495</v>
      </c>
      <c r="E247">
        <v>4676.3313621</v>
      </c>
      <c r="F247">
        <v>3800</v>
      </c>
      <c r="G247">
        <v>3400.0331707</v>
      </c>
      <c r="H247">
        <v>4125.9073171</v>
      </c>
      <c r="I247">
        <v>0.1133931707</v>
      </c>
      <c r="J247">
        <v>0.0570913171</v>
      </c>
      <c r="K247">
        <v>0.0343474146</v>
      </c>
    </row>
    <row r="248" spans="1:11" ht="12.75">
      <c r="A248">
        <v>108906</v>
      </c>
      <c r="B248" t="s">
        <v>443</v>
      </c>
      <c r="C248">
        <v>1.0602858919</v>
      </c>
      <c r="D248">
        <v>3586.1596676</v>
      </c>
      <c r="E248">
        <v>4603.2932243</v>
      </c>
      <c r="F248">
        <v>3606</v>
      </c>
      <c r="G248">
        <v>3400.0331707</v>
      </c>
      <c r="H248">
        <v>4125.9073171</v>
      </c>
      <c r="I248">
        <v>0.1133931707</v>
      </c>
      <c r="J248">
        <v>0.0570913171</v>
      </c>
      <c r="K248">
        <v>0.0343474146</v>
      </c>
    </row>
    <row r="249" spans="1:11" ht="12.75">
      <c r="A249">
        <v>108907</v>
      </c>
      <c r="B249" t="s">
        <v>444</v>
      </c>
      <c r="C249">
        <v>1.0664606017</v>
      </c>
      <c r="D249">
        <v>1533.6618026</v>
      </c>
      <c r="E249">
        <v>4501.7165606</v>
      </c>
      <c r="F249">
        <v>3627</v>
      </c>
      <c r="G249">
        <v>3400.0331707</v>
      </c>
      <c r="H249">
        <v>4125.9073171</v>
      </c>
      <c r="I249">
        <v>0.1133931707</v>
      </c>
      <c r="J249">
        <v>0.0570913171</v>
      </c>
      <c r="K249">
        <v>0.0343474146</v>
      </c>
    </row>
    <row r="250" spans="1:11" ht="12.75">
      <c r="A250">
        <v>108908</v>
      </c>
      <c r="B250" t="s">
        <v>445</v>
      </c>
      <c r="C250">
        <v>1.0674331883</v>
      </c>
      <c r="D250">
        <v>2164.4038131</v>
      </c>
      <c r="E250">
        <v>4750.6018576</v>
      </c>
      <c r="F250">
        <v>3652</v>
      </c>
      <c r="G250">
        <v>3400.0331707</v>
      </c>
      <c r="H250">
        <v>4125.9073171</v>
      </c>
      <c r="I250">
        <v>0.1133931707</v>
      </c>
      <c r="J250">
        <v>0.0570913171</v>
      </c>
      <c r="K250">
        <v>0.0343474146</v>
      </c>
    </row>
    <row r="251" spans="1:11" ht="12.75">
      <c r="A251">
        <v>108909</v>
      </c>
      <c r="B251" t="s">
        <v>446</v>
      </c>
      <c r="C251">
        <v>1.0674331883</v>
      </c>
      <c r="D251">
        <v>2079.5694516</v>
      </c>
      <c r="E251">
        <v>4599.6951233</v>
      </c>
      <c r="F251">
        <v>3652</v>
      </c>
      <c r="G251">
        <v>3400.0331707</v>
      </c>
      <c r="H251">
        <v>4125.9073171</v>
      </c>
      <c r="I251">
        <v>0.1133931707</v>
      </c>
      <c r="J251">
        <v>0.0570913171</v>
      </c>
      <c r="K251">
        <v>0.0343474146</v>
      </c>
    </row>
    <row r="252" spans="1:11" ht="12.75">
      <c r="A252">
        <v>108910</v>
      </c>
      <c r="B252" t="s">
        <v>447</v>
      </c>
      <c r="C252">
        <v>1.1435025926</v>
      </c>
      <c r="D252">
        <v>1555.762637</v>
      </c>
      <c r="E252">
        <v>4609.7350692</v>
      </c>
      <c r="F252">
        <v>3888</v>
      </c>
      <c r="G252">
        <v>3400.0331707</v>
      </c>
      <c r="H252">
        <v>4125.9073171</v>
      </c>
      <c r="I252">
        <v>0.1133931707</v>
      </c>
      <c r="J252">
        <v>0.0570913171</v>
      </c>
      <c r="K252">
        <v>0.0343474146</v>
      </c>
    </row>
    <row r="253" spans="1:11" ht="12.75">
      <c r="A253">
        <v>108911</v>
      </c>
      <c r="B253" t="s">
        <v>448</v>
      </c>
      <c r="C253">
        <v>1.0497203232</v>
      </c>
      <c r="D253">
        <v>4001.3088897</v>
      </c>
      <c r="E253">
        <v>4952.392487</v>
      </c>
      <c r="F253">
        <v>3538</v>
      </c>
      <c r="G253">
        <v>3400.0331707</v>
      </c>
      <c r="H253">
        <v>4125.9073171</v>
      </c>
      <c r="I253">
        <v>0.1133931707</v>
      </c>
      <c r="J253">
        <v>0.0570913171</v>
      </c>
      <c r="K253">
        <v>0.0343474146</v>
      </c>
    </row>
    <row r="254" spans="1:11" ht="12.75">
      <c r="A254">
        <v>108912</v>
      </c>
      <c r="B254" t="s">
        <v>449</v>
      </c>
      <c r="C254">
        <v>1.0710068365</v>
      </c>
      <c r="D254">
        <v>1729.9979976</v>
      </c>
      <c r="E254">
        <v>4638.1881604</v>
      </c>
      <c r="F254">
        <v>3675</v>
      </c>
      <c r="G254">
        <v>3400.0331707</v>
      </c>
      <c r="H254">
        <v>4125.9073171</v>
      </c>
      <c r="I254">
        <v>0.1133931707</v>
      </c>
      <c r="J254">
        <v>0.0570913171</v>
      </c>
      <c r="K254">
        <v>0.0343474146</v>
      </c>
    </row>
    <row r="255" spans="1:11" ht="12.75">
      <c r="A255">
        <v>108913</v>
      </c>
      <c r="B255" t="s">
        <v>450</v>
      </c>
      <c r="C255">
        <v>1.0674331883</v>
      </c>
      <c r="D255">
        <v>2131.7862538</v>
      </c>
      <c r="E255">
        <v>4643.610969</v>
      </c>
      <c r="F255">
        <v>3652</v>
      </c>
      <c r="G255">
        <v>3400.0331707</v>
      </c>
      <c r="H255">
        <v>4125.9073171</v>
      </c>
      <c r="I255">
        <v>0.1133931707</v>
      </c>
      <c r="J255">
        <v>0.0570913171</v>
      </c>
      <c r="K255">
        <v>0.0343474146</v>
      </c>
    </row>
    <row r="256" spans="1:11" ht="12.75">
      <c r="A256">
        <v>108914</v>
      </c>
      <c r="B256" t="s">
        <v>451</v>
      </c>
      <c r="C256">
        <v>1.3437558304</v>
      </c>
      <c r="D256">
        <v>2695.5396455</v>
      </c>
      <c r="E256">
        <v>4697.0362265</v>
      </c>
      <c r="F256">
        <v>4543</v>
      </c>
      <c r="G256">
        <v>3400.0331707</v>
      </c>
      <c r="H256">
        <v>4125.9073171</v>
      </c>
      <c r="I256">
        <v>0.1133931707</v>
      </c>
      <c r="J256">
        <v>0.0570913171</v>
      </c>
      <c r="K256">
        <v>0.0343474146</v>
      </c>
    </row>
    <row r="257" spans="1:11" ht="12.75">
      <c r="A257">
        <v>108915</v>
      </c>
      <c r="B257" t="s">
        <v>452</v>
      </c>
      <c r="C257">
        <v>1.3045845848</v>
      </c>
      <c r="D257">
        <v>2531.1901693</v>
      </c>
      <c r="E257">
        <v>4998.4121373</v>
      </c>
      <c r="F257">
        <v>4397</v>
      </c>
      <c r="G257">
        <v>3400.0331707</v>
      </c>
      <c r="H257">
        <v>4125.9073171</v>
      </c>
      <c r="I257">
        <v>0.1133931707</v>
      </c>
      <c r="J257">
        <v>0.0570913171</v>
      </c>
      <c r="K257">
        <v>0.0343474146</v>
      </c>
    </row>
    <row r="258" spans="1:11" ht="12.75">
      <c r="A258">
        <v>108916</v>
      </c>
      <c r="B258" t="s">
        <v>332</v>
      </c>
      <c r="C258">
        <v>1.0828174942</v>
      </c>
      <c r="D258">
        <v>2299.3630286</v>
      </c>
      <c r="E258">
        <v>4930.8963617</v>
      </c>
      <c r="F258">
        <v>3672</v>
      </c>
      <c r="G258">
        <v>3400.0331707</v>
      </c>
      <c r="H258">
        <v>4125.9073171</v>
      </c>
      <c r="I258">
        <v>0.1133931707</v>
      </c>
      <c r="J258">
        <v>0.0570913171</v>
      </c>
      <c r="K258">
        <v>0.0343474146</v>
      </c>
    </row>
    <row r="259" spans="1:11" ht="12.75">
      <c r="A259">
        <v>109903</v>
      </c>
      <c r="B259" t="s">
        <v>453</v>
      </c>
      <c r="C259">
        <v>1.3631610195</v>
      </c>
      <c r="D259">
        <v>3310.5774531</v>
      </c>
      <c r="E259">
        <v>4265.4031099</v>
      </c>
      <c r="F259">
        <v>4463</v>
      </c>
      <c r="G259">
        <v>3400.0331707</v>
      </c>
      <c r="H259">
        <v>4125.9073171</v>
      </c>
      <c r="I259">
        <v>0.1133931707</v>
      </c>
      <c r="J259">
        <v>0.0570913171</v>
      </c>
      <c r="K259">
        <v>0.0343474146</v>
      </c>
    </row>
    <row r="260" spans="1:11" ht="12.75">
      <c r="A260">
        <v>109907</v>
      </c>
      <c r="B260" t="s">
        <v>217</v>
      </c>
      <c r="C260">
        <v>1.2794239093</v>
      </c>
      <c r="D260">
        <v>3795.2587253</v>
      </c>
      <c r="E260">
        <v>4874.4389664</v>
      </c>
      <c r="F260">
        <v>4203</v>
      </c>
      <c r="G260">
        <v>3400.0331707</v>
      </c>
      <c r="H260">
        <v>4125.9073171</v>
      </c>
      <c r="I260">
        <v>0.1133931707</v>
      </c>
      <c r="J260">
        <v>0.0570913171</v>
      </c>
      <c r="K260">
        <v>0.0343474146</v>
      </c>
    </row>
    <row r="261" spans="1:11" ht="12.75">
      <c r="A261">
        <v>109908</v>
      </c>
      <c r="B261" t="s">
        <v>1116</v>
      </c>
      <c r="C261">
        <v>1.4156298147</v>
      </c>
      <c r="D261">
        <v>5274.2408946</v>
      </c>
      <c r="E261">
        <v>4076.7762295</v>
      </c>
      <c r="F261">
        <v>4666</v>
      </c>
      <c r="G261">
        <v>3400.0331707</v>
      </c>
      <c r="H261">
        <v>4125.9073171</v>
      </c>
      <c r="I261">
        <v>0.1133931707</v>
      </c>
      <c r="J261">
        <v>0.0570913171</v>
      </c>
      <c r="K261">
        <v>0.0343474146</v>
      </c>
    </row>
    <row r="262" spans="1:11" ht="12.75">
      <c r="A262">
        <v>109913</v>
      </c>
      <c r="B262" t="s">
        <v>1142</v>
      </c>
      <c r="C262">
        <v>1.3445294215</v>
      </c>
      <c r="D262">
        <v>4426.1891687</v>
      </c>
      <c r="E262">
        <v>4819.3989543</v>
      </c>
      <c r="F262">
        <v>4402</v>
      </c>
      <c r="G262">
        <v>3400.0331707</v>
      </c>
      <c r="H262">
        <v>4125.9073171</v>
      </c>
      <c r="I262">
        <v>0.1133931707</v>
      </c>
      <c r="J262">
        <v>0.0570913171</v>
      </c>
      <c r="K262">
        <v>0.0343474146</v>
      </c>
    </row>
    <row r="263" spans="1:11" ht="12.75">
      <c r="A263">
        <v>110905</v>
      </c>
      <c r="B263" t="s">
        <v>1131</v>
      </c>
      <c r="C263">
        <v>1.3649632525</v>
      </c>
      <c r="D263">
        <v>3562.2633632</v>
      </c>
      <c r="E263">
        <v>4570.9150437</v>
      </c>
      <c r="F263">
        <v>4499</v>
      </c>
      <c r="G263">
        <v>3400.0331707</v>
      </c>
      <c r="H263">
        <v>4125.9073171</v>
      </c>
      <c r="I263">
        <v>0.1133931707</v>
      </c>
      <c r="J263">
        <v>0.0570913171</v>
      </c>
      <c r="K263">
        <v>0.0343474146</v>
      </c>
    </row>
    <row r="264" spans="1:11" ht="12.75">
      <c r="A264">
        <v>110906</v>
      </c>
      <c r="B264" t="s">
        <v>454</v>
      </c>
      <c r="C264">
        <v>1.344523646</v>
      </c>
      <c r="D264">
        <v>4556.2660261</v>
      </c>
      <c r="E264">
        <v>5019.1370164</v>
      </c>
      <c r="F264">
        <v>4387</v>
      </c>
      <c r="G264">
        <v>3400.0331707</v>
      </c>
      <c r="H264">
        <v>4125.9073171</v>
      </c>
      <c r="I264">
        <v>0.1133931707</v>
      </c>
      <c r="J264">
        <v>0.0570913171</v>
      </c>
      <c r="K264">
        <v>0.0343474146</v>
      </c>
    </row>
    <row r="265" spans="1:11" ht="12.75">
      <c r="A265">
        <v>111901</v>
      </c>
      <c r="B265" t="s">
        <v>455</v>
      </c>
      <c r="C265">
        <v>1.0284338098</v>
      </c>
      <c r="D265">
        <v>7000</v>
      </c>
      <c r="E265">
        <v>5145.7478129</v>
      </c>
      <c r="F265">
        <v>3401</v>
      </c>
      <c r="G265">
        <v>3400.0331707</v>
      </c>
      <c r="H265">
        <v>4125.9073171</v>
      </c>
      <c r="I265">
        <v>0.1133931707</v>
      </c>
      <c r="J265">
        <v>0.0570913171</v>
      </c>
      <c r="K265">
        <v>0.0343474146</v>
      </c>
    </row>
    <row r="266" spans="1:11" ht="12.75">
      <c r="A266">
        <v>111902</v>
      </c>
      <c r="B266" t="s">
        <v>456</v>
      </c>
      <c r="C266">
        <v>1.3573957666</v>
      </c>
      <c r="D266">
        <v>5656.7792504</v>
      </c>
      <c r="E266">
        <v>4877.05199</v>
      </c>
      <c r="F266">
        <v>4429</v>
      </c>
      <c r="G266">
        <v>3400.0331707</v>
      </c>
      <c r="H266">
        <v>4125.9073171</v>
      </c>
      <c r="I266">
        <v>0.1133931707</v>
      </c>
      <c r="J266">
        <v>0.0570913171</v>
      </c>
      <c r="K266">
        <v>0.0343474146</v>
      </c>
    </row>
    <row r="267" spans="1:11" ht="12.75">
      <c r="A267">
        <v>111903</v>
      </c>
      <c r="B267" t="s">
        <v>457</v>
      </c>
      <c r="C267">
        <v>1.2948740379</v>
      </c>
      <c r="D267">
        <v>4508.3272144</v>
      </c>
      <c r="E267">
        <v>4420.4155407</v>
      </c>
      <c r="F267">
        <v>4225</v>
      </c>
      <c r="G267">
        <v>3400.0331707</v>
      </c>
      <c r="H267">
        <v>4125.9073171</v>
      </c>
      <c r="I267">
        <v>0.1133931707</v>
      </c>
      <c r="J267">
        <v>0.0570913171</v>
      </c>
      <c r="K267">
        <v>0.0343474146</v>
      </c>
    </row>
    <row r="268" spans="1:11" ht="12.75">
      <c r="A268">
        <v>113901</v>
      </c>
      <c r="B268" t="s">
        <v>809</v>
      </c>
      <c r="C268">
        <v>1.1222491823</v>
      </c>
      <c r="D268">
        <v>3635.8840672</v>
      </c>
      <c r="E268">
        <v>4437.685491</v>
      </c>
      <c r="F268">
        <v>3699</v>
      </c>
      <c r="G268">
        <v>3400.0331707</v>
      </c>
      <c r="H268">
        <v>4125.9073171</v>
      </c>
      <c r="I268">
        <v>0.1133931707</v>
      </c>
      <c r="J268">
        <v>0.0570913171</v>
      </c>
      <c r="K268">
        <v>0.0343474146</v>
      </c>
    </row>
    <row r="269" spans="1:11" ht="12.75">
      <c r="A269">
        <v>113902</v>
      </c>
      <c r="B269" t="s">
        <v>458</v>
      </c>
      <c r="C269">
        <v>1.3129563026</v>
      </c>
      <c r="D269">
        <v>7000</v>
      </c>
      <c r="E269">
        <v>4925.598978</v>
      </c>
      <c r="F269">
        <v>4284</v>
      </c>
      <c r="G269">
        <v>3400.0331707</v>
      </c>
      <c r="H269">
        <v>4125.9073171</v>
      </c>
      <c r="I269">
        <v>0.1133931707</v>
      </c>
      <c r="J269">
        <v>0.0570913171</v>
      </c>
      <c r="K269">
        <v>0.0343474146</v>
      </c>
    </row>
    <row r="270" spans="1:11" ht="12.75">
      <c r="A270">
        <v>113903</v>
      </c>
      <c r="B270" t="s">
        <v>810</v>
      </c>
      <c r="C270">
        <v>1.4809068287</v>
      </c>
      <c r="D270">
        <v>5766.3327726</v>
      </c>
      <c r="E270">
        <v>4575.0057227</v>
      </c>
      <c r="F270">
        <v>4832</v>
      </c>
      <c r="G270">
        <v>3400.0331707</v>
      </c>
      <c r="H270">
        <v>4125.9073171</v>
      </c>
      <c r="I270">
        <v>0.1133931707</v>
      </c>
      <c r="J270">
        <v>0.0570913171</v>
      </c>
      <c r="K270">
        <v>0.0343474146</v>
      </c>
    </row>
    <row r="271" spans="1:11" ht="12.75">
      <c r="A271">
        <v>116905</v>
      </c>
      <c r="B271" t="s">
        <v>1143</v>
      </c>
      <c r="C271">
        <v>1.0523227457</v>
      </c>
      <c r="D271">
        <v>4170.31324</v>
      </c>
      <c r="E271">
        <v>4472.065461</v>
      </c>
      <c r="F271">
        <v>3480</v>
      </c>
      <c r="G271">
        <v>3400.0331707</v>
      </c>
      <c r="H271">
        <v>4125.9073171</v>
      </c>
      <c r="I271">
        <v>0.1133931707</v>
      </c>
      <c r="J271">
        <v>0.0570913171</v>
      </c>
      <c r="K271">
        <v>0.0343474146</v>
      </c>
    </row>
    <row r="272" spans="1:11" ht="12.75">
      <c r="A272">
        <v>116908</v>
      </c>
      <c r="B272" t="s">
        <v>811</v>
      </c>
      <c r="C272">
        <v>1.0976743827</v>
      </c>
      <c r="D272">
        <v>3595.4786781</v>
      </c>
      <c r="E272">
        <v>4475.4032348</v>
      </c>
      <c r="F272">
        <v>3618</v>
      </c>
      <c r="G272">
        <v>3400.0331707</v>
      </c>
      <c r="H272">
        <v>4125.9073171</v>
      </c>
      <c r="I272">
        <v>0.1133931707</v>
      </c>
      <c r="J272">
        <v>0.0570913171</v>
      </c>
      <c r="K272">
        <v>0.0343474146</v>
      </c>
    </row>
    <row r="273" spans="1:11" ht="12.75">
      <c r="A273">
        <v>117901</v>
      </c>
      <c r="B273" t="s">
        <v>1144</v>
      </c>
      <c r="C273">
        <v>1.09677431</v>
      </c>
      <c r="D273">
        <v>2691.2263322</v>
      </c>
      <c r="E273">
        <v>4323.1005465</v>
      </c>
      <c r="F273">
        <v>3627</v>
      </c>
      <c r="G273">
        <v>3400.0331707</v>
      </c>
      <c r="H273">
        <v>4125.9073171</v>
      </c>
      <c r="I273">
        <v>0.1133931707</v>
      </c>
      <c r="J273">
        <v>0.0570913171</v>
      </c>
      <c r="K273">
        <v>0.0343474146</v>
      </c>
    </row>
    <row r="274" spans="1:11" ht="12.75">
      <c r="A274">
        <v>117903</v>
      </c>
      <c r="B274" t="s">
        <v>1145</v>
      </c>
      <c r="C274">
        <v>1.2496740692</v>
      </c>
      <c r="D274">
        <v>3149.1704318</v>
      </c>
      <c r="E274">
        <v>4570.2264815</v>
      </c>
      <c r="F274">
        <v>4119</v>
      </c>
      <c r="G274">
        <v>3400.0331707</v>
      </c>
      <c r="H274">
        <v>4125.9073171</v>
      </c>
      <c r="I274">
        <v>0.1133931707</v>
      </c>
      <c r="J274">
        <v>0.0570913171</v>
      </c>
      <c r="K274">
        <v>0.0343474146</v>
      </c>
    </row>
    <row r="275" spans="1:11" ht="12.75">
      <c r="A275">
        <v>121906</v>
      </c>
      <c r="B275" t="s">
        <v>636</v>
      </c>
      <c r="C275">
        <v>1.331395672</v>
      </c>
      <c r="D275">
        <v>7000</v>
      </c>
      <c r="E275">
        <v>4563.1635916</v>
      </c>
      <c r="F275">
        <v>4359</v>
      </c>
      <c r="G275">
        <v>3400.0331707</v>
      </c>
      <c r="H275">
        <v>4125.9073171</v>
      </c>
      <c r="I275">
        <v>0.1133931707</v>
      </c>
      <c r="J275">
        <v>0.0570913171</v>
      </c>
      <c r="K275">
        <v>0.0343474146</v>
      </c>
    </row>
    <row r="276" spans="1:11" ht="12.75">
      <c r="A276">
        <v>123905</v>
      </c>
      <c r="B276" t="s">
        <v>459</v>
      </c>
      <c r="C276">
        <v>1.0583967296</v>
      </c>
      <c r="D276">
        <v>4377.0836</v>
      </c>
      <c r="E276">
        <v>4430.0388258</v>
      </c>
      <c r="F276">
        <v>3545</v>
      </c>
      <c r="G276">
        <v>3400.0331707</v>
      </c>
      <c r="H276">
        <v>4125.9073171</v>
      </c>
      <c r="I276">
        <v>0.1133931707</v>
      </c>
      <c r="J276">
        <v>0.0570913171</v>
      </c>
      <c r="K276">
        <v>0.0343474146</v>
      </c>
    </row>
    <row r="277" spans="1:11" ht="12.75">
      <c r="A277">
        <v>123907</v>
      </c>
      <c r="B277" t="s">
        <v>460</v>
      </c>
      <c r="C277">
        <v>1.0497203232</v>
      </c>
      <c r="D277">
        <v>7000</v>
      </c>
      <c r="E277">
        <v>5062.9753173</v>
      </c>
      <c r="F277">
        <v>3538</v>
      </c>
      <c r="G277">
        <v>3400.0331707</v>
      </c>
      <c r="H277">
        <v>4125.9073171</v>
      </c>
      <c r="I277">
        <v>0.1133931707</v>
      </c>
      <c r="J277">
        <v>0.0570913171</v>
      </c>
      <c r="K277">
        <v>0.0343474146</v>
      </c>
    </row>
    <row r="278" spans="1:11" ht="12.75">
      <c r="A278">
        <v>123908</v>
      </c>
      <c r="B278" t="s">
        <v>461</v>
      </c>
      <c r="C278">
        <v>1.0425730267</v>
      </c>
      <c r="D278">
        <v>6595.6602013</v>
      </c>
      <c r="E278">
        <v>4982.2515932</v>
      </c>
      <c r="F278">
        <v>3492</v>
      </c>
      <c r="G278">
        <v>3400.0331707</v>
      </c>
      <c r="H278">
        <v>4125.9073171</v>
      </c>
      <c r="I278">
        <v>0.1133931707</v>
      </c>
      <c r="J278">
        <v>0.0570913171</v>
      </c>
      <c r="K278">
        <v>0.0343474146</v>
      </c>
    </row>
    <row r="279" spans="1:11" ht="12.75">
      <c r="A279">
        <v>123910</v>
      </c>
      <c r="B279" t="s">
        <v>462</v>
      </c>
      <c r="C279">
        <v>1.0497203232</v>
      </c>
      <c r="D279">
        <v>6893.4902237</v>
      </c>
      <c r="E279">
        <v>5139.201762</v>
      </c>
      <c r="F279">
        <v>3538</v>
      </c>
      <c r="G279">
        <v>3400.0331707</v>
      </c>
      <c r="H279">
        <v>4125.9073171</v>
      </c>
      <c r="I279">
        <v>0.1133931707</v>
      </c>
      <c r="J279">
        <v>0.0570913171</v>
      </c>
      <c r="K279">
        <v>0.0343474146</v>
      </c>
    </row>
    <row r="280" spans="1:11" ht="12.75">
      <c r="A280">
        <v>123914</v>
      </c>
      <c r="B280" t="s">
        <v>463</v>
      </c>
      <c r="C280">
        <v>1.1212230561</v>
      </c>
      <c r="D280">
        <v>5190.5002972</v>
      </c>
      <c r="E280">
        <v>4592.4183603</v>
      </c>
      <c r="F280">
        <v>3720</v>
      </c>
      <c r="G280">
        <v>3400.0331707</v>
      </c>
      <c r="H280">
        <v>4125.9073171</v>
      </c>
      <c r="I280">
        <v>0.1133931707</v>
      </c>
      <c r="J280">
        <v>0.0570913171</v>
      </c>
      <c r="K280">
        <v>0.0343474146</v>
      </c>
    </row>
    <row r="281" spans="1:11" ht="12.75">
      <c r="A281">
        <v>126901</v>
      </c>
      <c r="B281" t="s">
        <v>464</v>
      </c>
      <c r="C281">
        <v>1.0916139518</v>
      </c>
      <c r="D281">
        <v>4386.9409689</v>
      </c>
      <c r="E281">
        <v>3508.0655959</v>
      </c>
      <c r="F281">
        <v>3633</v>
      </c>
      <c r="G281">
        <v>3400.0331707</v>
      </c>
      <c r="H281">
        <v>4125.9073171</v>
      </c>
      <c r="I281">
        <v>0.1133931707</v>
      </c>
      <c r="J281">
        <v>0.0570913171</v>
      </c>
      <c r="K281">
        <v>0.0343474146</v>
      </c>
    </row>
    <row r="282" spans="1:11" ht="12.75">
      <c r="A282">
        <v>126902</v>
      </c>
      <c r="B282" t="s">
        <v>465</v>
      </c>
      <c r="C282">
        <v>1.0389993785</v>
      </c>
      <c r="D282">
        <v>4038.5313512</v>
      </c>
      <c r="E282">
        <v>4267.2705994</v>
      </c>
      <c r="F282">
        <v>3469</v>
      </c>
      <c r="G282">
        <v>3400.0331707</v>
      </c>
      <c r="H282">
        <v>4125.9073171</v>
      </c>
      <c r="I282">
        <v>0.1133931707</v>
      </c>
      <c r="J282">
        <v>0.0570913171</v>
      </c>
      <c r="K282">
        <v>0.0343474146</v>
      </c>
    </row>
    <row r="283" spans="1:11" ht="12.75">
      <c r="A283">
        <v>126903</v>
      </c>
      <c r="B283" t="s">
        <v>466</v>
      </c>
      <c r="C283">
        <v>1.0389993785</v>
      </c>
      <c r="D283">
        <v>5668.6546024</v>
      </c>
      <c r="E283">
        <v>4229.7046548</v>
      </c>
      <c r="F283">
        <v>3469</v>
      </c>
      <c r="G283">
        <v>3400.0331707</v>
      </c>
      <c r="H283">
        <v>4125.9073171</v>
      </c>
      <c r="I283">
        <v>0.1133931707</v>
      </c>
      <c r="J283">
        <v>0.0570913171</v>
      </c>
      <c r="K283">
        <v>0.0343474146</v>
      </c>
    </row>
    <row r="284" spans="1:11" ht="12.75">
      <c r="A284">
        <v>126904</v>
      </c>
      <c r="B284" t="s">
        <v>467</v>
      </c>
      <c r="C284">
        <v>1.1917516031</v>
      </c>
      <c r="D284">
        <v>4580.8310637</v>
      </c>
      <c r="E284">
        <v>4647.4617244</v>
      </c>
      <c r="F284">
        <v>3954</v>
      </c>
      <c r="G284">
        <v>3400.0331707</v>
      </c>
      <c r="H284">
        <v>4125.9073171</v>
      </c>
      <c r="I284">
        <v>0.1133931707</v>
      </c>
      <c r="J284">
        <v>0.0570913171</v>
      </c>
      <c r="K284">
        <v>0.0343474146</v>
      </c>
    </row>
    <row r="285" spans="1:11" ht="12.75">
      <c r="A285">
        <v>126905</v>
      </c>
      <c r="B285" t="s">
        <v>468</v>
      </c>
      <c r="C285">
        <v>1.0673535425</v>
      </c>
      <c r="D285">
        <v>4024.263288</v>
      </c>
      <c r="E285">
        <v>4744.2717519</v>
      </c>
      <c r="F285">
        <v>3575</v>
      </c>
      <c r="G285">
        <v>3400.0331707</v>
      </c>
      <c r="H285">
        <v>4125.9073171</v>
      </c>
      <c r="I285">
        <v>0.1133931707</v>
      </c>
      <c r="J285">
        <v>0.0570913171</v>
      </c>
      <c r="K285">
        <v>0.0343474146</v>
      </c>
    </row>
    <row r="286" spans="1:11" ht="12.75">
      <c r="A286">
        <v>126906</v>
      </c>
      <c r="B286" t="s">
        <v>469</v>
      </c>
      <c r="C286">
        <v>1.2621825117</v>
      </c>
      <c r="D286">
        <v>3117.0017787</v>
      </c>
      <c r="E286">
        <v>4392.0613899</v>
      </c>
      <c r="F286">
        <v>4174</v>
      </c>
      <c r="G286">
        <v>3400.0331707</v>
      </c>
      <c r="H286">
        <v>4125.9073171</v>
      </c>
      <c r="I286">
        <v>0.1133931707</v>
      </c>
      <c r="J286">
        <v>0.0570913171</v>
      </c>
      <c r="K286">
        <v>0.0343474146</v>
      </c>
    </row>
    <row r="287" spans="1:11" ht="12.75">
      <c r="A287">
        <v>126907</v>
      </c>
      <c r="B287" t="s">
        <v>470</v>
      </c>
      <c r="C287">
        <v>1.2440390161</v>
      </c>
      <c r="D287">
        <v>4028.6960421</v>
      </c>
      <c r="E287">
        <v>4218.4190739</v>
      </c>
      <c r="F287">
        <v>4114</v>
      </c>
      <c r="G287">
        <v>3400.0331707</v>
      </c>
      <c r="H287">
        <v>4125.9073171</v>
      </c>
      <c r="I287">
        <v>0.1133931707</v>
      </c>
      <c r="J287">
        <v>0.0570913171</v>
      </c>
      <c r="K287">
        <v>0.0343474146</v>
      </c>
    </row>
    <row r="288" spans="1:11" ht="12.75">
      <c r="A288">
        <v>126908</v>
      </c>
      <c r="B288" t="s">
        <v>471</v>
      </c>
      <c r="C288">
        <v>1.1182441131</v>
      </c>
      <c r="D288">
        <v>3010.9981952</v>
      </c>
      <c r="E288">
        <v>4507.0624831</v>
      </c>
      <c r="F288">
        <v>3698</v>
      </c>
      <c r="G288">
        <v>3400.0331707</v>
      </c>
      <c r="H288">
        <v>4125.9073171</v>
      </c>
      <c r="I288">
        <v>0.1133931707</v>
      </c>
      <c r="J288">
        <v>0.0570913171</v>
      </c>
      <c r="K288">
        <v>0.0343474146</v>
      </c>
    </row>
    <row r="289" spans="1:11" ht="12.75">
      <c r="A289">
        <v>126911</v>
      </c>
      <c r="B289" t="s">
        <v>472</v>
      </c>
      <c r="C289">
        <v>1.1055436662</v>
      </c>
      <c r="D289">
        <v>7000</v>
      </c>
      <c r="E289">
        <v>5060.7681776</v>
      </c>
      <c r="F289">
        <v>3656</v>
      </c>
      <c r="G289">
        <v>3400.0331707</v>
      </c>
      <c r="H289">
        <v>4125.9073171</v>
      </c>
      <c r="I289">
        <v>0.1133931707</v>
      </c>
      <c r="J289">
        <v>0.0570913171</v>
      </c>
      <c r="K289">
        <v>0.0343474146</v>
      </c>
    </row>
    <row r="290" spans="1:11" ht="12.75">
      <c r="A290">
        <v>127901</v>
      </c>
      <c r="B290" t="s">
        <v>1132</v>
      </c>
      <c r="C290">
        <v>1.2663343951</v>
      </c>
      <c r="D290">
        <v>2379.8512376</v>
      </c>
      <c r="E290">
        <v>4374.656798</v>
      </c>
      <c r="F290">
        <v>4160</v>
      </c>
      <c r="G290">
        <v>3400.0331707</v>
      </c>
      <c r="H290">
        <v>4125.9073171</v>
      </c>
      <c r="I290">
        <v>0.1133931707</v>
      </c>
      <c r="J290">
        <v>0.0570913171</v>
      </c>
      <c r="K290">
        <v>0.0343474146</v>
      </c>
    </row>
    <row r="291" spans="1:11" ht="12.75">
      <c r="A291">
        <v>127904</v>
      </c>
      <c r="B291" t="s">
        <v>812</v>
      </c>
      <c r="C291">
        <v>1.2645079513</v>
      </c>
      <c r="D291">
        <v>1985.1890416</v>
      </c>
      <c r="E291">
        <v>4392.7415948</v>
      </c>
      <c r="F291">
        <v>4154</v>
      </c>
      <c r="G291">
        <v>3400.0331707</v>
      </c>
      <c r="H291">
        <v>4125.9073171</v>
      </c>
      <c r="I291">
        <v>0.1133931707</v>
      </c>
      <c r="J291">
        <v>0.0570913171</v>
      </c>
      <c r="K291">
        <v>0.0343474146</v>
      </c>
    </row>
    <row r="292" spans="1:11" ht="12.75">
      <c r="A292">
        <v>127906</v>
      </c>
      <c r="B292" t="s">
        <v>813</v>
      </c>
      <c r="C292">
        <v>1.2841472707</v>
      </c>
      <c r="D292">
        <v>2296.2985745</v>
      </c>
      <c r="E292">
        <v>4828.8621152</v>
      </c>
      <c r="F292">
        <v>4190</v>
      </c>
      <c r="G292">
        <v>3400.0331707</v>
      </c>
      <c r="H292">
        <v>4125.9073171</v>
      </c>
      <c r="I292">
        <v>0.1133931707</v>
      </c>
      <c r="J292">
        <v>0.0570913171</v>
      </c>
      <c r="K292">
        <v>0.0343474146</v>
      </c>
    </row>
    <row r="293" spans="1:11" ht="12.75">
      <c r="A293">
        <v>128902</v>
      </c>
      <c r="B293" t="s">
        <v>1133</v>
      </c>
      <c r="C293">
        <v>1.2903049299</v>
      </c>
      <c r="D293">
        <v>2841.9809915</v>
      </c>
      <c r="E293">
        <v>4204.8275557</v>
      </c>
      <c r="F293">
        <v>4267</v>
      </c>
      <c r="G293">
        <v>3400.0331707</v>
      </c>
      <c r="H293">
        <v>4125.9073171</v>
      </c>
      <c r="I293">
        <v>0.1133931707</v>
      </c>
      <c r="J293">
        <v>0.0570913171</v>
      </c>
      <c r="K293">
        <v>0.0343474146</v>
      </c>
    </row>
    <row r="294" spans="1:11" ht="12.75">
      <c r="A294">
        <v>129901</v>
      </c>
      <c r="B294" t="s">
        <v>473</v>
      </c>
      <c r="C294">
        <v>1.0994958343</v>
      </c>
      <c r="D294">
        <v>3102.4927283</v>
      </c>
      <c r="E294">
        <v>4596.2383243</v>
      </c>
      <c r="F294">
        <v>3636</v>
      </c>
      <c r="G294">
        <v>3400.0331707</v>
      </c>
      <c r="H294">
        <v>4125.9073171</v>
      </c>
      <c r="I294">
        <v>0.1133931707</v>
      </c>
      <c r="J294">
        <v>0.0570913171</v>
      </c>
      <c r="K294">
        <v>0.0343474146</v>
      </c>
    </row>
    <row r="295" spans="1:11" ht="12.75">
      <c r="A295">
        <v>129902</v>
      </c>
      <c r="B295" t="s">
        <v>474</v>
      </c>
      <c r="C295">
        <v>1.0284338098</v>
      </c>
      <c r="D295">
        <v>4677.0397672</v>
      </c>
      <c r="E295">
        <v>4939.2202022</v>
      </c>
      <c r="F295">
        <v>3401</v>
      </c>
      <c r="G295">
        <v>3400.0331707</v>
      </c>
      <c r="H295">
        <v>4125.9073171</v>
      </c>
      <c r="I295">
        <v>0.1133931707</v>
      </c>
      <c r="J295">
        <v>0.0570913171</v>
      </c>
      <c r="K295">
        <v>0.0343474146</v>
      </c>
    </row>
    <row r="296" spans="1:11" ht="12.75">
      <c r="A296">
        <v>129903</v>
      </c>
      <c r="B296" t="s">
        <v>475</v>
      </c>
      <c r="C296">
        <v>1.0825997987</v>
      </c>
      <c r="D296">
        <v>2889.0402925</v>
      </c>
      <c r="E296">
        <v>4541.5945138</v>
      </c>
      <c r="F296">
        <v>3603</v>
      </c>
      <c r="G296">
        <v>3400.0331707</v>
      </c>
      <c r="H296">
        <v>4125.9073171</v>
      </c>
      <c r="I296">
        <v>0.1133931707</v>
      </c>
      <c r="J296">
        <v>0.0570913171</v>
      </c>
      <c r="K296">
        <v>0.0343474146</v>
      </c>
    </row>
    <row r="297" spans="1:11" ht="12.75">
      <c r="A297">
        <v>129904</v>
      </c>
      <c r="B297" t="s">
        <v>476</v>
      </c>
      <c r="C297">
        <v>1.1230823786</v>
      </c>
      <c r="D297">
        <v>3292.3822813</v>
      </c>
      <c r="E297">
        <v>4541.4617767</v>
      </c>
      <c r="F297">
        <v>3714</v>
      </c>
      <c r="G297">
        <v>3400.0331707</v>
      </c>
      <c r="H297">
        <v>4125.9073171</v>
      </c>
      <c r="I297">
        <v>0.1133931707</v>
      </c>
      <c r="J297">
        <v>0.0570913171</v>
      </c>
      <c r="K297">
        <v>0.0343474146</v>
      </c>
    </row>
    <row r="298" spans="1:11" ht="12.75">
      <c r="A298">
        <v>129905</v>
      </c>
      <c r="B298" t="s">
        <v>477</v>
      </c>
      <c r="C298">
        <v>1.0877672068</v>
      </c>
      <c r="D298">
        <v>4179.1201799</v>
      </c>
      <c r="E298">
        <v>4593.6360848</v>
      </c>
      <c r="F298">
        <v>3609</v>
      </c>
      <c r="G298">
        <v>3400.0331707</v>
      </c>
      <c r="H298">
        <v>4125.9073171</v>
      </c>
      <c r="I298">
        <v>0.1133931707</v>
      </c>
      <c r="J298">
        <v>0.0570913171</v>
      </c>
      <c r="K298">
        <v>0.0343474146</v>
      </c>
    </row>
    <row r="299" spans="1:11" ht="12.75">
      <c r="A299">
        <v>129906</v>
      </c>
      <c r="B299" t="s">
        <v>478</v>
      </c>
      <c r="C299">
        <v>1.0672757382</v>
      </c>
      <c r="D299">
        <v>4667.1143543</v>
      </c>
      <c r="E299">
        <v>4561.250793</v>
      </c>
      <c r="F299">
        <v>3552</v>
      </c>
      <c r="G299">
        <v>3400.0331707</v>
      </c>
      <c r="H299">
        <v>4125.9073171</v>
      </c>
      <c r="I299">
        <v>0.1133931707</v>
      </c>
      <c r="J299">
        <v>0.0570913171</v>
      </c>
      <c r="K299">
        <v>0.0343474146</v>
      </c>
    </row>
    <row r="300" spans="1:11" ht="12.75">
      <c r="A300">
        <v>129910</v>
      </c>
      <c r="B300" t="s">
        <v>479</v>
      </c>
      <c r="C300">
        <v>1.2445163952</v>
      </c>
      <c r="D300">
        <v>2822.1806681</v>
      </c>
      <c r="E300">
        <v>4463.2434655</v>
      </c>
      <c r="F300">
        <v>4102</v>
      </c>
      <c r="G300">
        <v>3400.0331707</v>
      </c>
      <c r="H300">
        <v>4125.9073171</v>
      </c>
      <c r="I300">
        <v>0.1133931707</v>
      </c>
      <c r="J300">
        <v>0.0570913171</v>
      </c>
      <c r="K300">
        <v>0.0343474146</v>
      </c>
    </row>
    <row r="301" spans="1:11" ht="12.75">
      <c r="A301">
        <v>130901</v>
      </c>
      <c r="B301" t="s">
        <v>1146</v>
      </c>
      <c r="C301">
        <v>1.032007458</v>
      </c>
      <c r="D301">
        <v>7000</v>
      </c>
      <c r="E301">
        <v>5415.1848019</v>
      </c>
      <c r="F301">
        <v>3424</v>
      </c>
      <c r="G301">
        <v>3400.0331707</v>
      </c>
      <c r="H301">
        <v>4125.9073171</v>
      </c>
      <c r="I301">
        <v>0.1133931707</v>
      </c>
      <c r="J301">
        <v>0.0570913171</v>
      </c>
      <c r="K301">
        <v>0.0343474146</v>
      </c>
    </row>
    <row r="302" spans="1:11" ht="12.75">
      <c r="A302">
        <v>133904</v>
      </c>
      <c r="B302" t="s">
        <v>480</v>
      </c>
      <c r="C302">
        <v>1.1429416391</v>
      </c>
      <c r="D302">
        <v>4323.198596</v>
      </c>
      <c r="E302">
        <v>4423.9672683</v>
      </c>
      <c r="F302">
        <v>3742</v>
      </c>
      <c r="G302">
        <v>3400.0331707</v>
      </c>
      <c r="H302">
        <v>4125.9073171</v>
      </c>
      <c r="I302">
        <v>0.1133931707</v>
      </c>
      <c r="J302">
        <v>0.0570913171</v>
      </c>
      <c r="K302">
        <v>0.0343474146</v>
      </c>
    </row>
    <row r="303" spans="1:11" ht="12.75">
      <c r="A303">
        <v>137901</v>
      </c>
      <c r="B303" t="s">
        <v>481</v>
      </c>
      <c r="C303">
        <v>1.0855657289</v>
      </c>
      <c r="D303">
        <v>3320.9430917</v>
      </c>
      <c r="E303">
        <v>4839.9326471</v>
      </c>
      <c r="F303">
        <v>3636</v>
      </c>
      <c r="G303">
        <v>3400.0331707</v>
      </c>
      <c r="H303">
        <v>4125.9073171</v>
      </c>
      <c r="I303">
        <v>0.1133931707</v>
      </c>
      <c r="J303">
        <v>0.0570913171</v>
      </c>
      <c r="K303">
        <v>0.0343474146</v>
      </c>
    </row>
    <row r="304" spans="1:11" ht="12.75">
      <c r="A304">
        <v>137903</v>
      </c>
      <c r="B304" t="s">
        <v>1147</v>
      </c>
      <c r="C304">
        <v>1.5329409847</v>
      </c>
      <c r="D304">
        <v>7000</v>
      </c>
      <c r="E304">
        <v>4178.4297187</v>
      </c>
      <c r="F304">
        <v>5086</v>
      </c>
      <c r="G304">
        <v>3400.0331707</v>
      </c>
      <c r="H304">
        <v>4125.9073171</v>
      </c>
      <c r="I304">
        <v>0.1133931707</v>
      </c>
      <c r="J304">
        <v>0.0570913171</v>
      </c>
      <c r="K304">
        <v>0.0343474146</v>
      </c>
    </row>
    <row r="305" spans="1:11" ht="12.75">
      <c r="A305">
        <v>139909</v>
      </c>
      <c r="B305" t="s">
        <v>1148</v>
      </c>
      <c r="C305">
        <v>1.0687740532</v>
      </c>
      <c r="D305">
        <v>2711.4353512</v>
      </c>
      <c r="E305">
        <v>4359.8036713</v>
      </c>
      <c r="F305">
        <v>3511</v>
      </c>
      <c r="G305">
        <v>3400.0331707</v>
      </c>
      <c r="H305">
        <v>4125.9073171</v>
      </c>
      <c r="I305">
        <v>0.1133931707</v>
      </c>
      <c r="J305">
        <v>0.0570913171</v>
      </c>
      <c r="K305">
        <v>0.0343474146</v>
      </c>
    </row>
    <row r="306" spans="1:11" ht="12.75">
      <c r="A306">
        <v>145901</v>
      </c>
      <c r="B306" t="s">
        <v>482</v>
      </c>
      <c r="C306">
        <v>1.2487638914</v>
      </c>
      <c r="D306">
        <v>7000</v>
      </c>
      <c r="E306">
        <v>4350.6504842</v>
      </c>
      <c r="F306">
        <v>4116</v>
      </c>
      <c r="G306">
        <v>3400.0331707</v>
      </c>
      <c r="H306">
        <v>4125.9073171</v>
      </c>
      <c r="I306">
        <v>0.1133931707</v>
      </c>
      <c r="J306">
        <v>0.0570913171</v>
      </c>
      <c r="K306">
        <v>0.0343474146</v>
      </c>
    </row>
    <row r="307" spans="1:11" ht="12.75">
      <c r="A307">
        <v>145907</v>
      </c>
      <c r="B307" t="s">
        <v>483</v>
      </c>
      <c r="C307">
        <v>1.3807915424</v>
      </c>
      <c r="D307">
        <v>7000</v>
      </c>
      <c r="E307">
        <v>4787.3723001</v>
      </c>
      <c r="F307">
        <v>4536</v>
      </c>
      <c r="G307">
        <v>3400.0331707</v>
      </c>
      <c r="H307">
        <v>4125.9073171</v>
      </c>
      <c r="I307">
        <v>0.1133931707</v>
      </c>
      <c r="J307">
        <v>0.0570913171</v>
      </c>
      <c r="K307">
        <v>0.0343474146</v>
      </c>
    </row>
    <row r="308" spans="1:11" ht="12.75">
      <c r="A308">
        <v>146901</v>
      </c>
      <c r="B308" t="s">
        <v>814</v>
      </c>
      <c r="C308">
        <v>1.0949569323</v>
      </c>
      <c r="D308">
        <v>3055.3804435</v>
      </c>
      <c r="E308">
        <v>4716.3626375</v>
      </c>
      <c r="F308">
        <v>3679</v>
      </c>
      <c r="G308">
        <v>3400.0331707</v>
      </c>
      <c r="H308">
        <v>4125.9073171</v>
      </c>
      <c r="I308">
        <v>0.1133931707</v>
      </c>
      <c r="J308">
        <v>0.0570913171</v>
      </c>
      <c r="K308">
        <v>0.0343474146</v>
      </c>
    </row>
    <row r="309" spans="1:11" ht="12.75">
      <c r="A309">
        <v>152901</v>
      </c>
      <c r="B309" t="s">
        <v>484</v>
      </c>
      <c r="C309">
        <v>1.0389993785</v>
      </c>
      <c r="D309">
        <v>4213.4362374</v>
      </c>
      <c r="E309">
        <v>4522.1331329</v>
      </c>
      <c r="F309">
        <v>3469</v>
      </c>
      <c r="G309">
        <v>3400.0331707</v>
      </c>
      <c r="H309">
        <v>4125.9073171</v>
      </c>
      <c r="I309">
        <v>0.1133931707</v>
      </c>
      <c r="J309">
        <v>0.0570913171</v>
      </c>
      <c r="K309">
        <v>0.0343474146</v>
      </c>
    </row>
    <row r="310" spans="1:11" ht="12.75">
      <c r="A310">
        <v>152902</v>
      </c>
      <c r="B310" t="s">
        <v>485</v>
      </c>
      <c r="C310">
        <v>1.2642261317</v>
      </c>
      <c r="D310">
        <v>4108.3470886</v>
      </c>
      <c r="E310">
        <v>4971.5294278</v>
      </c>
      <c r="F310">
        <v>4125</v>
      </c>
      <c r="G310">
        <v>3400.0331707</v>
      </c>
      <c r="H310">
        <v>4125.9073171</v>
      </c>
      <c r="I310">
        <v>0.1133931707</v>
      </c>
      <c r="J310">
        <v>0.0570913171</v>
      </c>
      <c r="K310">
        <v>0.0343474146</v>
      </c>
    </row>
    <row r="311" spans="1:11" ht="12.75">
      <c r="A311">
        <v>152903</v>
      </c>
      <c r="B311" t="s">
        <v>486</v>
      </c>
      <c r="C311">
        <v>1.1580495076</v>
      </c>
      <c r="D311">
        <v>3345.7263504</v>
      </c>
      <c r="E311">
        <v>4946.6262099</v>
      </c>
      <c r="F311">
        <v>3817</v>
      </c>
      <c r="G311">
        <v>3400.0331707</v>
      </c>
      <c r="H311">
        <v>4125.9073171</v>
      </c>
      <c r="I311">
        <v>0.1133931707</v>
      </c>
      <c r="J311">
        <v>0.0570913171</v>
      </c>
      <c r="K311">
        <v>0.0343474146</v>
      </c>
    </row>
    <row r="312" spans="1:11" ht="12.75">
      <c r="A312">
        <v>152906</v>
      </c>
      <c r="B312" t="s">
        <v>487</v>
      </c>
      <c r="C312">
        <v>1.0690261188</v>
      </c>
      <c r="D312">
        <v>5265.4095336</v>
      </c>
      <c r="E312">
        <v>4887.9148845</v>
      </c>
      <c r="F312">
        <v>3500</v>
      </c>
      <c r="G312">
        <v>3400.0331707</v>
      </c>
      <c r="H312">
        <v>4125.9073171</v>
      </c>
      <c r="I312">
        <v>0.1133931707</v>
      </c>
      <c r="J312">
        <v>0.0570913171</v>
      </c>
      <c r="K312">
        <v>0.0343474146</v>
      </c>
    </row>
    <row r="313" spans="1:11" ht="12.75">
      <c r="A313">
        <v>152907</v>
      </c>
      <c r="B313" t="s">
        <v>488</v>
      </c>
      <c r="C313">
        <v>1.0284338098</v>
      </c>
      <c r="D313">
        <v>4383.2940367</v>
      </c>
      <c r="E313">
        <v>4687.0677305</v>
      </c>
      <c r="F313">
        <v>3401</v>
      </c>
      <c r="G313">
        <v>3400.0331707</v>
      </c>
      <c r="H313">
        <v>4125.9073171</v>
      </c>
      <c r="I313">
        <v>0.1133931707</v>
      </c>
      <c r="J313">
        <v>0.0570913171</v>
      </c>
      <c r="K313">
        <v>0.0343474146</v>
      </c>
    </row>
    <row r="314" spans="1:11" ht="12.75">
      <c r="A314">
        <v>152908</v>
      </c>
      <c r="B314" t="s">
        <v>489</v>
      </c>
      <c r="C314">
        <v>1.1850918117</v>
      </c>
      <c r="D314">
        <v>3150.2505374</v>
      </c>
      <c r="E314">
        <v>4638.0900959</v>
      </c>
      <c r="F314">
        <v>3880</v>
      </c>
      <c r="G314">
        <v>3400.0331707</v>
      </c>
      <c r="H314">
        <v>4125.9073171</v>
      </c>
      <c r="I314">
        <v>0.1133931707</v>
      </c>
      <c r="J314">
        <v>0.0570913171</v>
      </c>
      <c r="K314">
        <v>0.0343474146</v>
      </c>
    </row>
    <row r="315" spans="1:11" ht="12.75">
      <c r="A315">
        <v>152909</v>
      </c>
      <c r="B315" t="s">
        <v>490</v>
      </c>
      <c r="C315">
        <v>1.1183420981</v>
      </c>
      <c r="D315">
        <v>2755.5905875</v>
      </c>
      <c r="E315">
        <v>5041.8900795</v>
      </c>
      <c r="F315">
        <v>3649</v>
      </c>
      <c r="G315">
        <v>3400.0331707</v>
      </c>
      <c r="H315">
        <v>4125.9073171</v>
      </c>
      <c r="I315">
        <v>0.1133931707</v>
      </c>
      <c r="J315">
        <v>0.0570913171</v>
      </c>
      <c r="K315">
        <v>0.0343474146</v>
      </c>
    </row>
    <row r="316" spans="1:11" ht="12.75">
      <c r="A316">
        <v>152910</v>
      </c>
      <c r="B316" t="s">
        <v>491</v>
      </c>
      <c r="C316">
        <v>1.2139635655</v>
      </c>
      <c r="D316">
        <v>3618.783091</v>
      </c>
      <c r="E316">
        <v>5016.5919901</v>
      </c>
      <c r="F316">
        <v>3961</v>
      </c>
      <c r="G316">
        <v>3400.0331707</v>
      </c>
      <c r="H316">
        <v>4125.9073171</v>
      </c>
      <c r="I316">
        <v>0.1133931707</v>
      </c>
      <c r="J316">
        <v>0.0570913171</v>
      </c>
      <c r="K316">
        <v>0.0343474146</v>
      </c>
    </row>
    <row r="317" spans="1:11" ht="12.75">
      <c r="A317">
        <v>154901</v>
      </c>
      <c r="B317" t="s">
        <v>815</v>
      </c>
      <c r="C317">
        <v>1.1058659825</v>
      </c>
      <c r="D317">
        <v>3372.6943623</v>
      </c>
      <c r="E317">
        <v>4685.8893357</v>
      </c>
      <c r="F317">
        <v>3645</v>
      </c>
      <c r="G317">
        <v>3400.0331707</v>
      </c>
      <c r="H317">
        <v>4125.9073171</v>
      </c>
      <c r="I317">
        <v>0.1133931707</v>
      </c>
      <c r="J317">
        <v>0.0570913171</v>
      </c>
      <c r="K317">
        <v>0.0343474146</v>
      </c>
    </row>
    <row r="318" spans="1:11" ht="12.75">
      <c r="A318">
        <v>155901</v>
      </c>
      <c r="B318" t="s">
        <v>492</v>
      </c>
      <c r="C318">
        <v>1.2489831786</v>
      </c>
      <c r="D318">
        <v>6640.8493327</v>
      </c>
      <c r="E318">
        <v>4799.0721341</v>
      </c>
      <c r="F318">
        <v>4103</v>
      </c>
      <c r="G318">
        <v>3400.0331707</v>
      </c>
      <c r="H318">
        <v>4125.9073171</v>
      </c>
      <c r="I318">
        <v>0.1133931707</v>
      </c>
      <c r="J318">
        <v>0.0570913171</v>
      </c>
      <c r="K318">
        <v>0.0343474146</v>
      </c>
    </row>
    <row r="319" spans="1:11" ht="12.75">
      <c r="A319">
        <v>156902</v>
      </c>
      <c r="B319" t="s">
        <v>493</v>
      </c>
      <c r="C319">
        <v>1.4352860734</v>
      </c>
      <c r="D319">
        <v>7000</v>
      </c>
      <c r="E319">
        <v>4772.9397989</v>
      </c>
      <c r="F319">
        <v>4762</v>
      </c>
      <c r="G319">
        <v>3400.0331707</v>
      </c>
      <c r="H319">
        <v>4125.9073171</v>
      </c>
      <c r="I319">
        <v>0.1133931707</v>
      </c>
      <c r="J319">
        <v>0.0570913171</v>
      </c>
      <c r="K319">
        <v>0.0343474146</v>
      </c>
    </row>
    <row r="320" spans="1:11" ht="12.75">
      <c r="A320">
        <v>158901</v>
      </c>
      <c r="B320" t="s">
        <v>1117</v>
      </c>
      <c r="C320">
        <v>1.0898973325</v>
      </c>
      <c r="D320">
        <v>4577.394617</v>
      </c>
      <c r="E320">
        <v>5144.2814394</v>
      </c>
      <c r="F320">
        <v>3662</v>
      </c>
      <c r="G320">
        <v>3400.0331707</v>
      </c>
      <c r="H320">
        <v>4125.9073171</v>
      </c>
      <c r="I320">
        <v>0.1133931707</v>
      </c>
      <c r="J320">
        <v>0.0570913171</v>
      </c>
      <c r="K320">
        <v>0.0343474146</v>
      </c>
    </row>
    <row r="321" spans="1:11" ht="12.75">
      <c r="A321">
        <v>158906</v>
      </c>
      <c r="B321" t="s">
        <v>816</v>
      </c>
      <c r="C321">
        <v>1.3882277657</v>
      </c>
      <c r="D321">
        <v>7000</v>
      </c>
      <c r="E321">
        <v>4411.0142058</v>
      </c>
      <c r="F321">
        <v>4635</v>
      </c>
      <c r="G321">
        <v>3400.0331707</v>
      </c>
      <c r="H321">
        <v>4125.9073171</v>
      </c>
      <c r="I321">
        <v>0.1133931707</v>
      </c>
      <c r="J321">
        <v>0.0570913171</v>
      </c>
      <c r="K321">
        <v>0.0343474146</v>
      </c>
    </row>
    <row r="322" spans="1:11" ht="12.75">
      <c r="A322">
        <v>161901</v>
      </c>
      <c r="B322" t="s">
        <v>817</v>
      </c>
      <c r="C322">
        <v>1.2813124967</v>
      </c>
      <c r="D322">
        <v>3252.4544228</v>
      </c>
      <c r="E322">
        <v>4474.4864538</v>
      </c>
      <c r="F322">
        <v>4167</v>
      </c>
      <c r="G322">
        <v>3400.0331707</v>
      </c>
      <c r="H322">
        <v>4125.9073171</v>
      </c>
      <c r="I322">
        <v>0.1133931707</v>
      </c>
      <c r="J322">
        <v>0.0570913171</v>
      </c>
      <c r="K322">
        <v>0.0343474146</v>
      </c>
    </row>
    <row r="323" spans="1:11" ht="12.75">
      <c r="A323">
        <v>161903</v>
      </c>
      <c r="B323" t="s">
        <v>494</v>
      </c>
      <c r="C323">
        <v>1.0284338098</v>
      </c>
      <c r="D323">
        <v>6770.0753723</v>
      </c>
      <c r="E323">
        <v>5383.5592417</v>
      </c>
      <c r="F323">
        <v>3401</v>
      </c>
      <c r="G323">
        <v>3400.0331707</v>
      </c>
      <c r="H323">
        <v>4125.9073171</v>
      </c>
      <c r="I323">
        <v>0.1133931707</v>
      </c>
      <c r="J323">
        <v>0.0570913171</v>
      </c>
      <c r="K323">
        <v>0.0343474146</v>
      </c>
    </row>
    <row r="324" spans="1:11" ht="12.75">
      <c r="A324">
        <v>161906</v>
      </c>
      <c r="B324" t="s">
        <v>495</v>
      </c>
      <c r="C324">
        <v>1.0888649354</v>
      </c>
      <c r="D324">
        <v>3279.6222211</v>
      </c>
      <c r="E324">
        <v>4515.2758482</v>
      </c>
      <c r="F324">
        <v>3577</v>
      </c>
      <c r="G324">
        <v>3400.0331707</v>
      </c>
      <c r="H324">
        <v>4125.9073171</v>
      </c>
      <c r="I324">
        <v>0.1133931707</v>
      </c>
      <c r="J324">
        <v>0.0570913171</v>
      </c>
      <c r="K324">
        <v>0.0343474146</v>
      </c>
    </row>
    <row r="325" spans="1:11" ht="12.75">
      <c r="A325">
        <v>161907</v>
      </c>
      <c r="B325" t="s">
        <v>818</v>
      </c>
      <c r="C325">
        <v>1.1102599834</v>
      </c>
      <c r="D325">
        <v>3335.5748833</v>
      </c>
      <c r="E325">
        <v>4537.2568862</v>
      </c>
      <c r="F325">
        <v>3635</v>
      </c>
      <c r="G325">
        <v>3400.0331707</v>
      </c>
      <c r="H325">
        <v>4125.9073171</v>
      </c>
      <c r="I325">
        <v>0.1133931707</v>
      </c>
      <c r="J325">
        <v>0.0570913171</v>
      </c>
      <c r="K325">
        <v>0.0343474146</v>
      </c>
    </row>
    <row r="326" spans="1:11" ht="12.75">
      <c r="A326">
        <v>161908</v>
      </c>
      <c r="B326" t="s">
        <v>637</v>
      </c>
      <c r="C326">
        <v>1.2987140164</v>
      </c>
      <c r="D326">
        <v>3385.7511311</v>
      </c>
      <c r="E326">
        <v>4974.3035706</v>
      </c>
      <c r="F326">
        <v>4252</v>
      </c>
      <c r="G326">
        <v>3400.0331707</v>
      </c>
      <c r="H326">
        <v>4125.9073171</v>
      </c>
      <c r="I326">
        <v>0.1133931707</v>
      </c>
      <c r="J326">
        <v>0.0570913171</v>
      </c>
      <c r="K326">
        <v>0.0343474146</v>
      </c>
    </row>
    <row r="327" spans="1:11" ht="12.75">
      <c r="A327">
        <v>161909</v>
      </c>
      <c r="B327" t="s">
        <v>819</v>
      </c>
      <c r="C327">
        <v>1.1432470751</v>
      </c>
      <c r="D327">
        <v>4004.918786</v>
      </c>
      <c r="E327">
        <v>5057.5241001</v>
      </c>
      <c r="F327">
        <v>3743</v>
      </c>
      <c r="G327">
        <v>3400.0331707</v>
      </c>
      <c r="H327">
        <v>4125.9073171</v>
      </c>
      <c r="I327">
        <v>0.1133931707</v>
      </c>
      <c r="J327">
        <v>0.0570913171</v>
      </c>
      <c r="K327">
        <v>0.0343474146</v>
      </c>
    </row>
    <row r="328" spans="1:11" ht="12.75">
      <c r="A328">
        <v>161912</v>
      </c>
      <c r="B328" t="s">
        <v>496</v>
      </c>
      <c r="C328">
        <v>1.3019230563</v>
      </c>
      <c r="D328">
        <v>2596.0736015</v>
      </c>
      <c r="E328">
        <v>4415.5076252</v>
      </c>
      <c r="F328">
        <v>4248</v>
      </c>
      <c r="G328">
        <v>3400.0331707</v>
      </c>
      <c r="H328">
        <v>4125.9073171</v>
      </c>
      <c r="I328">
        <v>0.1133931707</v>
      </c>
      <c r="J328">
        <v>0.0570913171</v>
      </c>
      <c r="K328">
        <v>0.0343474146</v>
      </c>
    </row>
    <row r="329" spans="1:11" ht="12.75">
      <c r="A329">
        <v>161914</v>
      </c>
      <c r="B329" t="s">
        <v>497</v>
      </c>
      <c r="C329">
        <v>1.0389993785</v>
      </c>
      <c r="D329">
        <v>3717.9620385</v>
      </c>
      <c r="E329">
        <v>4647.6255877</v>
      </c>
      <c r="F329">
        <v>3469</v>
      </c>
      <c r="G329">
        <v>3400.0331707</v>
      </c>
      <c r="H329">
        <v>4125.9073171</v>
      </c>
      <c r="I329">
        <v>0.1133931707</v>
      </c>
      <c r="J329">
        <v>0.0570913171</v>
      </c>
      <c r="K329">
        <v>0.0343474146</v>
      </c>
    </row>
    <row r="330" spans="1:11" ht="12.75">
      <c r="A330">
        <v>161916</v>
      </c>
      <c r="B330" t="s">
        <v>820</v>
      </c>
      <c r="C330">
        <v>1.1163687041</v>
      </c>
      <c r="D330">
        <v>3011.692496</v>
      </c>
      <c r="E330">
        <v>4426.0620798</v>
      </c>
      <c r="F330">
        <v>3655</v>
      </c>
      <c r="G330">
        <v>3400.0331707</v>
      </c>
      <c r="H330">
        <v>4125.9073171</v>
      </c>
      <c r="I330">
        <v>0.1133931707</v>
      </c>
      <c r="J330">
        <v>0.0570913171</v>
      </c>
      <c r="K330">
        <v>0.0343474146</v>
      </c>
    </row>
    <row r="331" spans="1:11" ht="12.75">
      <c r="A331">
        <v>161918</v>
      </c>
      <c r="B331" t="s">
        <v>218</v>
      </c>
      <c r="C331">
        <v>1.2642261317</v>
      </c>
      <c r="D331">
        <v>2481.5507606</v>
      </c>
      <c r="E331">
        <v>4930.3599742</v>
      </c>
      <c r="F331">
        <v>4125</v>
      </c>
      <c r="G331">
        <v>3400.0331707</v>
      </c>
      <c r="H331">
        <v>4125.9073171</v>
      </c>
      <c r="I331">
        <v>0.1133931707</v>
      </c>
      <c r="J331">
        <v>0.0570913171</v>
      </c>
      <c r="K331">
        <v>0.0343474146</v>
      </c>
    </row>
    <row r="332" spans="1:11" ht="12.75">
      <c r="A332">
        <v>161919</v>
      </c>
      <c r="B332" t="s">
        <v>821</v>
      </c>
      <c r="C332">
        <v>1.2302069558</v>
      </c>
      <c r="D332">
        <v>2972.4386963</v>
      </c>
      <c r="E332">
        <v>5017.3237831</v>
      </c>
      <c r="F332">
        <v>4014</v>
      </c>
      <c r="G332">
        <v>3400.0331707</v>
      </c>
      <c r="H332">
        <v>4125.9073171</v>
      </c>
      <c r="I332">
        <v>0.1133931707</v>
      </c>
      <c r="J332">
        <v>0.0570913171</v>
      </c>
      <c r="K332">
        <v>0.0343474146</v>
      </c>
    </row>
    <row r="333" spans="1:11" ht="12.75">
      <c r="A333">
        <v>161920</v>
      </c>
      <c r="B333" t="s">
        <v>498</v>
      </c>
      <c r="C333">
        <v>1.0922913778</v>
      </c>
      <c r="D333">
        <v>3807.6427806</v>
      </c>
      <c r="E333">
        <v>4813.8968674</v>
      </c>
      <c r="F333">
        <v>3564</v>
      </c>
      <c r="G333">
        <v>3400.0331707</v>
      </c>
      <c r="H333">
        <v>4125.9073171</v>
      </c>
      <c r="I333">
        <v>0.1133931707</v>
      </c>
      <c r="J333">
        <v>0.0570913171</v>
      </c>
      <c r="K333">
        <v>0.0343474146</v>
      </c>
    </row>
    <row r="334" spans="1:11" ht="12.75">
      <c r="A334">
        <v>161921</v>
      </c>
      <c r="B334" t="s">
        <v>499</v>
      </c>
      <c r="C334">
        <v>1.0937354523</v>
      </c>
      <c r="D334">
        <v>3198.6510332</v>
      </c>
      <c r="E334">
        <v>4519.4349065</v>
      </c>
      <c r="F334">
        <v>3593</v>
      </c>
      <c r="G334">
        <v>3400.0331707</v>
      </c>
      <c r="H334">
        <v>4125.9073171</v>
      </c>
      <c r="I334">
        <v>0.1133931707</v>
      </c>
      <c r="J334">
        <v>0.0570913171</v>
      </c>
      <c r="K334">
        <v>0.0343474146</v>
      </c>
    </row>
    <row r="335" spans="1:11" ht="12.75">
      <c r="A335">
        <v>161922</v>
      </c>
      <c r="B335" t="s">
        <v>500</v>
      </c>
      <c r="C335">
        <v>1.0998235984</v>
      </c>
      <c r="D335">
        <v>3023.0920243</v>
      </c>
      <c r="E335">
        <v>4523.6227586</v>
      </c>
      <c r="F335">
        <v>3613</v>
      </c>
      <c r="G335">
        <v>3400.0331707</v>
      </c>
      <c r="H335">
        <v>4125.9073171</v>
      </c>
      <c r="I335">
        <v>0.1133931707</v>
      </c>
      <c r="J335">
        <v>0.0570913171</v>
      </c>
      <c r="K335">
        <v>0.0343474146</v>
      </c>
    </row>
    <row r="336" spans="1:11" ht="12.75">
      <c r="A336">
        <v>161923</v>
      </c>
      <c r="B336" t="s">
        <v>822</v>
      </c>
      <c r="C336">
        <v>1.3123433445</v>
      </c>
      <c r="D336">
        <v>3847.3361911</v>
      </c>
      <c r="E336">
        <v>4949.3342398</v>
      </c>
      <c r="F336">
        <v>4282</v>
      </c>
      <c r="G336">
        <v>3400.0331707</v>
      </c>
      <c r="H336">
        <v>4125.9073171</v>
      </c>
      <c r="I336">
        <v>0.1133931707</v>
      </c>
      <c r="J336">
        <v>0.0570913171</v>
      </c>
      <c r="K336">
        <v>0.0343474146</v>
      </c>
    </row>
    <row r="337" spans="1:11" ht="12.75">
      <c r="A337">
        <v>163901</v>
      </c>
      <c r="B337" t="s">
        <v>823</v>
      </c>
      <c r="C337">
        <v>1.1222762279</v>
      </c>
      <c r="D337">
        <v>2877.9318742</v>
      </c>
      <c r="E337">
        <v>5095.9336651</v>
      </c>
      <c r="F337">
        <v>3734</v>
      </c>
      <c r="G337">
        <v>3400.0331707</v>
      </c>
      <c r="H337">
        <v>4125.9073171</v>
      </c>
      <c r="I337">
        <v>0.1133931707</v>
      </c>
      <c r="J337">
        <v>0.0570913171</v>
      </c>
      <c r="K337">
        <v>0.0343474146</v>
      </c>
    </row>
    <row r="338" spans="1:11" ht="12.75">
      <c r="A338">
        <v>163903</v>
      </c>
      <c r="B338" t="s">
        <v>501</v>
      </c>
      <c r="C338">
        <v>1.1859616257</v>
      </c>
      <c r="D338">
        <v>2304.4003176</v>
      </c>
      <c r="E338">
        <v>4423.7594373</v>
      </c>
      <c r="F338">
        <v>3909</v>
      </c>
      <c r="G338">
        <v>3400.0331707</v>
      </c>
      <c r="H338">
        <v>4125.9073171</v>
      </c>
      <c r="I338">
        <v>0.1133931707</v>
      </c>
      <c r="J338">
        <v>0.0570913171</v>
      </c>
      <c r="K338">
        <v>0.0343474146</v>
      </c>
    </row>
    <row r="339" spans="1:11" ht="12.75">
      <c r="A339">
        <v>163908</v>
      </c>
      <c r="B339" t="s">
        <v>1018</v>
      </c>
      <c r="C339">
        <v>1.0843762546</v>
      </c>
      <c r="D339">
        <v>4007.8429083</v>
      </c>
      <c r="E339">
        <v>4540.8072001</v>
      </c>
      <c r="F339">
        <v>3586</v>
      </c>
      <c r="G339">
        <v>3400.0331707</v>
      </c>
      <c r="H339">
        <v>4125.9073171</v>
      </c>
      <c r="I339">
        <v>0.1133931707</v>
      </c>
      <c r="J339">
        <v>0.0570913171</v>
      </c>
      <c r="K339">
        <v>0.0343474146</v>
      </c>
    </row>
    <row r="340" spans="1:11" ht="12.75">
      <c r="A340">
        <v>165901</v>
      </c>
      <c r="B340" t="s">
        <v>502</v>
      </c>
      <c r="C340">
        <v>1.0497203232</v>
      </c>
      <c r="D340">
        <v>5783.7258305</v>
      </c>
      <c r="E340">
        <v>4576.0419258</v>
      </c>
      <c r="F340">
        <v>3538</v>
      </c>
      <c r="G340">
        <v>3400.0331707</v>
      </c>
      <c r="H340">
        <v>4125.9073171</v>
      </c>
      <c r="I340">
        <v>0.1133931707</v>
      </c>
      <c r="J340">
        <v>0.0570913171</v>
      </c>
      <c r="K340">
        <v>0.0343474146</v>
      </c>
    </row>
    <row r="341" spans="1:11" ht="12.75">
      <c r="A341">
        <v>165902</v>
      </c>
      <c r="B341" t="s">
        <v>503</v>
      </c>
      <c r="C341">
        <v>1.1233328844</v>
      </c>
      <c r="D341">
        <v>5604.9227068</v>
      </c>
      <c r="E341">
        <v>5081.3780001</v>
      </c>
      <c r="F341">
        <v>3727</v>
      </c>
      <c r="G341">
        <v>3400.0331707</v>
      </c>
      <c r="H341">
        <v>4125.9073171</v>
      </c>
      <c r="I341">
        <v>0.1133931707</v>
      </c>
      <c r="J341">
        <v>0.0570913171</v>
      </c>
      <c r="K341">
        <v>0.0343474146</v>
      </c>
    </row>
    <row r="342" spans="1:11" ht="12.75">
      <c r="A342">
        <v>166901</v>
      </c>
      <c r="B342" t="s">
        <v>1149</v>
      </c>
      <c r="C342">
        <v>1.122779987</v>
      </c>
      <c r="D342">
        <v>2977.2984811</v>
      </c>
      <c r="E342">
        <v>4623.4202082</v>
      </c>
      <c r="F342">
        <v>3713</v>
      </c>
      <c r="G342">
        <v>3400.0331707</v>
      </c>
      <c r="H342">
        <v>4125.9073171</v>
      </c>
      <c r="I342">
        <v>0.1133931707</v>
      </c>
      <c r="J342">
        <v>0.0570913171</v>
      </c>
      <c r="K342">
        <v>0.0343474146</v>
      </c>
    </row>
    <row r="343" spans="1:11" ht="12.75">
      <c r="A343">
        <v>166904</v>
      </c>
      <c r="B343" t="s">
        <v>824</v>
      </c>
      <c r="C343">
        <v>1.1173369383</v>
      </c>
      <c r="D343">
        <v>5780.3595083</v>
      </c>
      <c r="E343">
        <v>4152.7831882</v>
      </c>
      <c r="F343">
        <v>3695</v>
      </c>
      <c r="G343">
        <v>3400.0331707</v>
      </c>
      <c r="H343">
        <v>4125.9073171</v>
      </c>
      <c r="I343">
        <v>0.1133931707</v>
      </c>
      <c r="J343">
        <v>0.0570913171</v>
      </c>
      <c r="K343">
        <v>0.0343474146</v>
      </c>
    </row>
    <row r="344" spans="1:11" ht="12.75">
      <c r="A344">
        <v>166905</v>
      </c>
      <c r="B344" t="s">
        <v>1150</v>
      </c>
      <c r="C344">
        <v>1.3098646399</v>
      </c>
      <c r="D344">
        <v>3628.1733314</v>
      </c>
      <c r="E344">
        <v>5089.398734</v>
      </c>
      <c r="F344">
        <v>4303</v>
      </c>
      <c r="G344">
        <v>3400.0331707</v>
      </c>
      <c r="H344">
        <v>4125.9073171</v>
      </c>
      <c r="I344">
        <v>0.1133931707</v>
      </c>
      <c r="J344">
        <v>0.0570913171</v>
      </c>
      <c r="K344">
        <v>0.0343474146</v>
      </c>
    </row>
    <row r="345" spans="1:11" ht="12.75">
      <c r="A345">
        <v>167902</v>
      </c>
      <c r="B345" t="s">
        <v>219</v>
      </c>
      <c r="C345">
        <v>1.3918720067</v>
      </c>
      <c r="D345">
        <v>7000</v>
      </c>
      <c r="E345">
        <v>4550.0117299</v>
      </c>
      <c r="F345">
        <v>4557</v>
      </c>
      <c r="G345">
        <v>3400.0331707</v>
      </c>
      <c r="H345">
        <v>4125.9073171</v>
      </c>
      <c r="I345">
        <v>0.1133931707</v>
      </c>
      <c r="J345">
        <v>0.0570913171</v>
      </c>
      <c r="K345">
        <v>0.0343474146</v>
      </c>
    </row>
    <row r="346" spans="1:11" ht="12.75">
      <c r="A346">
        <v>170902</v>
      </c>
      <c r="B346" t="s">
        <v>504</v>
      </c>
      <c r="C346">
        <v>1.0568676196</v>
      </c>
      <c r="D346">
        <v>5388.3487759</v>
      </c>
      <c r="E346">
        <v>4828.5772788</v>
      </c>
      <c r="F346">
        <v>3584</v>
      </c>
      <c r="G346">
        <v>3400.0331707</v>
      </c>
      <c r="H346">
        <v>4125.9073171</v>
      </c>
      <c r="I346">
        <v>0.1133931707</v>
      </c>
      <c r="J346">
        <v>0.0570913171</v>
      </c>
      <c r="K346">
        <v>0.0343474146</v>
      </c>
    </row>
    <row r="347" spans="1:11" ht="12.75">
      <c r="A347">
        <v>170903</v>
      </c>
      <c r="B347" t="s">
        <v>505</v>
      </c>
      <c r="C347">
        <v>1.0425730267</v>
      </c>
      <c r="D347">
        <v>6897.3246698</v>
      </c>
      <c r="E347">
        <v>5181.4959886</v>
      </c>
      <c r="F347">
        <v>3492</v>
      </c>
      <c r="G347">
        <v>3400.0331707</v>
      </c>
      <c r="H347">
        <v>4125.9073171</v>
      </c>
      <c r="I347">
        <v>0.1133931707</v>
      </c>
      <c r="J347">
        <v>0.0570913171</v>
      </c>
      <c r="K347">
        <v>0.0343474146</v>
      </c>
    </row>
    <row r="348" spans="1:11" ht="12.75">
      <c r="A348">
        <v>170904</v>
      </c>
      <c r="B348" t="s">
        <v>506</v>
      </c>
      <c r="C348">
        <v>1.046146675</v>
      </c>
      <c r="D348">
        <v>4532.0674706</v>
      </c>
      <c r="E348">
        <v>4723.6286338</v>
      </c>
      <c r="F348">
        <v>3515</v>
      </c>
      <c r="G348">
        <v>3400.0331707</v>
      </c>
      <c r="H348">
        <v>4125.9073171</v>
      </c>
      <c r="I348">
        <v>0.1133931707</v>
      </c>
      <c r="J348">
        <v>0.0570913171</v>
      </c>
      <c r="K348">
        <v>0.0343474146</v>
      </c>
    </row>
    <row r="349" spans="1:11" ht="12.75">
      <c r="A349">
        <v>170906</v>
      </c>
      <c r="B349" t="s">
        <v>507</v>
      </c>
      <c r="C349">
        <v>1.046146675</v>
      </c>
      <c r="D349">
        <v>4072.0087674</v>
      </c>
      <c r="E349">
        <v>4719.3726897</v>
      </c>
      <c r="F349">
        <v>3515</v>
      </c>
      <c r="G349">
        <v>3400.0331707</v>
      </c>
      <c r="H349">
        <v>4125.9073171</v>
      </c>
      <c r="I349">
        <v>0.1133931707</v>
      </c>
      <c r="J349">
        <v>0.0570913171</v>
      </c>
      <c r="K349">
        <v>0.0343474146</v>
      </c>
    </row>
    <row r="350" spans="1:11" ht="12.75">
      <c r="A350">
        <v>170908</v>
      </c>
      <c r="B350" t="s">
        <v>1118</v>
      </c>
      <c r="C350">
        <v>1.0497203232</v>
      </c>
      <c r="D350">
        <v>3177.4125419</v>
      </c>
      <c r="E350">
        <v>4588.6325512</v>
      </c>
      <c r="F350">
        <v>3538</v>
      </c>
      <c r="G350">
        <v>3400.0331707</v>
      </c>
      <c r="H350">
        <v>4125.9073171</v>
      </c>
      <c r="I350">
        <v>0.1133931707</v>
      </c>
      <c r="J350">
        <v>0.0570913171</v>
      </c>
      <c r="K350">
        <v>0.0343474146</v>
      </c>
    </row>
    <row r="351" spans="1:11" ht="12.75">
      <c r="A351">
        <v>172902</v>
      </c>
      <c r="B351" t="s">
        <v>1151</v>
      </c>
      <c r="C351">
        <v>1.1518772479</v>
      </c>
      <c r="D351">
        <v>7000</v>
      </c>
      <c r="E351">
        <v>5506.1706186</v>
      </c>
      <c r="F351">
        <v>3784</v>
      </c>
      <c r="G351">
        <v>3400.0331707</v>
      </c>
      <c r="H351">
        <v>4125.9073171</v>
      </c>
      <c r="I351">
        <v>0.1133931707</v>
      </c>
      <c r="J351">
        <v>0.0570913171</v>
      </c>
      <c r="K351">
        <v>0.0343474146</v>
      </c>
    </row>
    <row r="352" spans="1:11" ht="12.75">
      <c r="A352">
        <v>174903</v>
      </c>
      <c r="B352" t="s">
        <v>220</v>
      </c>
      <c r="C352">
        <v>1.2798565639</v>
      </c>
      <c r="D352">
        <v>7000</v>
      </c>
      <c r="E352">
        <v>4974.9176995</v>
      </c>
      <c r="F352">
        <v>4176</v>
      </c>
      <c r="G352">
        <v>3400.0331707</v>
      </c>
      <c r="H352">
        <v>4125.9073171</v>
      </c>
      <c r="I352">
        <v>0.1133931707</v>
      </c>
      <c r="J352">
        <v>0.0570913171</v>
      </c>
      <c r="K352">
        <v>0.0343474146</v>
      </c>
    </row>
    <row r="353" spans="1:11" ht="12.75">
      <c r="A353">
        <v>174906</v>
      </c>
      <c r="B353" t="s">
        <v>508</v>
      </c>
      <c r="C353">
        <v>1.2333439943</v>
      </c>
      <c r="D353">
        <v>2649.7645288</v>
      </c>
      <c r="E353">
        <v>4473.6803407</v>
      </c>
      <c r="F353">
        <v>4011</v>
      </c>
      <c r="G353">
        <v>3400.0331707</v>
      </c>
      <c r="H353">
        <v>4125.9073171</v>
      </c>
      <c r="I353">
        <v>0.1133931707</v>
      </c>
      <c r="J353">
        <v>0.0570913171</v>
      </c>
      <c r="K353">
        <v>0.0343474146</v>
      </c>
    </row>
    <row r="354" spans="1:11" ht="12.75">
      <c r="A354">
        <v>175903</v>
      </c>
      <c r="B354" t="s">
        <v>509</v>
      </c>
      <c r="C354">
        <v>1.0318381911</v>
      </c>
      <c r="D354">
        <v>3578.0177791</v>
      </c>
      <c r="E354">
        <v>4555.6635798</v>
      </c>
      <c r="F354">
        <v>3401</v>
      </c>
      <c r="G354">
        <v>3400.0331707</v>
      </c>
      <c r="H354">
        <v>4125.9073171</v>
      </c>
      <c r="I354">
        <v>0.1133931707</v>
      </c>
      <c r="J354">
        <v>0.0570913171</v>
      </c>
      <c r="K354">
        <v>0.0343474146</v>
      </c>
    </row>
    <row r="355" spans="1:11" ht="12.75">
      <c r="A355">
        <v>175905</v>
      </c>
      <c r="B355" t="s">
        <v>510</v>
      </c>
      <c r="C355">
        <v>1.3457495622</v>
      </c>
      <c r="D355">
        <v>3454.1550681</v>
      </c>
      <c r="E355">
        <v>5011.7561888</v>
      </c>
      <c r="F355">
        <v>4391</v>
      </c>
      <c r="G355">
        <v>3400.0331707</v>
      </c>
      <c r="H355">
        <v>4125.9073171</v>
      </c>
      <c r="I355">
        <v>0.1133931707</v>
      </c>
      <c r="J355">
        <v>0.0570913171</v>
      </c>
      <c r="K355">
        <v>0.0343474146</v>
      </c>
    </row>
    <row r="356" spans="1:11" ht="12.75">
      <c r="A356">
        <v>175910</v>
      </c>
      <c r="B356" t="s">
        <v>1152</v>
      </c>
      <c r="C356">
        <v>1.2660650061</v>
      </c>
      <c r="D356">
        <v>7000</v>
      </c>
      <c r="E356">
        <v>5044.5809012</v>
      </c>
      <c r="F356">
        <v>4131</v>
      </c>
      <c r="G356">
        <v>3400.0331707</v>
      </c>
      <c r="H356">
        <v>4125.9073171</v>
      </c>
      <c r="I356">
        <v>0.1133931707</v>
      </c>
      <c r="J356">
        <v>0.0570913171</v>
      </c>
      <c r="K356">
        <v>0.0343474146</v>
      </c>
    </row>
    <row r="357" spans="1:11" ht="12.75">
      <c r="A357">
        <v>178901</v>
      </c>
      <c r="B357" t="s">
        <v>511</v>
      </c>
      <c r="C357">
        <v>1.3534343342</v>
      </c>
      <c r="D357">
        <v>4878.9366623</v>
      </c>
      <c r="E357">
        <v>4883.9714384</v>
      </c>
      <c r="F357">
        <v>4461</v>
      </c>
      <c r="G357">
        <v>3400.0331707</v>
      </c>
      <c r="H357">
        <v>4125.9073171</v>
      </c>
      <c r="I357">
        <v>0.1133931707</v>
      </c>
      <c r="J357">
        <v>0.0570913171</v>
      </c>
      <c r="K357">
        <v>0.0343474146</v>
      </c>
    </row>
    <row r="358" spans="1:11" ht="12.75">
      <c r="A358">
        <v>178903</v>
      </c>
      <c r="B358" t="s">
        <v>512</v>
      </c>
      <c r="C358">
        <v>1.0836263336</v>
      </c>
      <c r="D358">
        <v>4399.9876103</v>
      </c>
      <c r="E358">
        <v>4595.3235406</v>
      </c>
      <c r="F358">
        <v>3618</v>
      </c>
      <c r="G358">
        <v>3400.0331707</v>
      </c>
      <c r="H358">
        <v>4125.9073171</v>
      </c>
      <c r="I358">
        <v>0.1133931707</v>
      </c>
      <c r="J358">
        <v>0.0570913171</v>
      </c>
      <c r="K358">
        <v>0.0343474146</v>
      </c>
    </row>
    <row r="359" spans="1:11" ht="12.75">
      <c r="A359">
        <v>178904</v>
      </c>
      <c r="B359" t="s">
        <v>513</v>
      </c>
      <c r="C359">
        <v>1.0389993785</v>
      </c>
      <c r="D359">
        <v>4014.5806028</v>
      </c>
      <c r="E359">
        <v>4640.5039898</v>
      </c>
      <c r="F359">
        <v>3469</v>
      </c>
      <c r="G359">
        <v>3400.0331707</v>
      </c>
      <c r="H359">
        <v>4125.9073171</v>
      </c>
      <c r="I359">
        <v>0.1133931707</v>
      </c>
      <c r="J359">
        <v>0.0570913171</v>
      </c>
      <c r="K359">
        <v>0.0343474146</v>
      </c>
    </row>
    <row r="360" spans="1:11" ht="12.75">
      <c r="A360">
        <v>178908</v>
      </c>
      <c r="B360" t="s">
        <v>514</v>
      </c>
      <c r="C360">
        <v>1.3139932978</v>
      </c>
      <c r="D360">
        <v>7000</v>
      </c>
      <c r="E360">
        <v>5706.9578775</v>
      </c>
      <c r="F360">
        <v>4331</v>
      </c>
      <c r="G360">
        <v>3400.0331707</v>
      </c>
      <c r="H360">
        <v>4125.9073171</v>
      </c>
      <c r="I360">
        <v>0.1133931707</v>
      </c>
      <c r="J360">
        <v>0.0570913171</v>
      </c>
      <c r="K360">
        <v>0.0343474146</v>
      </c>
    </row>
    <row r="361" spans="1:11" ht="12.75">
      <c r="A361">
        <v>178909</v>
      </c>
      <c r="B361" t="s">
        <v>515</v>
      </c>
      <c r="C361">
        <v>1.1164343772</v>
      </c>
      <c r="D361">
        <v>1834.065661</v>
      </c>
      <c r="E361">
        <v>4496.7733419</v>
      </c>
      <c r="F361">
        <v>3786</v>
      </c>
      <c r="G361">
        <v>3400.0331707</v>
      </c>
      <c r="H361">
        <v>4125.9073171</v>
      </c>
      <c r="I361">
        <v>0.1133931707</v>
      </c>
      <c r="J361">
        <v>0.0570913171</v>
      </c>
      <c r="K361">
        <v>0.0343474146</v>
      </c>
    </row>
    <row r="362" spans="1:11" ht="12.75">
      <c r="A362">
        <v>178912</v>
      </c>
      <c r="B362" t="s">
        <v>516</v>
      </c>
      <c r="C362">
        <v>1.0904120648</v>
      </c>
      <c r="D362">
        <v>5371.3617933</v>
      </c>
      <c r="E362">
        <v>4468.5466402</v>
      </c>
      <c r="F362">
        <v>3629</v>
      </c>
      <c r="G362">
        <v>3400.0331707</v>
      </c>
      <c r="H362">
        <v>4125.9073171</v>
      </c>
      <c r="I362">
        <v>0.1133931707</v>
      </c>
      <c r="J362">
        <v>0.0570913171</v>
      </c>
      <c r="K362">
        <v>0.0343474146</v>
      </c>
    </row>
    <row r="363" spans="1:11" ht="12.75">
      <c r="A363">
        <v>178914</v>
      </c>
      <c r="B363" t="s">
        <v>517</v>
      </c>
      <c r="C363">
        <v>1.0419944762</v>
      </c>
      <c r="D363">
        <v>5709.1240719</v>
      </c>
      <c r="E363">
        <v>5028.8899079</v>
      </c>
      <c r="F363">
        <v>3479</v>
      </c>
      <c r="G363">
        <v>3400.0331707</v>
      </c>
      <c r="H363">
        <v>4125.9073171</v>
      </c>
      <c r="I363">
        <v>0.1133931707</v>
      </c>
      <c r="J363">
        <v>0.0570913171</v>
      </c>
      <c r="K363">
        <v>0.0343474146</v>
      </c>
    </row>
    <row r="364" spans="1:11" ht="12.75">
      <c r="A364">
        <v>178915</v>
      </c>
      <c r="B364" t="s">
        <v>518</v>
      </c>
      <c r="C364">
        <v>1.1341914497</v>
      </c>
      <c r="D364">
        <v>3909.6257158</v>
      </c>
      <c r="E364">
        <v>4723.8237241</v>
      </c>
      <c r="F364">
        <v>3816</v>
      </c>
      <c r="G364">
        <v>3400.0331707</v>
      </c>
      <c r="H364">
        <v>4125.9073171</v>
      </c>
      <c r="I364">
        <v>0.1133931707</v>
      </c>
      <c r="J364">
        <v>0.0570913171</v>
      </c>
      <c r="K364">
        <v>0.0343474146</v>
      </c>
    </row>
    <row r="365" spans="1:11" ht="12.75">
      <c r="A365">
        <v>181901</v>
      </c>
      <c r="B365" t="s">
        <v>221</v>
      </c>
      <c r="C365">
        <v>1.1066375405</v>
      </c>
      <c r="D365">
        <v>3070.1358105</v>
      </c>
      <c r="E365">
        <v>3889.7248434</v>
      </c>
      <c r="F365">
        <v>3683</v>
      </c>
      <c r="G365">
        <v>3400.0331707</v>
      </c>
      <c r="H365">
        <v>4125.9073171</v>
      </c>
      <c r="I365">
        <v>0.1133931707</v>
      </c>
      <c r="J365">
        <v>0.0570913171</v>
      </c>
      <c r="K365">
        <v>0.0343474146</v>
      </c>
    </row>
    <row r="366" spans="1:11" ht="12.75">
      <c r="A366">
        <v>181905</v>
      </c>
      <c r="B366" t="s">
        <v>1153</v>
      </c>
      <c r="C366">
        <v>1.1203608543</v>
      </c>
      <c r="D366">
        <v>2694.8161723</v>
      </c>
      <c r="E366">
        <v>4319.9783295</v>
      </c>
      <c r="F366">
        <v>3705</v>
      </c>
      <c r="G366">
        <v>3400.0331707</v>
      </c>
      <c r="H366">
        <v>4125.9073171</v>
      </c>
      <c r="I366">
        <v>0.1133931707</v>
      </c>
      <c r="J366">
        <v>0.0570913171</v>
      </c>
      <c r="K366">
        <v>0.0343474146</v>
      </c>
    </row>
    <row r="367" spans="1:11" ht="12.75">
      <c r="A367">
        <v>181906</v>
      </c>
      <c r="B367" t="s">
        <v>519</v>
      </c>
      <c r="C367">
        <v>1.0389993785</v>
      </c>
      <c r="D367">
        <v>6679.1890083</v>
      </c>
      <c r="E367">
        <v>4351.1027643</v>
      </c>
      <c r="F367">
        <v>3469</v>
      </c>
      <c r="G367">
        <v>3400.0331707</v>
      </c>
      <c r="H367">
        <v>4125.9073171</v>
      </c>
      <c r="I367">
        <v>0.1133931707</v>
      </c>
      <c r="J367">
        <v>0.0570913171</v>
      </c>
      <c r="K367">
        <v>0.0343474146</v>
      </c>
    </row>
    <row r="368" spans="1:11" ht="12.75">
      <c r="A368">
        <v>181907</v>
      </c>
      <c r="B368" t="s">
        <v>520</v>
      </c>
      <c r="C368">
        <v>1.060965831</v>
      </c>
      <c r="D368">
        <v>2536.9051224</v>
      </c>
      <c r="E368">
        <v>4753.9852064</v>
      </c>
      <c r="F368">
        <v>3531</v>
      </c>
      <c r="G368">
        <v>3400.0331707</v>
      </c>
      <c r="H368">
        <v>4125.9073171</v>
      </c>
      <c r="I368">
        <v>0.1133931707</v>
      </c>
      <c r="J368">
        <v>0.0570913171</v>
      </c>
      <c r="K368">
        <v>0.0343474146</v>
      </c>
    </row>
    <row r="369" spans="1:11" ht="12.75">
      <c r="A369">
        <v>181908</v>
      </c>
      <c r="B369" t="s">
        <v>1154</v>
      </c>
      <c r="C369">
        <v>1.0841021575</v>
      </c>
      <c r="D369">
        <v>3012.4549754</v>
      </c>
      <c r="E369">
        <v>4399.2334779</v>
      </c>
      <c r="F369">
        <v>3608</v>
      </c>
      <c r="G369">
        <v>3400.0331707</v>
      </c>
      <c r="H369">
        <v>4125.9073171</v>
      </c>
      <c r="I369">
        <v>0.1133931707</v>
      </c>
      <c r="J369">
        <v>0.0570913171</v>
      </c>
      <c r="K369">
        <v>0.0343474146</v>
      </c>
    </row>
    <row r="370" spans="1:11" ht="12.75">
      <c r="A370">
        <v>182902</v>
      </c>
      <c r="B370" t="s">
        <v>521</v>
      </c>
      <c r="C370">
        <v>1.3594957871</v>
      </c>
      <c r="D370">
        <v>7000</v>
      </c>
      <c r="E370">
        <v>5236.4975502</v>
      </c>
      <c r="F370">
        <v>4451</v>
      </c>
      <c r="G370">
        <v>3400.0331707</v>
      </c>
      <c r="H370">
        <v>4125.9073171</v>
      </c>
      <c r="I370">
        <v>0.1133931707</v>
      </c>
      <c r="J370">
        <v>0.0570913171</v>
      </c>
      <c r="K370">
        <v>0.0343474146</v>
      </c>
    </row>
    <row r="371" spans="1:11" ht="12.75">
      <c r="A371">
        <v>183901</v>
      </c>
      <c r="B371" t="s">
        <v>522</v>
      </c>
      <c r="C371">
        <v>1.2913835516</v>
      </c>
      <c r="D371">
        <v>7000</v>
      </c>
      <c r="E371">
        <v>5851.948055</v>
      </c>
      <c r="F371">
        <v>4228</v>
      </c>
      <c r="G371">
        <v>3400.0331707</v>
      </c>
      <c r="H371">
        <v>4125.9073171</v>
      </c>
      <c r="I371">
        <v>0.1133931707</v>
      </c>
      <c r="J371">
        <v>0.0570913171</v>
      </c>
      <c r="K371">
        <v>0.0343474146</v>
      </c>
    </row>
    <row r="372" spans="1:11" ht="12.75">
      <c r="A372">
        <v>183902</v>
      </c>
      <c r="B372" t="s">
        <v>523</v>
      </c>
      <c r="C372">
        <v>1.0248601616</v>
      </c>
      <c r="D372">
        <v>7000</v>
      </c>
      <c r="E372">
        <v>5555.209749</v>
      </c>
      <c r="F372">
        <v>3378</v>
      </c>
      <c r="G372">
        <v>3400.0331707</v>
      </c>
      <c r="H372">
        <v>4125.9073171</v>
      </c>
      <c r="I372">
        <v>0.1133931707</v>
      </c>
      <c r="J372">
        <v>0.0570913171</v>
      </c>
      <c r="K372">
        <v>0.0343474146</v>
      </c>
    </row>
    <row r="373" spans="1:11" ht="12.75">
      <c r="A373">
        <v>183904</v>
      </c>
      <c r="B373" t="s">
        <v>524</v>
      </c>
      <c r="C373">
        <v>1.3457495622</v>
      </c>
      <c r="D373">
        <v>7000</v>
      </c>
      <c r="E373">
        <v>5794.5196313</v>
      </c>
      <c r="F373">
        <v>4391</v>
      </c>
      <c r="G373">
        <v>3400.0331707</v>
      </c>
      <c r="H373">
        <v>4125.9073171</v>
      </c>
      <c r="I373">
        <v>0.1133931707</v>
      </c>
      <c r="J373">
        <v>0.0570913171</v>
      </c>
      <c r="K373">
        <v>0.0343474146</v>
      </c>
    </row>
    <row r="374" spans="1:11" ht="12.75">
      <c r="A374">
        <v>184901</v>
      </c>
      <c r="B374" t="s">
        <v>222</v>
      </c>
      <c r="C374">
        <v>1.3210539394</v>
      </c>
      <c r="D374">
        <v>4528.8168593</v>
      </c>
      <c r="E374">
        <v>4744.1536626</v>
      </c>
      <c r="F374">
        <v>4383</v>
      </c>
      <c r="G374">
        <v>3400.0331707</v>
      </c>
      <c r="H374">
        <v>4125.9073171</v>
      </c>
      <c r="I374">
        <v>0.1133931707</v>
      </c>
      <c r="J374">
        <v>0.0570913171</v>
      </c>
      <c r="K374">
        <v>0.0343474146</v>
      </c>
    </row>
    <row r="375" spans="1:11" ht="12.75">
      <c r="A375">
        <v>184902</v>
      </c>
      <c r="B375" t="s">
        <v>223</v>
      </c>
      <c r="C375">
        <v>1.0890175094</v>
      </c>
      <c r="D375">
        <v>3536.438572</v>
      </c>
      <c r="E375">
        <v>4539.2136408</v>
      </c>
      <c r="F375">
        <v>3636</v>
      </c>
      <c r="G375">
        <v>3400.0331707</v>
      </c>
      <c r="H375">
        <v>4125.9073171</v>
      </c>
      <c r="I375">
        <v>0.1133931707</v>
      </c>
      <c r="J375">
        <v>0.0570913171</v>
      </c>
      <c r="K375">
        <v>0.0343474146</v>
      </c>
    </row>
    <row r="376" spans="1:11" ht="12.75">
      <c r="A376">
        <v>184903</v>
      </c>
      <c r="B376" t="s">
        <v>525</v>
      </c>
      <c r="C376">
        <v>1.0425730267</v>
      </c>
      <c r="D376">
        <v>5728.2718397</v>
      </c>
      <c r="E376">
        <v>4605.2613384</v>
      </c>
      <c r="F376">
        <v>3492</v>
      </c>
      <c r="G376">
        <v>3400.0331707</v>
      </c>
      <c r="H376">
        <v>4125.9073171</v>
      </c>
      <c r="I376">
        <v>0.1133931707</v>
      </c>
      <c r="J376">
        <v>0.0570913171</v>
      </c>
      <c r="K376">
        <v>0.0343474146</v>
      </c>
    </row>
    <row r="377" spans="1:11" ht="12.75">
      <c r="A377">
        <v>184904</v>
      </c>
      <c r="B377" t="s">
        <v>224</v>
      </c>
      <c r="C377">
        <v>1.2902257939</v>
      </c>
      <c r="D377">
        <v>4751.2542245</v>
      </c>
      <c r="E377">
        <v>4407.8643315</v>
      </c>
      <c r="F377">
        <v>4294</v>
      </c>
      <c r="G377">
        <v>3400.0331707</v>
      </c>
      <c r="H377">
        <v>4125.9073171</v>
      </c>
      <c r="I377">
        <v>0.1133931707</v>
      </c>
      <c r="J377">
        <v>0.0570913171</v>
      </c>
      <c r="K377">
        <v>0.0343474146</v>
      </c>
    </row>
    <row r="378" spans="1:11" ht="12.75">
      <c r="A378">
        <v>184907</v>
      </c>
      <c r="B378" t="s">
        <v>526</v>
      </c>
      <c r="C378">
        <v>1.0389993785</v>
      </c>
      <c r="D378">
        <v>6735.3517398</v>
      </c>
      <c r="E378">
        <v>4812.2521359</v>
      </c>
      <c r="F378">
        <v>3469</v>
      </c>
      <c r="G378">
        <v>3400.0331707</v>
      </c>
      <c r="H378">
        <v>4125.9073171</v>
      </c>
      <c r="I378">
        <v>0.1133931707</v>
      </c>
      <c r="J378">
        <v>0.0570913171</v>
      </c>
      <c r="K378">
        <v>0.0343474146</v>
      </c>
    </row>
    <row r="379" spans="1:11" ht="12.75">
      <c r="A379">
        <v>184908</v>
      </c>
      <c r="B379" t="s">
        <v>225</v>
      </c>
      <c r="C379">
        <v>1.1959712598</v>
      </c>
      <c r="D379">
        <v>3524.5274003</v>
      </c>
      <c r="E379">
        <v>4662.9472273</v>
      </c>
      <c r="F379">
        <v>3968</v>
      </c>
      <c r="G379">
        <v>3400.0331707</v>
      </c>
      <c r="H379">
        <v>4125.9073171</v>
      </c>
      <c r="I379">
        <v>0.1133931707</v>
      </c>
      <c r="J379">
        <v>0.0570913171</v>
      </c>
      <c r="K379">
        <v>0.0343474146</v>
      </c>
    </row>
    <row r="380" spans="1:11" ht="12.75">
      <c r="A380">
        <v>184909</v>
      </c>
      <c r="B380" t="s">
        <v>1134</v>
      </c>
      <c r="C380">
        <v>1.2591585957</v>
      </c>
      <c r="D380">
        <v>5754.2948707</v>
      </c>
      <c r="E380">
        <v>4632.8397218</v>
      </c>
      <c r="F380">
        <v>4164</v>
      </c>
      <c r="G380">
        <v>3400.0331707</v>
      </c>
      <c r="H380">
        <v>4125.9073171</v>
      </c>
      <c r="I380">
        <v>0.1133931707</v>
      </c>
      <c r="J380">
        <v>0.0570913171</v>
      </c>
      <c r="K380">
        <v>0.0343474146</v>
      </c>
    </row>
    <row r="381" spans="1:11" ht="12.75">
      <c r="A381">
        <v>187904</v>
      </c>
      <c r="B381" t="s">
        <v>527</v>
      </c>
      <c r="C381">
        <v>1.209322855</v>
      </c>
      <c r="D381">
        <v>3300.0479518</v>
      </c>
      <c r="E381">
        <v>4326.7346655</v>
      </c>
      <c r="F381">
        <v>3986</v>
      </c>
      <c r="G381">
        <v>3400.0331707</v>
      </c>
      <c r="H381">
        <v>4125.9073171</v>
      </c>
      <c r="I381">
        <v>0.1133931707</v>
      </c>
      <c r="J381">
        <v>0.0570913171</v>
      </c>
      <c r="K381">
        <v>0.0343474146</v>
      </c>
    </row>
    <row r="382" spans="1:11" ht="12.75">
      <c r="A382">
        <v>187910</v>
      </c>
      <c r="B382" t="s">
        <v>825</v>
      </c>
      <c r="C382">
        <v>1.2296854727</v>
      </c>
      <c r="D382">
        <v>4879.9362014</v>
      </c>
      <c r="E382">
        <v>4569.6936514</v>
      </c>
      <c r="F382">
        <v>4026</v>
      </c>
      <c r="G382">
        <v>3400.0331707</v>
      </c>
      <c r="H382">
        <v>4125.9073171</v>
      </c>
      <c r="I382">
        <v>0.1133931707</v>
      </c>
      <c r="J382">
        <v>0.0570913171</v>
      </c>
      <c r="K382">
        <v>0.0343474146</v>
      </c>
    </row>
    <row r="383" spans="1:11" ht="12.75">
      <c r="A383">
        <v>188901</v>
      </c>
      <c r="B383" t="s">
        <v>528</v>
      </c>
      <c r="C383">
        <v>1.0389993785</v>
      </c>
      <c r="D383">
        <v>3523.6049792</v>
      </c>
      <c r="E383">
        <v>4664.3902231</v>
      </c>
      <c r="F383">
        <v>3469</v>
      </c>
      <c r="G383">
        <v>3400.0331707</v>
      </c>
      <c r="H383">
        <v>4125.9073171</v>
      </c>
      <c r="I383">
        <v>0.1133931707</v>
      </c>
      <c r="J383">
        <v>0.0570913171</v>
      </c>
      <c r="K383">
        <v>0.0343474146</v>
      </c>
    </row>
    <row r="384" spans="1:11" ht="12.75">
      <c r="A384">
        <v>188902</v>
      </c>
      <c r="B384" t="s">
        <v>529</v>
      </c>
      <c r="C384">
        <v>1.1218665527</v>
      </c>
      <c r="D384">
        <v>2813.3223796</v>
      </c>
      <c r="E384">
        <v>4496.8843061</v>
      </c>
      <c r="F384">
        <v>3673</v>
      </c>
      <c r="G384">
        <v>3400.0331707</v>
      </c>
      <c r="H384">
        <v>4125.9073171</v>
      </c>
      <c r="I384">
        <v>0.1133931707</v>
      </c>
      <c r="J384">
        <v>0.0570913171</v>
      </c>
      <c r="K384">
        <v>0.0343474146</v>
      </c>
    </row>
    <row r="385" spans="1:11" ht="12.75">
      <c r="A385">
        <v>188903</v>
      </c>
      <c r="B385" t="s">
        <v>342</v>
      </c>
      <c r="C385">
        <v>1.2312126529</v>
      </c>
      <c r="D385">
        <v>7000</v>
      </c>
      <c r="E385">
        <v>5477.7074013</v>
      </c>
      <c r="F385">
        <v>4031</v>
      </c>
      <c r="G385">
        <v>3400.0331707</v>
      </c>
      <c r="H385">
        <v>4125.9073171</v>
      </c>
      <c r="I385">
        <v>0.1133931707</v>
      </c>
      <c r="J385">
        <v>0.0570913171</v>
      </c>
      <c r="K385">
        <v>0.0343474146</v>
      </c>
    </row>
    <row r="386" spans="1:11" ht="12.75">
      <c r="A386">
        <v>188904</v>
      </c>
      <c r="B386" t="s">
        <v>1135</v>
      </c>
      <c r="C386">
        <v>1.2550317598</v>
      </c>
      <c r="D386">
        <v>7000</v>
      </c>
      <c r="E386">
        <v>5507.0891947</v>
      </c>
      <c r="F386">
        <v>4095</v>
      </c>
      <c r="G386">
        <v>3400.0331707</v>
      </c>
      <c r="H386">
        <v>4125.9073171</v>
      </c>
      <c r="I386">
        <v>0.1133931707</v>
      </c>
      <c r="J386">
        <v>0.0570913171</v>
      </c>
      <c r="K386">
        <v>0.0343474146</v>
      </c>
    </row>
    <row r="387" spans="1:11" ht="12.75">
      <c r="A387">
        <v>191901</v>
      </c>
      <c r="B387" t="s">
        <v>530</v>
      </c>
      <c r="C387">
        <v>1.0212865134</v>
      </c>
      <c r="D387">
        <v>4419.8583597</v>
      </c>
      <c r="E387">
        <v>4560.9726816</v>
      </c>
      <c r="F387">
        <v>3355</v>
      </c>
      <c r="G387">
        <v>3400.0331707</v>
      </c>
      <c r="H387">
        <v>4125.9073171</v>
      </c>
      <c r="I387">
        <v>0.1133931707</v>
      </c>
      <c r="J387">
        <v>0.0570913171</v>
      </c>
      <c r="K387">
        <v>0.0343474146</v>
      </c>
    </row>
    <row r="388" spans="1:11" ht="12.75">
      <c r="A388">
        <v>193902</v>
      </c>
      <c r="B388" t="s">
        <v>531</v>
      </c>
      <c r="C388">
        <v>1.5809369117</v>
      </c>
      <c r="D388">
        <v>7000</v>
      </c>
      <c r="E388">
        <v>5604.5369718</v>
      </c>
      <c r="F388">
        <v>5176</v>
      </c>
      <c r="G388">
        <v>3400.0331707</v>
      </c>
      <c r="H388">
        <v>4125.9073171</v>
      </c>
      <c r="I388">
        <v>0.1133931707</v>
      </c>
      <c r="J388">
        <v>0.0570913171</v>
      </c>
      <c r="K388">
        <v>0.0343474146</v>
      </c>
    </row>
    <row r="389" spans="1:11" ht="12.75">
      <c r="A389">
        <v>198905</v>
      </c>
      <c r="B389" t="s">
        <v>532</v>
      </c>
      <c r="C389">
        <v>1.2163097377</v>
      </c>
      <c r="D389">
        <v>4571.2595075</v>
      </c>
      <c r="E389">
        <v>4624.3799814</v>
      </c>
      <c r="F389">
        <v>4048</v>
      </c>
      <c r="G389">
        <v>3400.0331707</v>
      </c>
      <c r="H389">
        <v>4125.9073171</v>
      </c>
      <c r="I389">
        <v>0.1133931707</v>
      </c>
      <c r="J389">
        <v>0.0570913171</v>
      </c>
      <c r="K389">
        <v>0.0343474146</v>
      </c>
    </row>
    <row r="390" spans="1:11" ht="12.75">
      <c r="A390">
        <v>198906</v>
      </c>
      <c r="B390" t="s">
        <v>826</v>
      </c>
      <c r="C390">
        <v>1.3494250425</v>
      </c>
      <c r="D390">
        <v>3241.3014037</v>
      </c>
      <c r="E390">
        <v>4792.9428436</v>
      </c>
      <c r="F390">
        <v>4534</v>
      </c>
      <c r="G390">
        <v>3400.0331707</v>
      </c>
      <c r="H390">
        <v>4125.9073171</v>
      </c>
      <c r="I390">
        <v>0.1133931707</v>
      </c>
      <c r="J390">
        <v>0.0570913171</v>
      </c>
      <c r="K390">
        <v>0.0343474146</v>
      </c>
    </row>
    <row r="391" spans="1:11" ht="12.75">
      <c r="A391">
        <v>199901</v>
      </c>
      <c r="B391" t="s">
        <v>533</v>
      </c>
      <c r="C391">
        <v>1.046146675</v>
      </c>
      <c r="D391">
        <v>6532.7167684</v>
      </c>
      <c r="E391">
        <v>5489.3383282</v>
      </c>
      <c r="F391">
        <v>3515</v>
      </c>
      <c r="G391">
        <v>3400.0331707</v>
      </c>
      <c r="H391">
        <v>4125.9073171</v>
      </c>
      <c r="I391">
        <v>0.1133931707</v>
      </c>
      <c r="J391">
        <v>0.0570913171</v>
      </c>
      <c r="K391">
        <v>0.0343474146</v>
      </c>
    </row>
    <row r="392" spans="1:11" ht="12.75">
      <c r="A392">
        <v>199902</v>
      </c>
      <c r="B392" t="s">
        <v>534</v>
      </c>
      <c r="C392">
        <v>1.0693790406</v>
      </c>
      <c r="D392">
        <v>4174.6649902</v>
      </c>
      <c r="E392">
        <v>5173.3099243</v>
      </c>
      <c r="F392">
        <v>3559</v>
      </c>
      <c r="G392">
        <v>3400.0331707</v>
      </c>
      <c r="H392">
        <v>4125.9073171</v>
      </c>
      <c r="I392">
        <v>0.1133931707</v>
      </c>
      <c r="J392">
        <v>0.0570913171</v>
      </c>
      <c r="K392">
        <v>0.0343474146</v>
      </c>
    </row>
    <row r="393" spans="1:11" ht="12.75">
      <c r="A393">
        <v>201902</v>
      </c>
      <c r="B393" t="s">
        <v>535</v>
      </c>
      <c r="C393">
        <v>1.0248601616</v>
      </c>
      <c r="D393">
        <v>7000</v>
      </c>
      <c r="E393">
        <v>4850.5514557</v>
      </c>
      <c r="F393">
        <v>3378</v>
      </c>
      <c r="G393">
        <v>3400.0331707</v>
      </c>
      <c r="H393">
        <v>4125.9073171</v>
      </c>
      <c r="I393">
        <v>0.1133931707</v>
      </c>
      <c r="J393">
        <v>0.0570913171</v>
      </c>
      <c r="K393">
        <v>0.0343474146</v>
      </c>
    </row>
    <row r="394" spans="1:11" ht="12.75">
      <c r="A394">
        <v>201908</v>
      </c>
      <c r="B394" t="s">
        <v>536</v>
      </c>
      <c r="C394">
        <v>1.3062137632</v>
      </c>
      <c r="D394">
        <v>2016.174388</v>
      </c>
      <c r="E394">
        <v>4256.0519048</v>
      </c>
      <c r="F394">
        <v>4262</v>
      </c>
      <c r="G394">
        <v>3400.0331707</v>
      </c>
      <c r="H394">
        <v>4125.9073171</v>
      </c>
      <c r="I394">
        <v>0.1133931707</v>
      </c>
      <c r="J394">
        <v>0.0570913171</v>
      </c>
      <c r="K394">
        <v>0.0343474146</v>
      </c>
    </row>
    <row r="395" spans="1:11" ht="12.75">
      <c r="A395">
        <v>201910</v>
      </c>
      <c r="B395" t="s">
        <v>537</v>
      </c>
      <c r="C395">
        <v>1.0950496893</v>
      </c>
      <c r="D395">
        <v>6505.4159752</v>
      </c>
      <c r="E395">
        <v>4653.0219077</v>
      </c>
      <c r="F395">
        <v>3573</v>
      </c>
      <c r="G395">
        <v>3400.0331707</v>
      </c>
      <c r="H395">
        <v>4125.9073171</v>
      </c>
      <c r="I395">
        <v>0.1133931707</v>
      </c>
      <c r="J395">
        <v>0.0570913171</v>
      </c>
      <c r="K395">
        <v>0.0343474146</v>
      </c>
    </row>
    <row r="396" spans="1:11" ht="12.75">
      <c r="A396">
        <v>201913</v>
      </c>
      <c r="B396" t="s">
        <v>827</v>
      </c>
      <c r="C396">
        <v>1.2723952751</v>
      </c>
      <c r="D396">
        <v>2824.9330165</v>
      </c>
      <c r="E396">
        <v>4902.9718637</v>
      </c>
      <c r="F396">
        <v>4138</v>
      </c>
      <c r="G396">
        <v>3400.0331707</v>
      </c>
      <c r="H396">
        <v>4125.9073171</v>
      </c>
      <c r="I396">
        <v>0.1133931707</v>
      </c>
      <c r="J396">
        <v>0.0570913171</v>
      </c>
      <c r="K396">
        <v>0.0343474146</v>
      </c>
    </row>
    <row r="397" spans="1:11" ht="12.75">
      <c r="A397">
        <v>203902</v>
      </c>
      <c r="B397" t="s">
        <v>538</v>
      </c>
      <c r="C397">
        <v>1.331781966</v>
      </c>
      <c r="D397">
        <v>2217.8375795</v>
      </c>
      <c r="E397">
        <v>4292.0981987</v>
      </c>
      <c r="F397">
        <v>4375</v>
      </c>
      <c r="G397">
        <v>3400.0331707</v>
      </c>
      <c r="H397">
        <v>4125.9073171</v>
      </c>
      <c r="I397">
        <v>0.1133931707</v>
      </c>
      <c r="J397">
        <v>0.0570913171</v>
      </c>
      <c r="K397">
        <v>0.0343474146</v>
      </c>
    </row>
    <row r="398" spans="1:11" ht="12.75">
      <c r="A398">
        <v>204901</v>
      </c>
      <c r="B398" t="s">
        <v>828</v>
      </c>
      <c r="C398">
        <v>1.1291729235</v>
      </c>
      <c r="D398">
        <v>5993.9345044</v>
      </c>
      <c r="E398">
        <v>4446.6216511</v>
      </c>
      <c r="F398">
        <v>3758</v>
      </c>
      <c r="G398">
        <v>3400.0331707</v>
      </c>
      <c r="H398">
        <v>4125.9073171</v>
      </c>
      <c r="I398">
        <v>0.1133931707</v>
      </c>
      <c r="J398">
        <v>0.0570913171</v>
      </c>
      <c r="K398">
        <v>0.0343474146</v>
      </c>
    </row>
    <row r="399" spans="1:11" ht="12.75">
      <c r="A399">
        <v>205901</v>
      </c>
      <c r="B399" t="s">
        <v>539</v>
      </c>
      <c r="C399">
        <v>1.1329306837</v>
      </c>
      <c r="D399">
        <v>4941.5182278</v>
      </c>
      <c r="E399">
        <v>4649.1563597</v>
      </c>
      <c r="F399">
        <v>3804</v>
      </c>
      <c r="G399">
        <v>3400.0331707</v>
      </c>
      <c r="H399">
        <v>4125.9073171</v>
      </c>
      <c r="I399">
        <v>0.1133931707</v>
      </c>
      <c r="J399">
        <v>0.0570913171</v>
      </c>
      <c r="K399">
        <v>0.0343474146</v>
      </c>
    </row>
    <row r="400" spans="1:11" ht="12.75">
      <c r="A400">
        <v>205902</v>
      </c>
      <c r="B400" t="s">
        <v>540</v>
      </c>
      <c r="C400">
        <v>1.0642576911</v>
      </c>
      <c r="D400">
        <v>4175.0083841</v>
      </c>
      <c r="E400">
        <v>5121.3731635</v>
      </c>
      <c r="F400">
        <v>3531</v>
      </c>
      <c r="G400">
        <v>3400.0331707</v>
      </c>
      <c r="H400">
        <v>4125.9073171</v>
      </c>
      <c r="I400">
        <v>0.1133931707</v>
      </c>
      <c r="J400">
        <v>0.0570913171</v>
      </c>
      <c r="K400">
        <v>0.0343474146</v>
      </c>
    </row>
    <row r="401" spans="1:11" ht="12.75">
      <c r="A401">
        <v>205903</v>
      </c>
      <c r="B401" t="s">
        <v>541</v>
      </c>
      <c r="C401">
        <v>1.0284338098</v>
      </c>
      <c r="D401">
        <v>6258.4365464</v>
      </c>
      <c r="E401">
        <v>4867.1957976</v>
      </c>
      <c r="F401">
        <v>3401</v>
      </c>
      <c r="G401">
        <v>3400.0331707</v>
      </c>
      <c r="H401">
        <v>4125.9073171</v>
      </c>
      <c r="I401">
        <v>0.1133931707</v>
      </c>
      <c r="J401">
        <v>0.0570913171</v>
      </c>
      <c r="K401">
        <v>0.0343474146</v>
      </c>
    </row>
    <row r="402" spans="1:11" ht="12.75">
      <c r="A402">
        <v>205905</v>
      </c>
      <c r="B402" t="s">
        <v>542</v>
      </c>
      <c r="C402">
        <v>1.1959712598</v>
      </c>
      <c r="D402">
        <v>3497.126123</v>
      </c>
      <c r="E402">
        <v>5094.8818804</v>
      </c>
      <c r="F402">
        <v>3968</v>
      </c>
      <c r="G402">
        <v>3400.0331707</v>
      </c>
      <c r="H402">
        <v>4125.9073171</v>
      </c>
      <c r="I402">
        <v>0.1133931707</v>
      </c>
      <c r="J402">
        <v>0.0570913171</v>
      </c>
      <c r="K402">
        <v>0.0343474146</v>
      </c>
    </row>
    <row r="403" spans="1:11" ht="12.75">
      <c r="A403">
        <v>205906</v>
      </c>
      <c r="B403" t="s">
        <v>543</v>
      </c>
      <c r="C403">
        <v>1.1192185901</v>
      </c>
      <c r="D403">
        <v>2730.3729787</v>
      </c>
      <c r="E403">
        <v>4963.3959329</v>
      </c>
      <c r="F403">
        <v>3728</v>
      </c>
      <c r="G403">
        <v>3400.0331707</v>
      </c>
      <c r="H403">
        <v>4125.9073171</v>
      </c>
      <c r="I403">
        <v>0.1133931707</v>
      </c>
      <c r="J403">
        <v>0.0570913171</v>
      </c>
      <c r="K403">
        <v>0.0343474146</v>
      </c>
    </row>
    <row r="404" spans="1:11" ht="12.75">
      <c r="A404">
        <v>205907</v>
      </c>
      <c r="B404" t="s">
        <v>544</v>
      </c>
      <c r="C404">
        <v>1.1712389717</v>
      </c>
      <c r="D404">
        <v>3765.3221347</v>
      </c>
      <c r="E404">
        <v>5043.9121929</v>
      </c>
      <c r="F404">
        <v>3898</v>
      </c>
      <c r="G404">
        <v>3400.0331707</v>
      </c>
      <c r="H404">
        <v>4125.9073171</v>
      </c>
      <c r="I404">
        <v>0.1133931707</v>
      </c>
      <c r="J404">
        <v>0.0570913171</v>
      </c>
      <c r="K404">
        <v>0.0343474146</v>
      </c>
    </row>
    <row r="405" spans="1:11" ht="12.75">
      <c r="A405">
        <v>208902</v>
      </c>
      <c r="B405" t="s">
        <v>1155</v>
      </c>
      <c r="C405">
        <v>1.0354257303</v>
      </c>
      <c r="D405">
        <v>7000</v>
      </c>
      <c r="E405">
        <v>6244.8383865</v>
      </c>
      <c r="F405">
        <v>3446</v>
      </c>
      <c r="G405">
        <v>3400.0331707</v>
      </c>
      <c r="H405">
        <v>4125.9073171</v>
      </c>
      <c r="I405">
        <v>0.1133931707</v>
      </c>
      <c r="J405">
        <v>0.0570913171</v>
      </c>
      <c r="K405">
        <v>0.0343474146</v>
      </c>
    </row>
    <row r="406" spans="1:11" ht="12.75">
      <c r="A406">
        <v>210901</v>
      </c>
      <c r="B406" t="s">
        <v>545</v>
      </c>
      <c r="C406">
        <v>1.0928501295</v>
      </c>
      <c r="D406">
        <v>2500.4253832</v>
      </c>
      <c r="E406">
        <v>4088.7691396</v>
      </c>
      <c r="F406">
        <v>3578</v>
      </c>
      <c r="G406">
        <v>3400.0331707</v>
      </c>
      <c r="H406">
        <v>4125.9073171</v>
      </c>
      <c r="I406">
        <v>0.1133931707</v>
      </c>
      <c r="J406">
        <v>0.0570913171</v>
      </c>
      <c r="K406">
        <v>0.0343474146</v>
      </c>
    </row>
    <row r="407" spans="1:11" ht="12.75">
      <c r="A407">
        <v>210902</v>
      </c>
      <c r="B407" t="s">
        <v>546</v>
      </c>
      <c r="C407">
        <v>1.2764852942</v>
      </c>
      <c r="D407">
        <v>5889.76612</v>
      </c>
      <c r="E407">
        <v>4963.1841199</v>
      </c>
      <c r="F407">
        <v>4165</v>
      </c>
      <c r="G407">
        <v>3400.0331707</v>
      </c>
      <c r="H407">
        <v>4125.9073171</v>
      </c>
      <c r="I407">
        <v>0.1133931707</v>
      </c>
      <c r="J407">
        <v>0.0570913171</v>
      </c>
      <c r="K407">
        <v>0.0343474146</v>
      </c>
    </row>
    <row r="408" spans="1:11" ht="12.75">
      <c r="A408">
        <v>210904</v>
      </c>
      <c r="B408" t="s">
        <v>547</v>
      </c>
      <c r="C408">
        <v>1.3264413813</v>
      </c>
      <c r="D408">
        <v>4829.8993839</v>
      </c>
      <c r="E408">
        <v>5561.1538673</v>
      </c>
      <c r="F408">
        <v>4328</v>
      </c>
      <c r="G408">
        <v>3400.0331707</v>
      </c>
      <c r="H408">
        <v>4125.9073171</v>
      </c>
      <c r="I408">
        <v>0.1133931707</v>
      </c>
      <c r="J408">
        <v>0.0570913171</v>
      </c>
      <c r="K408">
        <v>0.0343474146</v>
      </c>
    </row>
    <row r="409" spans="1:11" ht="12.75">
      <c r="A409">
        <v>210905</v>
      </c>
      <c r="B409" t="s">
        <v>548</v>
      </c>
      <c r="C409">
        <v>1.2915027682</v>
      </c>
      <c r="D409">
        <v>5893.3486688</v>
      </c>
      <c r="E409">
        <v>5795.5033511</v>
      </c>
      <c r="F409">
        <v>4214</v>
      </c>
      <c r="G409">
        <v>3400.0331707</v>
      </c>
      <c r="H409">
        <v>4125.9073171</v>
      </c>
      <c r="I409">
        <v>0.1133931707</v>
      </c>
      <c r="J409">
        <v>0.0570913171</v>
      </c>
      <c r="K409">
        <v>0.0343474146</v>
      </c>
    </row>
    <row r="410" spans="1:11" ht="12.75">
      <c r="A410">
        <v>212901</v>
      </c>
      <c r="B410" t="s">
        <v>549</v>
      </c>
      <c r="C410">
        <v>1.2326587883</v>
      </c>
      <c r="D410">
        <v>7000</v>
      </c>
      <c r="E410">
        <v>5927.6160014</v>
      </c>
      <c r="F410">
        <v>4022</v>
      </c>
      <c r="G410">
        <v>3400.0331707</v>
      </c>
      <c r="H410">
        <v>4125.9073171</v>
      </c>
      <c r="I410">
        <v>0.1133931707</v>
      </c>
      <c r="J410">
        <v>0.0570913171</v>
      </c>
      <c r="K410">
        <v>0.0343474146</v>
      </c>
    </row>
    <row r="411" spans="1:11" ht="12.75">
      <c r="A411">
        <v>212902</v>
      </c>
      <c r="B411" t="s">
        <v>550</v>
      </c>
      <c r="C411">
        <v>1.1118813794</v>
      </c>
      <c r="D411">
        <v>5199.2075602</v>
      </c>
      <c r="E411">
        <v>4891.3396319</v>
      </c>
      <c r="F411">
        <v>3668</v>
      </c>
      <c r="G411">
        <v>3400.0331707</v>
      </c>
      <c r="H411">
        <v>4125.9073171</v>
      </c>
      <c r="I411">
        <v>0.1133931707</v>
      </c>
      <c r="J411">
        <v>0.0570913171</v>
      </c>
      <c r="K411">
        <v>0.0343474146</v>
      </c>
    </row>
    <row r="412" spans="1:11" ht="12.75">
      <c r="A412">
        <v>212903</v>
      </c>
      <c r="B412" t="s">
        <v>551</v>
      </c>
      <c r="C412">
        <v>1.0724269409</v>
      </c>
      <c r="D412">
        <v>4605.492261</v>
      </c>
      <c r="E412">
        <v>4927.0570458</v>
      </c>
      <c r="F412">
        <v>3523</v>
      </c>
      <c r="G412">
        <v>3400.0331707</v>
      </c>
      <c r="H412">
        <v>4125.9073171</v>
      </c>
      <c r="I412">
        <v>0.1133931707</v>
      </c>
      <c r="J412">
        <v>0.0570913171</v>
      </c>
      <c r="K412">
        <v>0.0343474146</v>
      </c>
    </row>
    <row r="413" spans="1:11" ht="12.75">
      <c r="A413">
        <v>212904</v>
      </c>
      <c r="B413" t="s">
        <v>552</v>
      </c>
      <c r="C413">
        <v>1.1903646777</v>
      </c>
      <c r="D413">
        <v>7000</v>
      </c>
      <c r="E413">
        <v>5720.6189064</v>
      </c>
      <c r="F413">
        <v>3884</v>
      </c>
      <c r="G413">
        <v>3400.0331707</v>
      </c>
      <c r="H413">
        <v>4125.9073171</v>
      </c>
      <c r="I413">
        <v>0.1133931707</v>
      </c>
      <c r="J413">
        <v>0.0570913171</v>
      </c>
      <c r="K413">
        <v>0.0343474146</v>
      </c>
    </row>
    <row r="414" spans="1:11" ht="12.75">
      <c r="A414">
        <v>212905</v>
      </c>
      <c r="B414" t="s">
        <v>553</v>
      </c>
      <c r="C414">
        <v>1.0354257303</v>
      </c>
      <c r="D414">
        <v>5245.2010724</v>
      </c>
      <c r="E414">
        <v>4593.777534</v>
      </c>
      <c r="F414">
        <v>3446</v>
      </c>
      <c r="G414">
        <v>3400.0331707</v>
      </c>
      <c r="H414">
        <v>4125.9073171</v>
      </c>
      <c r="I414">
        <v>0.1133931707</v>
      </c>
      <c r="J414">
        <v>0.0570913171</v>
      </c>
      <c r="K414">
        <v>0.0343474146</v>
      </c>
    </row>
    <row r="415" spans="1:11" ht="12.75">
      <c r="A415">
        <v>212906</v>
      </c>
      <c r="B415" t="s">
        <v>554</v>
      </c>
      <c r="C415">
        <v>1.0515587093</v>
      </c>
      <c r="D415">
        <v>4659.2052464</v>
      </c>
      <c r="E415">
        <v>4525.6887712</v>
      </c>
      <c r="F415">
        <v>3466</v>
      </c>
      <c r="G415">
        <v>3400.0331707</v>
      </c>
      <c r="H415">
        <v>4125.9073171</v>
      </c>
      <c r="I415">
        <v>0.1133931707</v>
      </c>
      <c r="J415">
        <v>0.0570913171</v>
      </c>
      <c r="K415">
        <v>0.0343474146</v>
      </c>
    </row>
    <row r="416" spans="1:11" ht="12.75">
      <c r="A416">
        <v>212909</v>
      </c>
      <c r="B416" t="s">
        <v>555</v>
      </c>
      <c r="C416">
        <v>1.0840217162</v>
      </c>
      <c r="D416">
        <v>4698.605301</v>
      </c>
      <c r="E416">
        <v>4676.9078456</v>
      </c>
      <c r="F416">
        <v>3573</v>
      </c>
      <c r="G416">
        <v>3400.0331707</v>
      </c>
      <c r="H416">
        <v>4125.9073171</v>
      </c>
      <c r="I416">
        <v>0.1133931707</v>
      </c>
      <c r="J416">
        <v>0.0570913171</v>
      </c>
      <c r="K416">
        <v>0.0343474146</v>
      </c>
    </row>
    <row r="417" spans="1:11" ht="12.75">
      <c r="A417">
        <v>212910</v>
      </c>
      <c r="B417" t="s">
        <v>556</v>
      </c>
      <c r="C417">
        <v>1.2087534214</v>
      </c>
      <c r="D417">
        <v>4989.0152276</v>
      </c>
      <c r="E417">
        <v>4654.2581788</v>
      </c>
      <c r="F417">
        <v>3944</v>
      </c>
      <c r="G417">
        <v>3400.0331707</v>
      </c>
      <c r="H417">
        <v>4125.9073171</v>
      </c>
      <c r="I417">
        <v>0.1133931707</v>
      </c>
      <c r="J417">
        <v>0.0570913171</v>
      </c>
      <c r="K417">
        <v>0.0343474146</v>
      </c>
    </row>
    <row r="418" spans="1:11" ht="12.75">
      <c r="A418">
        <v>213901</v>
      </c>
      <c r="B418" t="s">
        <v>557</v>
      </c>
      <c r="C418">
        <v>1.052227137</v>
      </c>
      <c r="D418">
        <v>7000</v>
      </c>
      <c r="E418">
        <v>4794.3420485</v>
      </c>
      <c r="F418">
        <v>3445</v>
      </c>
      <c r="G418">
        <v>3400.0331707</v>
      </c>
      <c r="H418">
        <v>4125.9073171</v>
      </c>
      <c r="I418">
        <v>0.1133931707</v>
      </c>
      <c r="J418">
        <v>0.0570913171</v>
      </c>
      <c r="K418">
        <v>0.0343474146</v>
      </c>
    </row>
    <row r="419" spans="1:11" ht="12.75">
      <c r="A419">
        <v>214901</v>
      </c>
      <c r="B419" t="s">
        <v>558</v>
      </c>
      <c r="C419">
        <v>1.0638595401</v>
      </c>
      <c r="D419">
        <v>2221.231993</v>
      </c>
      <c r="E419">
        <v>5053.4814324</v>
      </c>
      <c r="F419">
        <v>3629</v>
      </c>
      <c r="G419">
        <v>3400.0331707</v>
      </c>
      <c r="H419">
        <v>4125.9073171</v>
      </c>
      <c r="I419">
        <v>0.1133931707</v>
      </c>
      <c r="J419">
        <v>0.0570913171</v>
      </c>
      <c r="K419">
        <v>0.0343474146</v>
      </c>
    </row>
    <row r="420" spans="1:11" ht="12.75">
      <c r="A420">
        <v>214903</v>
      </c>
      <c r="B420" t="s">
        <v>559</v>
      </c>
      <c r="C420">
        <v>1.0710068365</v>
      </c>
      <c r="D420">
        <v>1790.8348896</v>
      </c>
      <c r="E420">
        <v>5070.7902397</v>
      </c>
      <c r="F420">
        <v>3675</v>
      </c>
      <c r="G420">
        <v>3400.0331707</v>
      </c>
      <c r="H420">
        <v>4125.9073171</v>
      </c>
      <c r="I420">
        <v>0.1133931707</v>
      </c>
      <c r="J420">
        <v>0.0570913171</v>
      </c>
      <c r="K420">
        <v>0.0343474146</v>
      </c>
    </row>
    <row r="421" spans="1:11" ht="12.75">
      <c r="A421">
        <v>220901</v>
      </c>
      <c r="B421" t="s">
        <v>560</v>
      </c>
      <c r="C421">
        <v>1.0497203232</v>
      </c>
      <c r="D421">
        <v>4458.0484255</v>
      </c>
      <c r="E421">
        <v>4460.9482908</v>
      </c>
      <c r="F421">
        <v>3538</v>
      </c>
      <c r="G421">
        <v>3400.0331707</v>
      </c>
      <c r="H421">
        <v>4125.9073171</v>
      </c>
      <c r="I421">
        <v>0.1133931707</v>
      </c>
      <c r="J421">
        <v>0.0570913171</v>
      </c>
      <c r="K421">
        <v>0.0343474146</v>
      </c>
    </row>
    <row r="422" spans="1:11" ht="12.75">
      <c r="A422">
        <v>220902</v>
      </c>
      <c r="B422" t="s">
        <v>561</v>
      </c>
      <c r="C422">
        <v>1.0497203232</v>
      </c>
      <c r="D422">
        <v>4421.5051356</v>
      </c>
      <c r="E422">
        <v>4525.8070859</v>
      </c>
      <c r="F422">
        <v>3538</v>
      </c>
      <c r="G422">
        <v>3400.0331707</v>
      </c>
      <c r="H422">
        <v>4125.9073171</v>
      </c>
      <c r="I422">
        <v>0.1133931707</v>
      </c>
      <c r="J422">
        <v>0.0570913171</v>
      </c>
      <c r="K422">
        <v>0.0343474146</v>
      </c>
    </row>
    <row r="423" spans="1:11" ht="12.75">
      <c r="A423">
        <v>220904</v>
      </c>
      <c r="B423" t="s">
        <v>562</v>
      </c>
      <c r="C423">
        <v>1.0581680035</v>
      </c>
      <c r="D423">
        <v>3273.1608659</v>
      </c>
      <c r="E423">
        <v>4533.7992447</v>
      </c>
      <c r="F423">
        <v>3533</v>
      </c>
      <c r="G423">
        <v>3400.0331707</v>
      </c>
      <c r="H423">
        <v>4125.9073171</v>
      </c>
      <c r="I423">
        <v>0.1133931707</v>
      </c>
      <c r="J423">
        <v>0.0570913171</v>
      </c>
      <c r="K423">
        <v>0.0343474146</v>
      </c>
    </row>
    <row r="424" spans="1:11" ht="12.75">
      <c r="A424">
        <v>220905</v>
      </c>
      <c r="B424" t="s">
        <v>1021</v>
      </c>
      <c r="C424">
        <v>1.0497203232</v>
      </c>
      <c r="D424">
        <v>4559.5502257</v>
      </c>
      <c r="E424">
        <v>4655.9861726</v>
      </c>
      <c r="F424">
        <v>3538</v>
      </c>
      <c r="G424">
        <v>3400.0331707</v>
      </c>
      <c r="H424">
        <v>4125.9073171</v>
      </c>
      <c r="I424">
        <v>0.1133931707</v>
      </c>
      <c r="J424">
        <v>0.0570913171</v>
      </c>
      <c r="K424">
        <v>0.0343474146</v>
      </c>
    </row>
    <row r="425" spans="1:11" ht="12.75">
      <c r="A425">
        <v>220906</v>
      </c>
      <c r="B425" t="s">
        <v>563</v>
      </c>
      <c r="C425">
        <v>1.046146675</v>
      </c>
      <c r="D425">
        <v>6510.9633735</v>
      </c>
      <c r="E425">
        <v>4997.9967901</v>
      </c>
      <c r="F425">
        <v>3515</v>
      </c>
      <c r="G425">
        <v>3400.0331707</v>
      </c>
      <c r="H425">
        <v>4125.9073171</v>
      </c>
      <c r="I425">
        <v>0.1133931707</v>
      </c>
      <c r="J425">
        <v>0.0570913171</v>
      </c>
      <c r="K425">
        <v>0.0343474146</v>
      </c>
    </row>
    <row r="426" spans="1:11" ht="12.75">
      <c r="A426">
        <v>220907</v>
      </c>
      <c r="B426" t="s">
        <v>564</v>
      </c>
      <c r="C426">
        <v>1.046146675</v>
      </c>
      <c r="D426">
        <v>4699.1323091</v>
      </c>
      <c r="E426">
        <v>4666.4505483</v>
      </c>
      <c r="F426">
        <v>3515</v>
      </c>
      <c r="G426">
        <v>3400.0331707</v>
      </c>
      <c r="H426">
        <v>4125.9073171</v>
      </c>
      <c r="I426">
        <v>0.1133931707</v>
      </c>
      <c r="J426">
        <v>0.0570913171</v>
      </c>
      <c r="K426">
        <v>0.0343474146</v>
      </c>
    </row>
    <row r="427" spans="1:11" ht="12.75">
      <c r="A427">
        <v>220908</v>
      </c>
      <c r="B427" t="s">
        <v>565</v>
      </c>
      <c r="C427">
        <v>1.046146675</v>
      </c>
      <c r="D427">
        <v>4129.2715609</v>
      </c>
      <c r="E427">
        <v>4706.0843613</v>
      </c>
      <c r="F427">
        <v>3515</v>
      </c>
      <c r="G427">
        <v>3400.0331707</v>
      </c>
      <c r="H427">
        <v>4125.9073171</v>
      </c>
      <c r="I427">
        <v>0.1133931707</v>
      </c>
      <c r="J427">
        <v>0.0570913171</v>
      </c>
      <c r="K427">
        <v>0.0343474146</v>
      </c>
    </row>
    <row r="428" spans="1:11" ht="12.75">
      <c r="A428">
        <v>220910</v>
      </c>
      <c r="B428" t="s">
        <v>566</v>
      </c>
      <c r="C428">
        <v>1.0989191566</v>
      </c>
      <c r="D428">
        <v>4847.8770063</v>
      </c>
      <c r="E428">
        <v>5343.989525</v>
      </c>
      <c r="F428">
        <v>3646</v>
      </c>
      <c r="G428">
        <v>3400.0331707</v>
      </c>
      <c r="H428">
        <v>4125.9073171</v>
      </c>
      <c r="I428">
        <v>0.1133931707</v>
      </c>
      <c r="J428">
        <v>0.0570913171</v>
      </c>
      <c r="K428">
        <v>0.0343474146</v>
      </c>
    </row>
    <row r="429" spans="1:11" ht="12.75">
      <c r="A429">
        <v>220912</v>
      </c>
      <c r="B429" t="s">
        <v>567</v>
      </c>
      <c r="C429">
        <v>1.0425730267</v>
      </c>
      <c r="D429">
        <v>4280.5635853</v>
      </c>
      <c r="E429">
        <v>4498.3374351</v>
      </c>
      <c r="F429">
        <v>3492</v>
      </c>
      <c r="G429">
        <v>3400.0331707</v>
      </c>
      <c r="H429">
        <v>4125.9073171</v>
      </c>
      <c r="I429">
        <v>0.1133931707</v>
      </c>
      <c r="J429">
        <v>0.0570913171</v>
      </c>
      <c r="K429">
        <v>0.0343474146</v>
      </c>
    </row>
    <row r="430" spans="1:11" ht="12.75">
      <c r="A430">
        <v>220914</v>
      </c>
      <c r="B430" t="s">
        <v>568</v>
      </c>
      <c r="C430">
        <v>1.089274227</v>
      </c>
      <c r="D430">
        <v>4541.2579792</v>
      </c>
      <c r="E430">
        <v>4917.640791</v>
      </c>
      <c r="F430">
        <v>3614</v>
      </c>
      <c r="G430">
        <v>3400.0331707</v>
      </c>
      <c r="H430">
        <v>4125.9073171</v>
      </c>
      <c r="I430">
        <v>0.1133931707</v>
      </c>
      <c r="J430">
        <v>0.0570913171</v>
      </c>
      <c r="K430">
        <v>0.0343474146</v>
      </c>
    </row>
    <row r="431" spans="1:11" ht="12.75">
      <c r="A431">
        <v>220915</v>
      </c>
      <c r="B431" t="s">
        <v>569</v>
      </c>
      <c r="C431">
        <v>1.0431701476</v>
      </c>
      <c r="D431">
        <v>5098.0315702</v>
      </c>
      <c r="E431">
        <v>4567.6613867</v>
      </c>
      <c r="F431">
        <v>3494</v>
      </c>
      <c r="G431">
        <v>3400.0331707</v>
      </c>
      <c r="H431">
        <v>4125.9073171</v>
      </c>
      <c r="I431">
        <v>0.1133931707</v>
      </c>
      <c r="J431">
        <v>0.0570913171</v>
      </c>
      <c r="K431">
        <v>0.0343474146</v>
      </c>
    </row>
    <row r="432" spans="1:11" ht="12.75">
      <c r="A432">
        <v>220916</v>
      </c>
      <c r="B432" t="s">
        <v>570</v>
      </c>
      <c r="C432">
        <v>1.0497203232</v>
      </c>
      <c r="D432">
        <v>6080.7879228</v>
      </c>
      <c r="E432">
        <v>5069.1575526</v>
      </c>
      <c r="F432">
        <v>3538</v>
      </c>
      <c r="G432">
        <v>3400.0331707</v>
      </c>
      <c r="H432">
        <v>4125.9073171</v>
      </c>
      <c r="I432">
        <v>0.1133931707</v>
      </c>
      <c r="J432">
        <v>0.0570913171</v>
      </c>
      <c r="K432">
        <v>0.0343474146</v>
      </c>
    </row>
    <row r="433" spans="1:11" ht="12.75">
      <c r="A433">
        <v>220917</v>
      </c>
      <c r="B433" t="s">
        <v>571</v>
      </c>
      <c r="C433">
        <v>1.0893170192</v>
      </c>
      <c r="D433">
        <v>2504.7640796</v>
      </c>
      <c r="E433">
        <v>4584.2118461</v>
      </c>
      <c r="F433">
        <v>3637</v>
      </c>
      <c r="G433">
        <v>3400.0331707</v>
      </c>
      <c r="H433">
        <v>4125.9073171</v>
      </c>
      <c r="I433">
        <v>0.1133931707</v>
      </c>
      <c r="J433">
        <v>0.0570913171</v>
      </c>
      <c r="K433">
        <v>0.0343474146</v>
      </c>
    </row>
    <row r="434" spans="1:11" ht="12.75">
      <c r="A434">
        <v>220918</v>
      </c>
      <c r="B434" t="s">
        <v>572</v>
      </c>
      <c r="C434">
        <v>1.0425730267</v>
      </c>
      <c r="D434">
        <v>6066.381045</v>
      </c>
      <c r="E434">
        <v>5301.4448808</v>
      </c>
      <c r="F434">
        <v>3492</v>
      </c>
      <c r="G434">
        <v>3400.0331707</v>
      </c>
      <c r="H434">
        <v>4125.9073171</v>
      </c>
      <c r="I434">
        <v>0.1133931707</v>
      </c>
      <c r="J434">
        <v>0.0570913171</v>
      </c>
      <c r="K434">
        <v>0.0343474146</v>
      </c>
    </row>
    <row r="435" spans="1:11" ht="12.75">
      <c r="A435">
        <v>220919</v>
      </c>
      <c r="B435" t="s">
        <v>573</v>
      </c>
      <c r="C435">
        <v>1.0354257303</v>
      </c>
      <c r="D435">
        <v>6474.7059916</v>
      </c>
      <c r="E435">
        <v>5236.1477743</v>
      </c>
      <c r="F435">
        <v>3446</v>
      </c>
      <c r="G435">
        <v>3400.0331707</v>
      </c>
      <c r="H435">
        <v>4125.9073171</v>
      </c>
      <c r="I435">
        <v>0.1133931707</v>
      </c>
      <c r="J435">
        <v>0.0570913171</v>
      </c>
      <c r="K435">
        <v>0.0343474146</v>
      </c>
    </row>
    <row r="436" spans="1:11" ht="12.75">
      <c r="A436">
        <v>220920</v>
      </c>
      <c r="B436" t="s">
        <v>574</v>
      </c>
      <c r="C436">
        <v>1.0389993785</v>
      </c>
      <c r="D436">
        <v>3798.5093425</v>
      </c>
      <c r="E436">
        <v>4637.698303</v>
      </c>
      <c r="F436">
        <v>3469</v>
      </c>
      <c r="G436">
        <v>3400.0331707</v>
      </c>
      <c r="H436">
        <v>4125.9073171</v>
      </c>
      <c r="I436">
        <v>0.1133931707</v>
      </c>
      <c r="J436">
        <v>0.0570913171</v>
      </c>
      <c r="K436">
        <v>0.0343474146</v>
      </c>
    </row>
    <row r="437" spans="1:11" ht="12.75">
      <c r="A437">
        <v>221901</v>
      </c>
      <c r="B437" t="s">
        <v>575</v>
      </c>
      <c r="C437">
        <v>1.032007458</v>
      </c>
      <c r="D437">
        <v>3295.0426937</v>
      </c>
      <c r="E437">
        <v>4415.1349135</v>
      </c>
      <c r="F437">
        <v>3424</v>
      </c>
      <c r="G437">
        <v>3400.0331707</v>
      </c>
      <c r="H437">
        <v>4125.9073171</v>
      </c>
      <c r="I437">
        <v>0.1133931707</v>
      </c>
      <c r="J437">
        <v>0.0570913171</v>
      </c>
      <c r="K437">
        <v>0.0343474146</v>
      </c>
    </row>
    <row r="438" spans="1:11" ht="12.75">
      <c r="A438">
        <v>221904</v>
      </c>
      <c r="B438" t="s">
        <v>829</v>
      </c>
      <c r="C438">
        <v>1.2862926242</v>
      </c>
      <c r="D438">
        <v>6469.9531557</v>
      </c>
      <c r="E438">
        <v>5499.0323009</v>
      </c>
      <c r="F438">
        <v>4197</v>
      </c>
      <c r="G438">
        <v>3400.0331707</v>
      </c>
      <c r="H438">
        <v>4125.9073171</v>
      </c>
      <c r="I438">
        <v>0.1133931707</v>
      </c>
      <c r="J438">
        <v>0.0570913171</v>
      </c>
      <c r="K438">
        <v>0.0343474146</v>
      </c>
    </row>
    <row r="439" spans="1:11" ht="12.75">
      <c r="A439">
        <v>221905</v>
      </c>
      <c r="B439" t="s">
        <v>576</v>
      </c>
      <c r="C439">
        <v>1.3817926176</v>
      </c>
      <c r="D439">
        <v>7000</v>
      </c>
      <c r="E439">
        <v>5152.2672741</v>
      </c>
      <c r="F439">
        <v>4524</v>
      </c>
      <c r="G439">
        <v>3400.0331707</v>
      </c>
      <c r="H439">
        <v>4125.9073171</v>
      </c>
      <c r="I439">
        <v>0.1133931707</v>
      </c>
      <c r="J439">
        <v>0.0570913171</v>
      </c>
      <c r="K439">
        <v>0.0343474146</v>
      </c>
    </row>
    <row r="440" spans="1:11" ht="12.75">
      <c r="A440">
        <v>221911</v>
      </c>
      <c r="B440" t="s">
        <v>830</v>
      </c>
      <c r="C440">
        <v>1.2967129123</v>
      </c>
      <c r="D440">
        <v>7000</v>
      </c>
      <c r="E440">
        <v>5776.6621855</v>
      </c>
      <c r="F440">
        <v>4231</v>
      </c>
      <c r="G440">
        <v>3400.0331707</v>
      </c>
      <c r="H440">
        <v>4125.9073171</v>
      </c>
      <c r="I440">
        <v>0.1133931707</v>
      </c>
      <c r="J440">
        <v>0.0570913171</v>
      </c>
      <c r="K440">
        <v>0.0343474146</v>
      </c>
    </row>
    <row r="441" spans="1:11" ht="12.75">
      <c r="A441">
        <v>221912</v>
      </c>
      <c r="B441" t="s">
        <v>324</v>
      </c>
      <c r="C441">
        <v>1.0714696071</v>
      </c>
      <c r="D441">
        <v>5315.0342624</v>
      </c>
      <c r="E441">
        <v>4982.7405839</v>
      </c>
      <c r="F441">
        <v>3508</v>
      </c>
      <c r="G441">
        <v>3400.0331707</v>
      </c>
      <c r="H441">
        <v>4125.9073171</v>
      </c>
      <c r="I441">
        <v>0.1133931707</v>
      </c>
      <c r="J441">
        <v>0.0570913171</v>
      </c>
      <c r="K441">
        <v>0.0343474146</v>
      </c>
    </row>
    <row r="442" spans="1:11" ht="12.75">
      <c r="A442">
        <v>224902</v>
      </c>
      <c r="B442" t="s">
        <v>1136</v>
      </c>
      <c r="C442">
        <v>1.4111737496</v>
      </c>
      <c r="D442">
        <v>5239.1846424</v>
      </c>
      <c r="E442">
        <v>5222.3968595</v>
      </c>
      <c r="F442">
        <v>4682</v>
      </c>
      <c r="G442">
        <v>3400.0331707</v>
      </c>
      <c r="H442">
        <v>4125.9073171</v>
      </c>
      <c r="I442">
        <v>0.1133931707</v>
      </c>
      <c r="J442">
        <v>0.0570913171</v>
      </c>
      <c r="K442">
        <v>0.0343474146</v>
      </c>
    </row>
    <row r="443" spans="1:11" ht="12.75">
      <c r="A443">
        <v>226903</v>
      </c>
      <c r="B443" t="s">
        <v>365</v>
      </c>
      <c r="C443">
        <v>1.0284338098</v>
      </c>
      <c r="D443">
        <v>3096.2473521</v>
      </c>
      <c r="E443">
        <v>4520.9768106</v>
      </c>
      <c r="F443">
        <v>3401</v>
      </c>
      <c r="G443">
        <v>3400.0331707</v>
      </c>
      <c r="H443">
        <v>4125.9073171</v>
      </c>
      <c r="I443">
        <v>0.1133931707</v>
      </c>
      <c r="J443">
        <v>0.0570913171</v>
      </c>
      <c r="K443">
        <v>0.0343474146</v>
      </c>
    </row>
    <row r="444" spans="1:11" ht="12.75">
      <c r="A444">
        <v>227901</v>
      </c>
      <c r="B444" t="s">
        <v>577</v>
      </c>
      <c r="C444">
        <v>1.0354257303</v>
      </c>
      <c r="D444">
        <v>7000</v>
      </c>
      <c r="E444">
        <v>5586.0516497</v>
      </c>
      <c r="F444">
        <v>3446</v>
      </c>
      <c r="G444">
        <v>3400.0331707</v>
      </c>
      <c r="H444">
        <v>4125.9073171</v>
      </c>
      <c r="I444">
        <v>0.1133931707</v>
      </c>
      <c r="J444">
        <v>0.0570913171</v>
      </c>
      <c r="K444">
        <v>0.0343474146</v>
      </c>
    </row>
    <row r="445" spans="1:11" ht="12.75">
      <c r="A445">
        <v>227904</v>
      </c>
      <c r="B445" t="s">
        <v>578</v>
      </c>
      <c r="C445">
        <v>1.0389993785</v>
      </c>
      <c r="D445">
        <v>4649.3367124</v>
      </c>
      <c r="E445">
        <v>4652.2162625</v>
      </c>
      <c r="F445">
        <v>3469</v>
      </c>
      <c r="G445">
        <v>3400.0331707</v>
      </c>
      <c r="H445">
        <v>4125.9073171</v>
      </c>
      <c r="I445">
        <v>0.1133931707</v>
      </c>
      <c r="J445">
        <v>0.0570913171</v>
      </c>
      <c r="K445">
        <v>0.0343474146</v>
      </c>
    </row>
    <row r="446" spans="1:11" ht="12.75">
      <c r="A446">
        <v>227907</v>
      </c>
      <c r="B446" t="s">
        <v>579</v>
      </c>
      <c r="C446">
        <v>1.0248601616</v>
      </c>
      <c r="D446">
        <v>6493.6096954</v>
      </c>
      <c r="E446">
        <v>5307.8367675</v>
      </c>
      <c r="F446">
        <v>3378</v>
      </c>
      <c r="G446">
        <v>3400.0331707</v>
      </c>
      <c r="H446">
        <v>4125.9073171</v>
      </c>
      <c r="I446">
        <v>0.1133931707</v>
      </c>
      <c r="J446">
        <v>0.0570913171</v>
      </c>
      <c r="K446">
        <v>0.0343474146</v>
      </c>
    </row>
    <row r="447" spans="1:11" ht="12.75">
      <c r="A447">
        <v>227909</v>
      </c>
      <c r="B447" t="s">
        <v>580</v>
      </c>
      <c r="C447">
        <v>1.0354257303</v>
      </c>
      <c r="D447">
        <v>7000</v>
      </c>
      <c r="E447">
        <v>5307.0794643</v>
      </c>
      <c r="F447">
        <v>3446</v>
      </c>
      <c r="G447">
        <v>3400.0331707</v>
      </c>
      <c r="H447">
        <v>4125.9073171</v>
      </c>
      <c r="I447">
        <v>0.1133931707</v>
      </c>
      <c r="J447">
        <v>0.0570913171</v>
      </c>
      <c r="K447">
        <v>0.0343474146</v>
      </c>
    </row>
    <row r="448" spans="1:11" ht="12.75">
      <c r="A448">
        <v>227910</v>
      </c>
      <c r="B448" t="s">
        <v>581</v>
      </c>
      <c r="C448">
        <v>1.0389993785</v>
      </c>
      <c r="D448">
        <v>5119.4326431</v>
      </c>
      <c r="E448">
        <v>4888.2897357</v>
      </c>
      <c r="F448">
        <v>3469</v>
      </c>
      <c r="G448">
        <v>3400.0331707</v>
      </c>
      <c r="H448">
        <v>4125.9073171</v>
      </c>
      <c r="I448">
        <v>0.1133931707</v>
      </c>
      <c r="J448">
        <v>0.0570913171</v>
      </c>
      <c r="K448">
        <v>0.0343474146</v>
      </c>
    </row>
    <row r="449" spans="1:11" ht="12.75">
      <c r="A449">
        <v>227913</v>
      </c>
      <c r="B449" t="s">
        <v>582</v>
      </c>
      <c r="C449">
        <v>1.0284338098</v>
      </c>
      <c r="D449">
        <v>6924.5562482</v>
      </c>
      <c r="E449">
        <v>5234.3783377</v>
      </c>
      <c r="F449">
        <v>3401</v>
      </c>
      <c r="G449">
        <v>3400.0331707</v>
      </c>
      <c r="H449">
        <v>4125.9073171</v>
      </c>
      <c r="I449">
        <v>0.1133931707</v>
      </c>
      <c r="J449">
        <v>0.0570913171</v>
      </c>
      <c r="K449">
        <v>0.0343474146</v>
      </c>
    </row>
    <row r="450" spans="1:11" ht="12.75">
      <c r="A450">
        <v>228903</v>
      </c>
      <c r="B450" t="s">
        <v>831</v>
      </c>
      <c r="C450">
        <v>1.1676819578</v>
      </c>
      <c r="D450">
        <v>3025.5612098</v>
      </c>
      <c r="E450">
        <v>4420.2286394</v>
      </c>
      <c r="F450">
        <v>3823</v>
      </c>
      <c r="G450">
        <v>3400.0331707</v>
      </c>
      <c r="H450">
        <v>4125.9073171</v>
      </c>
      <c r="I450">
        <v>0.1133931707</v>
      </c>
      <c r="J450">
        <v>0.0570913171</v>
      </c>
      <c r="K450">
        <v>0.0343474146</v>
      </c>
    </row>
    <row r="451" spans="1:11" ht="12.75">
      <c r="A451">
        <v>228905</v>
      </c>
      <c r="B451" t="s">
        <v>583</v>
      </c>
      <c r="C451">
        <v>1.3799600014</v>
      </c>
      <c r="D451">
        <v>2541.0938197</v>
      </c>
      <c r="E451">
        <v>4587.5464678</v>
      </c>
      <c r="F451">
        <v>4518</v>
      </c>
      <c r="G451">
        <v>3400.0331707</v>
      </c>
      <c r="H451">
        <v>4125.9073171</v>
      </c>
      <c r="I451">
        <v>0.1133931707</v>
      </c>
      <c r="J451">
        <v>0.0570913171</v>
      </c>
      <c r="K451">
        <v>0.0343474146</v>
      </c>
    </row>
    <row r="452" spans="1:11" ht="12.75">
      <c r="A452">
        <v>229903</v>
      </c>
      <c r="B452" t="s">
        <v>1156</v>
      </c>
      <c r="C452">
        <v>1.2313275549</v>
      </c>
      <c r="D452">
        <v>7000</v>
      </c>
      <c r="E452">
        <v>4718.3935272</v>
      </c>
      <c r="F452">
        <v>4045</v>
      </c>
      <c r="G452">
        <v>3400.0331707</v>
      </c>
      <c r="H452">
        <v>4125.9073171</v>
      </c>
      <c r="I452">
        <v>0.1133931707</v>
      </c>
      <c r="J452">
        <v>0.0570913171</v>
      </c>
      <c r="K452">
        <v>0.0343474146</v>
      </c>
    </row>
    <row r="453" spans="1:11" ht="12.75">
      <c r="A453">
        <v>230901</v>
      </c>
      <c r="B453" t="s">
        <v>584</v>
      </c>
      <c r="C453">
        <v>1.2705960974</v>
      </c>
      <c r="D453">
        <v>3611.4914568</v>
      </c>
      <c r="E453">
        <v>4477.770301</v>
      </c>
      <c r="F453">
        <v>4174</v>
      </c>
      <c r="G453">
        <v>3400.0331707</v>
      </c>
      <c r="H453">
        <v>4125.9073171</v>
      </c>
      <c r="I453">
        <v>0.1133931707</v>
      </c>
      <c r="J453">
        <v>0.0570913171</v>
      </c>
      <c r="K453">
        <v>0.0343474146</v>
      </c>
    </row>
    <row r="454" spans="1:11" ht="12.75">
      <c r="A454">
        <v>230902</v>
      </c>
      <c r="B454" t="s">
        <v>585</v>
      </c>
      <c r="C454">
        <v>1.09738834</v>
      </c>
      <c r="D454">
        <v>5742.5901517</v>
      </c>
      <c r="E454">
        <v>4913.551039</v>
      </c>
      <c r="F454">
        <v>3605</v>
      </c>
      <c r="G454">
        <v>3400.0331707</v>
      </c>
      <c r="H454">
        <v>4125.9073171</v>
      </c>
      <c r="I454">
        <v>0.1133931707</v>
      </c>
      <c r="J454">
        <v>0.0570913171</v>
      </c>
      <c r="K454">
        <v>0.0343474146</v>
      </c>
    </row>
    <row r="455" spans="1:11" ht="12.75">
      <c r="A455">
        <v>230903</v>
      </c>
      <c r="B455" t="s">
        <v>586</v>
      </c>
      <c r="C455">
        <v>1.2452627104</v>
      </c>
      <c r="D455">
        <v>2772.0806983</v>
      </c>
      <c r="E455">
        <v>4485.4775674</v>
      </c>
      <c r="F455">
        <v>4077</v>
      </c>
      <c r="G455">
        <v>3400.0331707</v>
      </c>
      <c r="H455">
        <v>4125.9073171</v>
      </c>
      <c r="I455">
        <v>0.1133931707</v>
      </c>
      <c r="J455">
        <v>0.0570913171</v>
      </c>
      <c r="K455">
        <v>0.0343474146</v>
      </c>
    </row>
    <row r="456" spans="1:11" ht="12.75">
      <c r="A456">
        <v>230904</v>
      </c>
      <c r="B456" t="s">
        <v>638</v>
      </c>
      <c r="C456">
        <v>1.3704416939</v>
      </c>
      <c r="D456">
        <v>4851.3092934</v>
      </c>
      <c r="E456">
        <v>4636.7149417</v>
      </c>
      <c r="F456">
        <v>4502</v>
      </c>
      <c r="G456">
        <v>3400.0331707</v>
      </c>
      <c r="H456">
        <v>4125.9073171</v>
      </c>
      <c r="I456">
        <v>0.1133931707</v>
      </c>
      <c r="J456">
        <v>0.0570913171</v>
      </c>
      <c r="K456">
        <v>0.0343474146</v>
      </c>
    </row>
    <row r="457" spans="1:11" ht="12.75">
      <c r="A457">
        <v>230906</v>
      </c>
      <c r="B457" t="s">
        <v>587</v>
      </c>
      <c r="C457">
        <v>1.1981471584</v>
      </c>
      <c r="D457">
        <v>2763.5057534</v>
      </c>
      <c r="E457">
        <v>4814.4350988</v>
      </c>
      <c r="F457">
        <v>3936</v>
      </c>
      <c r="G457">
        <v>3400.0331707</v>
      </c>
      <c r="H457">
        <v>4125.9073171</v>
      </c>
      <c r="I457">
        <v>0.1133931707</v>
      </c>
      <c r="J457">
        <v>0.0570913171</v>
      </c>
      <c r="K457">
        <v>0.0343474146</v>
      </c>
    </row>
    <row r="458" spans="1:11" ht="12.75">
      <c r="A458">
        <v>230908</v>
      </c>
      <c r="B458" t="s">
        <v>588</v>
      </c>
      <c r="C458">
        <v>1.2727269485</v>
      </c>
      <c r="D458">
        <v>5597.6499026</v>
      </c>
      <c r="E458">
        <v>5536.0915011</v>
      </c>
      <c r="F458">
        <v>4181</v>
      </c>
      <c r="G458">
        <v>3400.0331707</v>
      </c>
      <c r="H458">
        <v>4125.9073171</v>
      </c>
      <c r="I458">
        <v>0.1133931707</v>
      </c>
      <c r="J458">
        <v>0.0570913171</v>
      </c>
      <c r="K458">
        <v>0.0343474146</v>
      </c>
    </row>
    <row r="459" spans="1:11" ht="12.75">
      <c r="A459">
        <v>232901</v>
      </c>
      <c r="B459" t="s">
        <v>589</v>
      </c>
      <c r="C459">
        <v>1.3852558903</v>
      </c>
      <c r="D459">
        <v>3631.4124081</v>
      </c>
      <c r="E459">
        <v>4768.265963</v>
      </c>
      <c r="F459">
        <v>4581</v>
      </c>
      <c r="G459">
        <v>3400.0331707</v>
      </c>
      <c r="H459">
        <v>4125.9073171</v>
      </c>
      <c r="I459">
        <v>0.1133931707</v>
      </c>
      <c r="J459">
        <v>0.0570913171</v>
      </c>
      <c r="K459">
        <v>0.0343474146</v>
      </c>
    </row>
    <row r="460" spans="1:11" ht="12.75">
      <c r="A460">
        <v>232902</v>
      </c>
      <c r="B460" t="s">
        <v>590</v>
      </c>
      <c r="C460">
        <v>1.5146794923</v>
      </c>
      <c r="D460">
        <v>5527.7660545</v>
      </c>
      <c r="E460">
        <v>4659.9061992</v>
      </c>
      <c r="F460">
        <v>5009</v>
      </c>
      <c r="G460">
        <v>3400.0331707</v>
      </c>
      <c r="H460">
        <v>4125.9073171</v>
      </c>
      <c r="I460">
        <v>0.1133931707</v>
      </c>
      <c r="J460">
        <v>0.0570913171</v>
      </c>
      <c r="K460">
        <v>0.0343474146</v>
      </c>
    </row>
    <row r="461" spans="1:11" ht="12.75">
      <c r="A461">
        <v>232903</v>
      </c>
      <c r="B461" t="s">
        <v>591</v>
      </c>
      <c r="C461">
        <v>1.0652636195</v>
      </c>
      <c r="D461">
        <v>2982.3267988</v>
      </c>
      <c r="E461">
        <v>4779.3284845</v>
      </c>
      <c r="F461">
        <v>3568</v>
      </c>
      <c r="G461">
        <v>3400.0331707</v>
      </c>
      <c r="H461">
        <v>4125.9073171</v>
      </c>
      <c r="I461">
        <v>0.1133931707</v>
      </c>
      <c r="J461">
        <v>0.0570913171</v>
      </c>
      <c r="K461">
        <v>0.0343474146</v>
      </c>
    </row>
    <row r="462" spans="1:11" ht="12.75">
      <c r="A462">
        <v>233901</v>
      </c>
      <c r="B462" t="s">
        <v>592</v>
      </c>
      <c r="C462">
        <v>1.046146675</v>
      </c>
      <c r="D462">
        <v>1986.7513864</v>
      </c>
      <c r="E462">
        <v>4400.6367011</v>
      </c>
      <c r="F462">
        <v>3515</v>
      </c>
      <c r="G462">
        <v>3400.0331707</v>
      </c>
      <c r="H462">
        <v>4125.9073171</v>
      </c>
      <c r="I462">
        <v>0.1133931707</v>
      </c>
      <c r="J462">
        <v>0.0570913171</v>
      </c>
      <c r="K462">
        <v>0.0343474146</v>
      </c>
    </row>
    <row r="463" spans="1:11" ht="12.75">
      <c r="A463">
        <v>234902</v>
      </c>
      <c r="B463" t="s">
        <v>593</v>
      </c>
      <c r="C463">
        <v>1.1063591382</v>
      </c>
      <c r="D463">
        <v>4408.8178714</v>
      </c>
      <c r="E463">
        <v>4757.0958345</v>
      </c>
      <c r="F463">
        <v>3635</v>
      </c>
      <c r="G463">
        <v>3400.0331707</v>
      </c>
      <c r="H463">
        <v>4125.9073171</v>
      </c>
      <c r="I463">
        <v>0.1133931707</v>
      </c>
      <c r="J463">
        <v>0.0570913171</v>
      </c>
      <c r="K463">
        <v>0.0343474146</v>
      </c>
    </row>
    <row r="464" spans="1:11" ht="12.75">
      <c r="A464">
        <v>234904</v>
      </c>
      <c r="B464" t="s">
        <v>1157</v>
      </c>
      <c r="C464">
        <v>1.1813781167</v>
      </c>
      <c r="D464">
        <v>4844.5670669</v>
      </c>
      <c r="E464">
        <v>5513.8587835</v>
      </c>
      <c r="F464">
        <v>3842</v>
      </c>
      <c r="G464">
        <v>3400.0331707</v>
      </c>
      <c r="H464">
        <v>4125.9073171</v>
      </c>
      <c r="I464">
        <v>0.1133931707</v>
      </c>
      <c r="J464">
        <v>0.0570913171</v>
      </c>
      <c r="K464">
        <v>0.0343474146</v>
      </c>
    </row>
    <row r="465" spans="1:11" ht="12.75">
      <c r="A465">
        <v>234905</v>
      </c>
      <c r="B465" t="s">
        <v>594</v>
      </c>
      <c r="C465">
        <v>1.3157514215</v>
      </c>
      <c r="D465">
        <v>3414.0909389</v>
      </c>
      <c r="E465">
        <v>4717.1915714</v>
      </c>
      <c r="F465">
        <v>4279</v>
      </c>
      <c r="G465">
        <v>3400.0331707</v>
      </c>
      <c r="H465">
        <v>4125.9073171</v>
      </c>
      <c r="I465">
        <v>0.1133931707</v>
      </c>
      <c r="J465">
        <v>0.0570913171</v>
      </c>
      <c r="K465">
        <v>0.0343474146</v>
      </c>
    </row>
    <row r="466" spans="1:11" ht="12.75">
      <c r="A466">
        <v>234906</v>
      </c>
      <c r="B466" t="s">
        <v>595</v>
      </c>
      <c r="C466">
        <v>1.0929043359</v>
      </c>
      <c r="D466">
        <v>3801.984676</v>
      </c>
      <c r="E466">
        <v>4966.6674889</v>
      </c>
      <c r="F466">
        <v>3566</v>
      </c>
      <c r="G466">
        <v>3400.0331707</v>
      </c>
      <c r="H466">
        <v>4125.9073171</v>
      </c>
      <c r="I466">
        <v>0.1133931707</v>
      </c>
      <c r="J466">
        <v>0.0570913171</v>
      </c>
      <c r="K466">
        <v>0.0343474146</v>
      </c>
    </row>
    <row r="467" spans="1:11" ht="12.75">
      <c r="A467">
        <v>234907</v>
      </c>
      <c r="B467" t="s">
        <v>596</v>
      </c>
      <c r="C467">
        <v>1.0843229222</v>
      </c>
      <c r="D467">
        <v>3131.6890349</v>
      </c>
      <c r="E467">
        <v>4590.4714877</v>
      </c>
      <c r="F467">
        <v>3538</v>
      </c>
      <c r="G467">
        <v>3400.0331707</v>
      </c>
      <c r="H467">
        <v>4125.9073171</v>
      </c>
      <c r="I467">
        <v>0.1133931707</v>
      </c>
      <c r="J467">
        <v>0.0570913171</v>
      </c>
      <c r="K467">
        <v>0.0343474146</v>
      </c>
    </row>
    <row r="468" spans="1:11" ht="12.75">
      <c r="A468">
        <v>235902</v>
      </c>
      <c r="B468" t="s">
        <v>1158</v>
      </c>
      <c r="C468">
        <v>1.0354257303</v>
      </c>
      <c r="D468">
        <v>4359.4684219</v>
      </c>
      <c r="E468">
        <v>4501.0132251</v>
      </c>
      <c r="F468">
        <v>3446</v>
      </c>
      <c r="G468">
        <v>3400.0331707</v>
      </c>
      <c r="H468">
        <v>4125.9073171</v>
      </c>
      <c r="I468">
        <v>0.1133931707</v>
      </c>
      <c r="J468">
        <v>0.0570913171</v>
      </c>
      <c r="K468">
        <v>0.0343474146</v>
      </c>
    </row>
    <row r="469" spans="1:11" ht="12.75">
      <c r="A469">
        <v>236901</v>
      </c>
      <c r="B469" t="s">
        <v>597</v>
      </c>
      <c r="C469">
        <v>1.2422862179</v>
      </c>
      <c r="D469">
        <v>3700.3140147</v>
      </c>
      <c r="E469">
        <v>4673.354497</v>
      </c>
      <c r="F469">
        <v>4081</v>
      </c>
      <c r="G469">
        <v>3400.0331707</v>
      </c>
      <c r="H469">
        <v>4125.9073171</v>
      </c>
      <c r="I469">
        <v>0.1133931707</v>
      </c>
      <c r="J469">
        <v>0.0570913171</v>
      </c>
      <c r="K469">
        <v>0.0343474146</v>
      </c>
    </row>
    <row r="470" spans="1:11" ht="12.75">
      <c r="A470">
        <v>236902</v>
      </c>
      <c r="B470" t="s">
        <v>598</v>
      </c>
      <c r="C470">
        <v>1.0354257303</v>
      </c>
      <c r="D470">
        <v>3965.26867</v>
      </c>
      <c r="E470">
        <v>4527.2750727</v>
      </c>
      <c r="F470">
        <v>3446</v>
      </c>
      <c r="G470">
        <v>3400.0331707</v>
      </c>
      <c r="H470">
        <v>4125.9073171</v>
      </c>
      <c r="I470">
        <v>0.1133931707</v>
      </c>
      <c r="J470">
        <v>0.0570913171</v>
      </c>
      <c r="K470">
        <v>0.0343474146</v>
      </c>
    </row>
    <row r="471" spans="1:11" ht="12.75">
      <c r="A471">
        <v>237902</v>
      </c>
      <c r="B471" t="s">
        <v>599</v>
      </c>
      <c r="C471">
        <v>1.1539360677</v>
      </c>
      <c r="D471">
        <v>4125.4825173</v>
      </c>
      <c r="E471">
        <v>4561.7847617</v>
      </c>
      <c r="F471">
        <v>3865</v>
      </c>
      <c r="G471">
        <v>3400.0331707</v>
      </c>
      <c r="H471">
        <v>4125.9073171</v>
      </c>
      <c r="I471">
        <v>0.1133931707</v>
      </c>
      <c r="J471">
        <v>0.0570913171</v>
      </c>
      <c r="K471">
        <v>0.0343474146</v>
      </c>
    </row>
    <row r="472" spans="1:11" ht="12.75">
      <c r="A472">
        <v>237904</v>
      </c>
      <c r="B472" t="s">
        <v>600</v>
      </c>
      <c r="C472">
        <v>1.0609948772</v>
      </c>
      <c r="D472">
        <v>4262.9467803</v>
      </c>
      <c r="E472">
        <v>4787.4507513</v>
      </c>
      <c r="F472">
        <v>3576</v>
      </c>
      <c r="G472">
        <v>3400.0331707</v>
      </c>
      <c r="H472">
        <v>4125.9073171</v>
      </c>
      <c r="I472">
        <v>0.1133931707</v>
      </c>
      <c r="J472">
        <v>0.0570913171</v>
      </c>
      <c r="K472">
        <v>0.0343474146</v>
      </c>
    </row>
    <row r="473" spans="1:11" ht="12.75">
      <c r="A473">
        <v>237905</v>
      </c>
      <c r="B473" t="s">
        <v>601</v>
      </c>
      <c r="C473">
        <v>1.1477836102</v>
      </c>
      <c r="D473">
        <v>5174.9298632</v>
      </c>
      <c r="E473">
        <v>4824.855799</v>
      </c>
      <c r="F473">
        <v>3900</v>
      </c>
      <c r="G473">
        <v>3400.0331707</v>
      </c>
      <c r="H473">
        <v>4125.9073171</v>
      </c>
      <c r="I473">
        <v>0.1133931707</v>
      </c>
      <c r="J473">
        <v>0.0570913171</v>
      </c>
      <c r="K473">
        <v>0.0343474146</v>
      </c>
    </row>
    <row r="474" spans="1:11" ht="12.75">
      <c r="A474">
        <v>239901</v>
      </c>
      <c r="B474" t="s">
        <v>602</v>
      </c>
      <c r="C474">
        <v>1.0688463447</v>
      </c>
      <c r="D474">
        <v>5361.3139672</v>
      </c>
      <c r="E474">
        <v>4373.0082181</v>
      </c>
      <c r="F474">
        <v>3580</v>
      </c>
      <c r="G474">
        <v>3400.0331707</v>
      </c>
      <c r="H474">
        <v>4125.9073171</v>
      </c>
      <c r="I474">
        <v>0.1133931707</v>
      </c>
      <c r="J474">
        <v>0.0570913171</v>
      </c>
      <c r="K474">
        <v>0.0343474146</v>
      </c>
    </row>
    <row r="475" spans="1:11" ht="12.75">
      <c r="A475">
        <v>240901</v>
      </c>
      <c r="B475" t="s">
        <v>603</v>
      </c>
      <c r="C475">
        <v>1.0568676196</v>
      </c>
      <c r="D475">
        <v>2383.3360111</v>
      </c>
      <c r="E475">
        <v>4955.4815383</v>
      </c>
      <c r="F475">
        <v>3584</v>
      </c>
      <c r="G475">
        <v>3400.0331707</v>
      </c>
      <c r="H475">
        <v>4125.9073171</v>
      </c>
      <c r="I475">
        <v>0.1133931707</v>
      </c>
      <c r="J475">
        <v>0.0570913171</v>
      </c>
      <c r="K475">
        <v>0.0343474146</v>
      </c>
    </row>
    <row r="476" spans="1:11" ht="12.75">
      <c r="A476">
        <v>240903</v>
      </c>
      <c r="B476" t="s">
        <v>604</v>
      </c>
      <c r="C476">
        <v>1.0497203232</v>
      </c>
      <c r="D476">
        <v>3872.1707789</v>
      </c>
      <c r="E476">
        <v>4901.5029288</v>
      </c>
      <c r="F476">
        <v>3538</v>
      </c>
      <c r="G476">
        <v>3400.0331707</v>
      </c>
      <c r="H476">
        <v>4125.9073171</v>
      </c>
      <c r="I476">
        <v>0.1133931707</v>
      </c>
      <c r="J476">
        <v>0.0570913171</v>
      </c>
      <c r="K476">
        <v>0.0343474146</v>
      </c>
    </row>
    <row r="477" spans="1:11" ht="12.75">
      <c r="A477">
        <v>241903</v>
      </c>
      <c r="B477" t="s">
        <v>1159</v>
      </c>
      <c r="C477">
        <v>1.094708195</v>
      </c>
      <c r="D477">
        <v>5659.0353758</v>
      </c>
      <c r="E477">
        <v>5411.8590979</v>
      </c>
      <c r="F477">
        <v>3655</v>
      </c>
      <c r="G477">
        <v>3400.0331707</v>
      </c>
      <c r="H477">
        <v>4125.9073171</v>
      </c>
      <c r="I477">
        <v>0.1133931707</v>
      </c>
      <c r="J477">
        <v>0.0570913171</v>
      </c>
      <c r="K477">
        <v>0.0343474146</v>
      </c>
    </row>
    <row r="478" spans="1:11" ht="12.75">
      <c r="A478">
        <v>241904</v>
      </c>
      <c r="B478" t="s">
        <v>832</v>
      </c>
      <c r="C478">
        <v>1.1216640739</v>
      </c>
      <c r="D478">
        <v>4787.0600812</v>
      </c>
      <c r="E478">
        <v>4446.3701294</v>
      </c>
      <c r="F478">
        <v>3745</v>
      </c>
      <c r="G478">
        <v>3400.0331707</v>
      </c>
      <c r="H478">
        <v>4125.9073171</v>
      </c>
      <c r="I478">
        <v>0.1133931707</v>
      </c>
      <c r="J478">
        <v>0.0570913171</v>
      </c>
      <c r="K478">
        <v>0.0343474146</v>
      </c>
    </row>
    <row r="479" spans="1:11" ht="12.75">
      <c r="A479">
        <v>243901</v>
      </c>
      <c r="B479" t="s">
        <v>605</v>
      </c>
      <c r="C479">
        <v>1.0764369015</v>
      </c>
      <c r="D479">
        <v>3587.4874197</v>
      </c>
      <c r="E479">
        <v>5098.045592</v>
      </c>
      <c r="F479">
        <v>3548</v>
      </c>
      <c r="G479">
        <v>3400.0331707</v>
      </c>
      <c r="H479">
        <v>4125.9073171</v>
      </c>
      <c r="I479">
        <v>0.1133931707</v>
      </c>
      <c r="J479">
        <v>0.0570913171</v>
      </c>
      <c r="K479">
        <v>0.0343474146</v>
      </c>
    </row>
    <row r="480" spans="1:11" ht="12.75">
      <c r="A480">
        <v>243903</v>
      </c>
      <c r="B480" t="s">
        <v>606</v>
      </c>
      <c r="C480">
        <v>1.1098690396</v>
      </c>
      <c r="D480">
        <v>4136.4205272</v>
      </c>
      <c r="E480">
        <v>4509.9829935</v>
      </c>
      <c r="F480">
        <v>3646</v>
      </c>
      <c r="G480">
        <v>3400.0331707</v>
      </c>
      <c r="H480">
        <v>4125.9073171</v>
      </c>
      <c r="I480">
        <v>0.1133931707</v>
      </c>
      <c r="J480">
        <v>0.0570913171</v>
      </c>
      <c r="K480">
        <v>0.0343474146</v>
      </c>
    </row>
    <row r="481" spans="1:11" ht="12.75">
      <c r="A481">
        <v>243905</v>
      </c>
      <c r="B481" t="s">
        <v>607</v>
      </c>
      <c r="C481">
        <v>1.032007458</v>
      </c>
      <c r="D481">
        <v>4051.308119</v>
      </c>
      <c r="E481">
        <v>4534.8218614</v>
      </c>
      <c r="F481">
        <v>3424</v>
      </c>
      <c r="G481">
        <v>3400.0331707</v>
      </c>
      <c r="H481">
        <v>4125.9073171</v>
      </c>
      <c r="I481">
        <v>0.1133931707</v>
      </c>
      <c r="J481">
        <v>0.0570913171</v>
      </c>
      <c r="K481">
        <v>0.0343474146</v>
      </c>
    </row>
    <row r="482" spans="1:11" ht="12.75">
      <c r="A482">
        <v>243906</v>
      </c>
      <c r="B482" t="s">
        <v>608</v>
      </c>
      <c r="C482">
        <v>1.20525059</v>
      </c>
      <c r="D482">
        <v>2765.0242558</v>
      </c>
      <c r="E482">
        <v>4359.2827257</v>
      </c>
      <c r="F482">
        <v>3946</v>
      </c>
      <c r="G482">
        <v>3400.0331707</v>
      </c>
      <c r="H482">
        <v>4125.9073171</v>
      </c>
      <c r="I482">
        <v>0.1133931707</v>
      </c>
      <c r="J482">
        <v>0.0570913171</v>
      </c>
      <c r="K482">
        <v>0.0343474146</v>
      </c>
    </row>
    <row r="483" spans="1:11" ht="12.75">
      <c r="A483">
        <v>245901</v>
      </c>
      <c r="B483" t="s">
        <v>833</v>
      </c>
      <c r="C483">
        <v>1.3768177779</v>
      </c>
      <c r="D483">
        <v>2949.4384867</v>
      </c>
      <c r="E483">
        <v>5064.2916762</v>
      </c>
      <c r="F483">
        <v>4669</v>
      </c>
      <c r="G483">
        <v>3400.0331707</v>
      </c>
      <c r="H483">
        <v>4125.9073171</v>
      </c>
      <c r="I483">
        <v>0.1133931707</v>
      </c>
      <c r="J483">
        <v>0.0570913171</v>
      </c>
      <c r="K483">
        <v>0.0343474146</v>
      </c>
    </row>
    <row r="484" spans="1:11" ht="12.75">
      <c r="A484">
        <v>245902</v>
      </c>
      <c r="B484" t="s">
        <v>609</v>
      </c>
      <c r="C484">
        <v>1.1887639627</v>
      </c>
      <c r="D484">
        <v>2097.4294557</v>
      </c>
      <c r="E484">
        <v>4362.77508</v>
      </c>
      <c r="F484">
        <v>4019</v>
      </c>
      <c r="G484">
        <v>3400.0331707</v>
      </c>
      <c r="H484">
        <v>4125.9073171</v>
      </c>
      <c r="I484">
        <v>0.1133931707</v>
      </c>
      <c r="J484">
        <v>0.0570913171</v>
      </c>
      <c r="K484">
        <v>0.0343474146</v>
      </c>
    </row>
    <row r="485" spans="1:11" ht="12.75">
      <c r="A485">
        <v>245903</v>
      </c>
      <c r="B485" t="s">
        <v>610</v>
      </c>
      <c r="C485">
        <v>1.142027289</v>
      </c>
      <c r="D485">
        <v>3402.9855183</v>
      </c>
      <c r="E485">
        <v>4883.1359384</v>
      </c>
      <c r="F485">
        <v>3884</v>
      </c>
      <c r="G485">
        <v>3400.0331707</v>
      </c>
      <c r="H485">
        <v>4125.9073171</v>
      </c>
      <c r="I485">
        <v>0.1133931707</v>
      </c>
      <c r="J485">
        <v>0.0570913171</v>
      </c>
      <c r="K485">
        <v>0.0343474146</v>
      </c>
    </row>
    <row r="486" spans="1:11" ht="12.75">
      <c r="A486">
        <v>245904</v>
      </c>
      <c r="B486" t="s">
        <v>611</v>
      </c>
      <c r="C486">
        <v>1.6178985083</v>
      </c>
      <c r="D486">
        <v>3275.9671491</v>
      </c>
      <c r="E486">
        <v>4404.096702</v>
      </c>
      <c r="F486">
        <v>5453</v>
      </c>
      <c r="G486">
        <v>3400.0331707</v>
      </c>
      <c r="H486">
        <v>4125.9073171</v>
      </c>
      <c r="I486">
        <v>0.1133931707</v>
      </c>
      <c r="J486">
        <v>0.0570913171</v>
      </c>
      <c r="K486">
        <v>0.0343474146</v>
      </c>
    </row>
    <row r="487" spans="1:11" ht="12.75">
      <c r="A487">
        <v>246904</v>
      </c>
      <c r="B487" t="s">
        <v>612</v>
      </c>
      <c r="C487">
        <v>1.032007458</v>
      </c>
      <c r="D487">
        <v>7000</v>
      </c>
      <c r="E487">
        <v>5184.357231</v>
      </c>
      <c r="F487">
        <v>3424</v>
      </c>
      <c r="G487">
        <v>3400.0331707</v>
      </c>
      <c r="H487">
        <v>4125.9073171</v>
      </c>
      <c r="I487">
        <v>0.1133931707</v>
      </c>
      <c r="J487">
        <v>0.0570913171</v>
      </c>
      <c r="K487">
        <v>0.0343474146</v>
      </c>
    </row>
    <row r="488" spans="1:11" ht="12.75">
      <c r="A488">
        <v>246905</v>
      </c>
      <c r="B488" t="s">
        <v>1160</v>
      </c>
      <c r="C488">
        <v>1.3339128172</v>
      </c>
      <c r="D488">
        <v>3512.7668162</v>
      </c>
      <c r="E488">
        <v>4514.995825</v>
      </c>
      <c r="F488">
        <v>4382</v>
      </c>
      <c r="G488">
        <v>3400.0331707</v>
      </c>
      <c r="H488">
        <v>4125.9073171</v>
      </c>
      <c r="I488">
        <v>0.1133931707</v>
      </c>
      <c r="J488">
        <v>0.0570913171</v>
      </c>
      <c r="K488">
        <v>0.0343474146</v>
      </c>
    </row>
    <row r="489" spans="1:11" ht="12.75">
      <c r="A489">
        <v>246906</v>
      </c>
      <c r="B489" t="s">
        <v>613</v>
      </c>
      <c r="C489">
        <v>1.0365068787</v>
      </c>
      <c r="D489">
        <v>4385.7724742</v>
      </c>
      <c r="E489">
        <v>4922.0402716</v>
      </c>
      <c r="F489">
        <v>3405</v>
      </c>
      <c r="G489">
        <v>3400.0331707</v>
      </c>
      <c r="H489">
        <v>4125.9073171</v>
      </c>
      <c r="I489">
        <v>0.1133931707</v>
      </c>
      <c r="J489">
        <v>0.0570913171</v>
      </c>
      <c r="K489">
        <v>0.0343474146</v>
      </c>
    </row>
    <row r="490" spans="1:11" ht="12.75">
      <c r="A490">
        <v>246907</v>
      </c>
      <c r="B490" t="s">
        <v>614</v>
      </c>
      <c r="C490">
        <v>1.2371112937</v>
      </c>
      <c r="D490">
        <v>7000</v>
      </c>
      <c r="E490">
        <v>5556.4551132</v>
      </c>
      <c r="F490">
        <v>4064</v>
      </c>
      <c r="G490">
        <v>3400.0331707</v>
      </c>
      <c r="H490">
        <v>4125.9073171</v>
      </c>
      <c r="I490">
        <v>0.1133931707</v>
      </c>
      <c r="J490">
        <v>0.0570913171</v>
      </c>
      <c r="K490">
        <v>0.0343474146</v>
      </c>
    </row>
    <row r="491" spans="1:11" ht="12.75">
      <c r="A491">
        <v>246908</v>
      </c>
      <c r="B491" t="s">
        <v>615</v>
      </c>
      <c r="C491">
        <v>1.0937354523</v>
      </c>
      <c r="D491">
        <v>5126.4005669</v>
      </c>
      <c r="E491">
        <v>4457.4708898</v>
      </c>
      <c r="F491">
        <v>3593</v>
      </c>
      <c r="G491">
        <v>3400.0331707</v>
      </c>
      <c r="H491">
        <v>4125.9073171</v>
      </c>
      <c r="I491">
        <v>0.1133931707</v>
      </c>
      <c r="J491">
        <v>0.0570913171</v>
      </c>
      <c r="K491">
        <v>0.0343474146</v>
      </c>
    </row>
    <row r="492" spans="1:11" ht="12.75">
      <c r="A492">
        <v>246909</v>
      </c>
      <c r="B492" t="s">
        <v>616</v>
      </c>
      <c r="C492">
        <v>1.0425730267</v>
      </c>
      <c r="D492">
        <v>6686.6983214</v>
      </c>
      <c r="E492">
        <v>5183.9472488</v>
      </c>
      <c r="F492">
        <v>3492</v>
      </c>
      <c r="G492">
        <v>3400.0331707</v>
      </c>
      <c r="H492">
        <v>4125.9073171</v>
      </c>
      <c r="I492">
        <v>0.1133931707</v>
      </c>
      <c r="J492">
        <v>0.0570913171</v>
      </c>
      <c r="K492">
        <v>0.0343474146</v>
      </c>
    </row>
    <row r="493" spans="1:11" ht="12.75">
      <c r="A493">
        <v>246913</v>
      </c>
      <c r="B493" t="s">
        <v>617</v>
      </c>
      <c r="C493">
        <v>1.0354257303</v>
      </c>
      <c r="D493">
        <v>6539.9782776</v>
      </c>
      <c r="E493">
        <v>5337.3927182</v>
      </c>
      <c r="F493">
        <v>3446</v>
      </c>
      <c r="G493">
        <v>3400.0331707</v>
      </c>
      <c r="H493">
        <v>4125.9073171</v>
      </c>
      <c r="I493">
        <v>0.1133931707</v>
      </c>
      <c r="J493">
        <v>0.0570913171</v>
      </c>
      <c r="K493">
        <v>0.0343474146</v>
      </c>
    </row>
    <row r="494" spans="1:11" ht="12.75">
      <c r="A494">
        <v>246914</v>
      </c>
      <c r="B494" t="s">
        <v>226</v>
      </c>
      <c r="C494">
        <v>1.3998534001</v>
      </c>
      <c r="D494">
        <v>5667.0637803</v>
      </c>
      <c r="E494">
        <v>4959.8963333</v>
      </c>
      <c r="F494">
        <v>4614</v>
      </c>
      <c r="G494">
        <v>3400.0331707</v>
      </c>
      <c r="H494">
        <v>4125.9073171</v>
      </c>
      <c r="I494">
        <v>0.1133931707</v>
      </c>
      <c r="J494">
        <v>0.0570913171</v>
      </c>
      <c r="K494">
        <v>0.0343474146</v>
      </c>
    </row>
    <row r="495" spans="1:11" ht="12.75">
      <c r="A495">
        <v>247901</v>
      </c>
      <c r="B495" t="s">
        <v>618</v>
      </c>
      <c r="C495">
        <v>1.0756068984</v>
      </c>
      <c r="D495">
        <v>3555.3180879</v>
      </c>
      <c r="E495">
        <v>4607.3925232</v>
      </c>
      <c r="F495">
        <v>3557</v>
      </c>
      <c r="G495">
        <v>3400.0331707</v>
      </c>
      <c r="H495">
        <v>4125.9073171</v>
      </c>
      <c r="I495">
        <v>0.1133931707</v>
      </c>
      <c r="J495">
        <v>0.0570913171</v>
      </c>
      <c r="K495">
        <v>0.0343474146</v>
      </c>
    </row>
    <row r="496" spans="1:11" ht="12.75">
      <c r="A496">
        <v>247903</v>
      </c>
      <c r="B496" t="s">
        <v>619</v>
      </c>
      <c r="C496">
        <v>1.0888759976</v>
      </c>
      <c r="D496">
        <v>3154.9546297</v>
      </c>
      <c r="E496">
        <v>4627.0339814</v>
      </c>
      <c r="F496">
        <v>3589</v>
      </c>
      <c r="G496">
        <v>3400.0331707</v>
      </c>
      <c r="H496">
        <v>4125.9073171</v>
      </c>
      <c r="I496">
        <v>0.1133931707</v>
      </c>
      <c r="J496">
        <v>0.0570913171</v>
      </c>
      <c r="K496">
        <v>0.0343474146</v>
      </c>
    </row>
    <row r="497" spans="1:11" ht="12.75">
      <c r="A497">
        <v>249903</v>
      </c>
      <c r="B497" t="s">
        <v>227</v>
      </c>
      <c r="C497">
        <v>1.0354257303</v>
      </c>
      <c r="D497">
        <v>7000</v>
      </c>
      <c r="E497">
        <v>5675.6920185</v>
      </c>
      <c r="F497">
        <v>3446</v>
      </c>
      <c r="G497">
        <v>3400.0331707</v>
      </c>
      <c r="H497">
        <v>4125.9073171</v>
      </c>
      <c r="I497">
        <v>0.1133931707</v>
      </c>
      <c r="J497">
        <v>0.0570913171</v>
      </c>
      <c r="K497">
        <v>0.0343474146</v>
      </c>
    </row>
    <row r="498" spans="1:11" ht="12.75">
      <c r="A498">
        <v>249905</v>
      </c>
      <c r="B498" t="s">
        <v>620</v>
      </c>
      <c r="C498">
        <v>1.0354257303</v>
      </c>
      <c r="D498">
        <v>7000</v>
      </c>
      <c r="E498">
        <v>5984.68414</v>
      </c>
      <c r="F498">
        <v>3446</v>
      </c>
      <c r="G498">
        <v>3400.0331707</v>
      </c>
      <c r="H498">
        <v>4125.9073171</v>
      </c>
      <c r="I498">
        <v>0.1133931707</v>
      </c>
      <c r="J498">
        <v>0.0570913171</v>
      </c>
      <c r="K498">
        <v>0.0343474146</v>
      </c>
    </row>
    <row r="499" spans="1:11" ht="12.75">
      <c r="A499">
        <v>249906</v>
      </c>
      <c r="B499" t="s">
        <v>228</v>
      </c>
      <c r="C499">
        <v>1.2118026611</v>
      </c>
      <c r="D499">
        <v>5603.2509854</v>
      </c>
      <c r="E499">
        <v>5457.5377835</v>
      </c>
      <c r="F499">
        <v>4033</v>
      </c>
      <c r="G499">
        <v>3400.0331707</v>
      </c>
      <c r="H499">
        <v>4125.9073171</v>
      </c>
      <c r="I499">
        <v>0.1133931707</v>
      </c>
      <c r="J499">
        <v>0.0570913171</v>
      </c>
      <c r="K499">
        <v>0.0343474146</v>
      </c>
    </row>
    <row r="500" spans="1:11" ht="12.75">
      <c r="A500">
        <v>249908</v>
      </c>
      <c r="B500" t="s">
        <v>621</v>
      </c>
      <c r="C500">
        <v>1.3950904427</v>
      </c>
      <c r="D500">
        <v>7000</v>
      </c>
      <c r="E500">
        <v>5730.8954463</v>
      </c>
      <c r="F500">
        <v>4643</v>
      </c>
      <c r="G500">
        <v>3400.0331707</v>
      </c>
      <c r="H500">
        <v>4125.9073171</v>
      </c>
      <c r="I500">
        <v>0.1133931707</v>
      </c>
      <c r="J500">
        <v>0.0570913171</v>
      </c>
      <c r="K500">
        <v>0.0343474146</v>
      </c>
    </row>
    <row r="501" spans="1:11" ht="12.75">
      <c r="A501">
        <v>250902</v>
      </c>
      <c r="B501" t="s">
        <v>622</v>
      </c>
      <c r="C501">
        <v>1.2504345739</v>
      </c>
      <c r="D501">
        <v>7000</v>
      </c>
      <c r="E501">
        <v>4925.8009066</v>
      </c>
      <c r="F501">
        <v>4080</v>
      </c>
      <c r="G501">
        <v>3400.0331707</v>
      </c>
      <c r="H501">
        <v>4125.9073171</v>
      </c>
      <c r="I501">
        <v>0.1133931707</v>
      </c>
      <c r="J501">
        <v>0.0570913171</v>
      </c>
      <c r="K501">
        <v>0.0343474146</v>
      </c>
    </row>
    <row r="502" spans="1:11" ht="12.75">
      <c r="A502">
        <v>250903</v>
      </c>
      <c r="B502" t="s">
        <v>1119</v>
      </c>
      <c r="C502">
        <v>1.1073088518</v>
      </c>
      <c r="D502">
        <v>4662.0322579</v>
      </c>
      <c r="E502">
        <v>5026.5792871</v>
      </c>
      <c r="F502">
        <v>3613</v>
      </c>
      <c r="G502">
        <v>3400.0331707</v>
      </c>
      <c r="H502">
        <v>4125.9073171</v>
      </c>
      <c r="I502">
        <v>0.1133931707</v>
      </c>
      <c r="J502">
        <v>0.0570913171</v>
      </c>
      <c r="K502">
        <v>0.0343474146</v>
      </c>
    </row>
    <row r="503" spans="1:11" ht="12.75">
      <c r="A503"/>
      <c r="B503"/>
      <c r="C503"/>
      <c r="D503"/>
      <c r="E503"/>
      <c r="F503"/>
      <c r="G503"/>
      <c r="H503"/>
      <c r="I503"/>
      <c r="J503"/>
      <c r="K503"/>
    </row>
    <row r="504" spans="1:11" ht="12.75">
      <c r="A504"/>
      <c r="B504"/>
      <c r="C504"/>
      <c r="D504"/>
      <c r="E504"/>
      <c r="F504"/>
      <c r="G504"/>
      <c r="H504"/>
      <c r="I504"/>
      <c r="J504"/>
      <c r="K504"/>
    </row>
    <row r="505" spans="1:11" ht="12.75">
      <c r="A505"/>
      <c r="B505"/>
      <c r="C505"/>
      <c r="D505"/>
      <c r="E505"/>
      <c r="F505"/>
      <c r="G505"/>
      <c r="H505"/>
      <c r="I505"/>
      <c r="J505"/>
      <c r="K505"/>
    </row>
    <row r="506" spans="1:11" ht="12.75">
      <c r="A506"/>
      <c r="B506"/>
      <c r="C506"/>
      <c r="D506"/>
      <c r="E506"/>
      <c r="F506"/>
      <c r="G506"/>
      <c r="H506"/>
      <c r="I506"/>
      <c r="J506"/>
      <c r="K506"/>
    </row>
    <row r="507" spans="1:11" ht="12.75">
      <c r="A507"/>
      <c r="B507"/>
      <c r="C507"/>
      <c r="D507"/>
      <c r="E507"/>
      <c r="F507"/>
      <c r="G507"/>
      <c r="H507"/>
      <c r="I507"/>
      <c r="J507"/>
      <c r="K507"/>
    </row>
    <row r="508" spans="1:11" ht="12.75">
      <c r="A508"/>
      <c r="B508"/>
      <c r="C508"/>
      <c r="D508"/>
      <c r="E508"/>
      <c r="F508"/>
      <c r="G508"/>
      <c r="H508"/>
      <c r="I508"/>
      <c r="J508"/>
      <c r="K508"/>
    </row>
    <row r="509" spans="1:11" ht="12.75">
      <c r="A509"/>
      <c r="B509"/>
      <c r="C509"/>
      <c r="D509"/>
      <c r="E509"/>
      <c r="F509"/>
      <c r="G509"/>
      <c r="H509"/>
      <c r="I509"/>
      <c r="J509"/>
      <c r="K509"/>
    </row>
    <row r="510" spans="1:11" ht="12.75">
      <c r="A510"/>
      <c r="B510"/>
      <c r="C510"/>
      <c r="D510"/>
      <c r="E510"/>
      <c r="F510"/>
      <c r="G510"/>
      <c r="H510"/>
      <c r="I510"/>
      <c r="J510"/>
      <c r="K510"/>
    </row>
    <row r="511" spans="1:11" ht="12.75">
      <c r="A511"/>
      <c r="B511"/>
      <c r="C511"/>
      <c r="D511"/>
      <c r="E511"/>
      <c r="F511"/>
      <c r="G511"/>
      <c r="H511"/>
      <c r="I511"/>
      <c r="J511"/>
      <c r="K511"/>
    </row>
    <row r="512" spans="1:11" ht="12.75">
      <c r="A512"/>
      <c r="B512"/>
      <c r="C512"/>
      <c r="D512"/>
      <c r="E512"/>
      <c r="F512"/>
      <c r="G512"/>
      <c r="H512"/>
      <c r="I512"/>
      <c r="J512"/>
      <c r="K512"/>
    </row>
    <row r="513" spans="1:11" ht="12.75">
      <c r="A513"/>
      <c r="B513"/>
      <c r="C513"/>
      <c r="D513"/>
      <c r="E513"/>
      <c r="F513"/>
      <c r="G513"/>
      <c r="H513"/>
      <c r="I513"/>
      <c r="J513"/>
      <c r="K513"/>
    </row>
    <row r="514" spans="1:11" ht="12.75">
      <c r="A514"/>
      <c r="B514"/>
      <c r="C514"/>
      <c r="D514"/>
      <c r="E514"/>
      <c r="F514"/>
      <c r="G514"/>
      <c r="H514"/>
      <c r="I514"/>
      <c r="J514"/>
      <c r="K514"/>
    </row>
    <row r="515" spans="1:11" ht="12.75">
      <c r="A515"/>
      <c r="B515"/>
      <c r="C515"/>
      <c r="D515"/>
      <c r="E515"/>
      <c r="F515"/>
      <c r="G515"/>
      <c r="H515"/>
      <c r="I515"/>
      <c r="J515"/>
      <c r="K515"/>
    </row>
    <row r="516" spans="1:11" ht="12.75">
      <c r="A516"/>
      <c r="B516"/>
      <c r="C516"/>
      <c r="D516"/>
      <c r="E516"/>
      <c r="F516"/>
      <c r="G516"/>
      <c r="H516"/>
      <c r="I516"/>
      <c r="J516"/>
      <c r="K516"/>
    </row>
    <row r="517" spans="1:11" ht="12.75">
      <c r="A517"/>
      <c r="B517"/>
      <c r="C517"/>
      <c r="D517"/>
      <c r="E517"/>
      <c r="F517"/>
      <c r="G517"/>
      <c r="H517"/>
      <c r="I517"/>
      <c r="J517"/>
      <c r="K517"/>
    </row>
    <row r="518" spans="1:11" ht="12.75">
      <c r="A518"/>
      <c r="B518"/>
      <c r="C518"/>
      <c r="D518"/>
      <c r="E518"/>
      <c r="F518"/>
      <c r="G518"/>
      <c r="H518"/>
      <c r="I518"/>
      <c r="J518"/>
      <c r="K518"/>
    </row>
    <row r="519" spans="1:11" ht="12.75">
      <c r="A519"/>
      <c r="B519"/>
      <c r="C519"/>
      <c r="D519"/>
      <c r="E519"/>
      <c r="F519"/>
      <c r="G519"/>
      <c r="H519"/>
      <c r="I519"/>
      <c r="J519"/>
      <c r="K519"/>
    </row>
    <row r="520" spans="1:11" ht="12.75">
      <c r="A520"/>
      <c r="B520"/>
      <c r="C520"/>
      <c r="D520"/>
      <c r="E520"/>
      <c r="F520"/>
      <c r="G520"/>
      <c r="H520"/>
      <c r="I520"/>
      <c r="J520"/>
      <c r="K520"/>
    </row>
    <row r="521" spans="1:11" ht="12.75">
      <c r="A521"/>
      <c r="B521"/>
      <c r="C521"/>
      <c r="D521"/>
      <c r="E521"/>
      <c r="F521"/>
      <c r="G521"/>
      <c r="H521"/>
      <c r="I521"/>
      <c r="J521"/>
      <c r="K521"/>
    </row>
    <row r="522" spans="1:11" ht="12.75">
      <c r="A522"/>
      <c r="B522"/>
      <c r="C522"/>
      <c r="D522"/>
      <c r="E522"/>
      <c r="F522"/>
      <c r="G522"/>
      <c r="H522"/>
      <c r="I522"/>
      <c r="J522"/>
      <c r="K522"/>
    </row>
    <row r="523" spans="1:11" ht="12.75">
      <c r="A523"/>
      <c r="B523"/>
      <c r="C523"/>
      <c r="D523"/>
      <c r="E523"/>
      <c r="F523"/>
      <c r="G523"/>
      <c r="H523"/>
      <c r="I523"/>
      <c r="J523"/>
      <c r="K523"/>
    </row>
    <row r="524" spans="1:11" ht="12.75">
      <c r="A524"/>
      <c r="B524"/>
      <c r="C524"/>
      <c r="D524"/>
      <c r="E524"/>
      <c r="F524"/>
      <c r="G524"/>
      <c r="H524"/>
      <c r="I524"/>
      <c r="J524"/>
      <c r="K524"/>
    </row>
    <row r="525" spans="1:11" ht="12.75">
      <c r="A525"/>
      <c r="B525"/>
      <c r="C525"/>
      <c r="D525"/>
      <c r="E525"/>
      <c r="F525"/>
      <c r="G525"/>
      <c r="H525"/>
      <c r="I525"/>
      <c r="J525"/>
      <c r="K525"/>
    </row>
    <row r="526" spans="1:11" ht="12.75">
      <c r="A526"/>
      <c r="B526"/>
      <c r="C526"/>
      <c r="D526"/>
      <c r="E526"/>
      <c r="F526"/>
      <c r="G526"/>
      <c r="H526"/>
      <c r="I526"/>
      <c r="J526"/>
      <c r="K526"/>
    </row>
    <row r="527" spans="1:11" ht="12.75">
      <c r="A527"/>
      <c r="B527"/>
      <c r="C527"/>
      <c r="D527"/>
      <c r="E527"/>
      <c r="F527"/>
      <c r="G527"/>
      <c r="H527"/>
      <c r="I527"/>
      <c r="J527"/>
      <c r="K527"/>
    </row>
    <row r="528" spans="1:11" ht="12.75">
      <c r="A528"/>
      <c r="B528"/>
      <c r="C528"/>
      <c r="D528"/>
      <c r="E528"/>
      <c r="F528"/>
      <c r="G528"/>
      <c r="H528"/>
      <c r="I528"/>
      <c r="J528"/>
      <c r="K528"/>
    </row>
    <row r="529" spans="1:11" ht="12.75">
      <c r="A529"/>
      <c r="B529"/>
      <c r="C529"/>
      <c r="D529"/>
      <c r="E529"/>
      <c r="F529"/>
      <c r="G529"/>
      <c r="H529"/>
      <c r="I529"/>
      <c r="J529"/>
      <c r="K529"/>
    </row>
    <row r="530" spans="1:11" ht="12.75">
      <c r="A530"/>
      <c r="B530"/>
      <c r="C530"/>
      <c r="D530"/>
      <c r="E530"/>
      <c r="F530"/>
      <c r="G530"/>
      <c r="H530"/>
      <c r="I530"/>
      <c r="J530"/>
      <c r="K530"/>
    </row>
    <row r="531" spans="1:11" ht="12.75">
      <c r="A531"/>
      <c r="B531"/>
      <c r="C531"/>
      <c r="D531"/>
      <c r="E531"/>
      <c r="F531"/>
      <c r="G531"/>
      <c r="H531"/>
      <c r="I531"/>
      <c r="J531"/>
      <c r="K531"/>
    </row>
    <row r="532" spans="1:11" ht="12.75">
      <c r="A532"/>
      <c r="B532"/>
      <c r="C532"/>
      <c r="D532"/>
      <c r="E532"/>
      <c r="F532"/>
      <c r="G532"/>
      <c r="H532"/>
      <c r="I532"/>
      <c r="J532"/>
      <c r="K532"/>
    </row>
    <row r="533" spans="1:11" ht="12.75">
      <c r="A533"/>
      <c r="B533"/>
      <c r="C533"/>
      <c r="D533"/>
      <c r="E533"/>
      <c r="F533"/>
      <c r="G533"/>
      <c r="H533"/>
      <c r="I533"/>
      <c r="J533"/>
      <c r="K533"/>
    </row>
    <row r="534" spans="1:11" ht="12.75">
      <c r="A534"/>
      <c r="B534"/>
      <c r="C534"/>
      <c r="D534"/>
      <c r="E534"/>
      <c r="F534"/>
      <c r="G534"/>
      <c r="H534"/>
      <c r="I534"/>
      <c r="J534"/>
      <c r="K534"/>
    </row>
    <row r="535" spans="1:11" ht="12.75">
      <c r="A535"/>
      <c r="B535"/>
      <c r="C535"/>
      <c r="D535"/>
      <c r="E535"/>
      <c r="F535"/>
      <c r="G535"/>
      <c r="H535"/>
      <c r="I535"/>
      <c r="J535"/>
      <c r="K535"/>
    </row>
    <row r="536" spans="1:11" ht="12.75">
      <c r="A536"/>
      <c r="B536"/>
      <c r="C536"/>
      <c r="D536"/>
      <c r="E536"/>
      <c r="F536"/>
      <c r="G536"/>
      <c r="H536"/>
      <c r="I536"/>
      <c r="J536"/>
      <c r="K536"/>
    </row>
    <row r="537" spans="1:11" ht="12.75">
      <c r="A537"/>
      <c r="B537"/>
      <c r="C537"/>
      <c r="D537"/>
      <c r="E537"/>
      <c r="F537"/>
      <c r="G537"/>
      <c r="H537"/>
      <c r="I537"/>
      <c r="J537"/>
      <c r="K537"/>
    </row>
    <row r="538" spans="1:11" ht="12.75">
      <c r="A538"/>
      <c r="B538"/>
      <c r="C538"/>
      <c r="D538"/>
      <c r="E538"/>
      <c r="F538"/>
      <c r="G538"/>
      <c r="H538"/>
      <c r="I538"/>
      <c r="J538"/>
      <c r="K538"/>
    </row>
    <row r="539" spans="1:11" ht="12.75">
      <c r="A539"/>
      <c r="B539"/>
      <c r="C539"/>
      <c r="D539"/>
      <c r="E539"/>
      <c r="F539"/>
      <c r="G539"/>
      <c r="H539"/>
      <c r="I539"/>
      <c r="J539"/>
      <c r="K539"/>
    </row>
    <row r="540" spans="1:11" ht="12.75">
      <c r="A540"/>
      <c r="B540"/>
      <c r="C540"/>
      <c r="D540"/>
      <c r="E540"/>
      <c r="F540"/>
      <c r="G540"/>
      <c r="H540"/>
      <c r="I540"/>
      <c r="J540"/>
      <c r="K540"/>
    </row>
    <row r="541" spans="1:11" ht="12.75">
      <c r="A541"/>
      <c r="B541"/>
      <c r="C541"/>
      <c r="D541"/>
      <c r="E541"/>
      <c r="F541"/>
      <c r="G541"/>
      <c r="H541"/>
      <c r="I541"/>
      <c r="J541"/>
      <c r="K541"/>
    </row>
    <row r="542" spans="1:11" ht="12.75">
      <c r="A542"/>
      <c r="B542"/>
      <c r="C542"/>
      <c r="D542"/>
      <c r="E542"/>
      <c r="F542"/>
      <c r="G542"/>
      <c r="H542"/>
      <c r="I542"/>
      <c r="J542"/>
      <c r="K542"/>
    </row>
    <row r="543" spans="1:11" ht="12.75">
      <c r="A543"/>
      <c r="B543"/>
      <c r="C543"/>
      <c r="D543"/>
      <c r="E543"/>
      <c r="F543"/>
      <c r="G543"/>
      <c r="H543"/>
      <c r="I543"/>
      <c r="J543"/>
      <c r="K543"/>
    </row>
    <row r="544" spans="1:11" ht="12.75">
      <c r="A544"/>
      <c r="B544"/>
      <c r="C544"/>
      <c r="D544"/>
      <c r="E544"/>
      <c r="F544"/>
      <c r="G544"/>
      <c r="H544"/>
      <c r="I544"/>
      <c r="J544"/>
      <c r="K544"/>
    </row>
    <row r="545" spans="1:11" ht="12.75">
      <c r="A545"/>
      <c r="B545"/>
      <c r="C545"/>
      <c r="D545"/>
      <c r="E545"/>
      <c r="F545"/>
      <c r="G545"/>
      <c r="H545"/>
      <c r="I545"/>
      <c r="J545"/>
      <c r="K545"/>
    </row>
    <row r="546" spans="1:11" ht="12.75">
      <c r="A546"/>
      <c r="B546"/>
      <c r="C546"/>
      <c r="D546"/>
      <c r="E546"/>
      <c r="F546"/>
      <c r="G546"/>
      <c r="H546"/>
      <c r="I546"/>
      <c r="J546"/>
      <c r="K546"/>
    </row>
    <row r="547" spans="1:11" ht="12.75">
      <c r="A547"/>
      <c r="B547"/>
      <c r="C547"/>
      <c r="D547"/>
      <c r="E547"/>
      <c r="F547"/>
      <c r="G547"/>
      <c r="H547"/>
      <c r="I547"/>
      <c r="J547"/>
      <c r="K547"/>
    </row>
    <row r="548" spans="1:11" ht="12.75">
      <c r="A548"/>
      <c r="B548"/>
      <c r="C548"/>
      <c r="D548"/>
      <c r="E548"/>
      <c r="F548"/>
      <c r="G548"/>
      <c r="H548"/>
      <c r="I548"/>
      <c r="J548"/>
      <c r="K548"/>
    </row>
    <row r="549" spans="1:11" ht="12.75">
      <c r="A549"/>
      <c r="B549"/>
      <c r="C549"/>
      <c r="D549"/>
      <c r="E549"/>
      <c r="F549"/>
      <c r="G549"/>
      <c r="H549"/>
      <c r="I549"/>
      <c r="J549"/>
      <c r="K549"/>
    </row>
    <row r="550" spans="1:11" ht="12.75">
      <c r="A550"/>
      <c r="B550"/>
      <c r="C550"/>
      <c r="D550"/>
      <c r="E550"/>
      <c r="F550"/>
      <c r="G550"/>
      <c r="H550"/>
      <c r="I550"/>
      <c r="J550"/>
      <c r="K550"/>
    </row>
    <row r="551" spans="1:11" ht="12.75">
      <c r="A551"/>
      <c r="B551"/>
      <c r="C551"/>
      <c r="D551"/>
      <c r="E551"/>
      <c r="F551"/>
      <c r="G551"/>
      <c r="H551"/>
      <c r="I551"/>
      <c r="J551"/>
      <c r="K551"/>
    </row>
    <row r="552" spans="1:11" ht="12.75">
      <c r="A552"/>
      <c r="B552"/>
      <c r="C552"/>
      <c r="D552"/>
      <c r="E552"/>
      <c r="F552"/>
      <c r="G552"/>
      <c r="H552"/>
      <c r="I552"/>
      <c r="J552"/>
      <c r="K552"/>
    </row>
    <row r="553" spans="1:11" ht="12.75">
      <c r="A553"/>
      <c r="B553"/>
      <c r="C553"/>
      <c r="D553"/>
      <c r="E553"/>
      <c r="F553"/>
      <c r="G553"/>
      <c r="H553"/>
      <c r="I553"/>
      <c r="J553"/>
      <c r="K553"/>
    </row>
    <row r="554" spans="1:11" ht="12.75">
      <c r="A554"/>
      <c r="B554"/>
      <c r="C554"/>
      <c r="D554"/>
      <c r="E554"/>
      <c r="F554"/>
      <c r="G554"/>
      <c r="H554"/>
      <c r="I554"/>
      <c r="J554"/>
      <c r="K554"/>
    </row>
    <row r="555" spans="1:11" ht="12.75">
      <c r="A555"/>
      <c r="B555"/>
      <c r="C555"/>
      <c r="D555"/>
      <c r="E555"/>
      <c r="F555"/>
      <c r="G555"/>
      <c r="H555"/>
      <c r="I555"/>
      <c r="J555"/>
      <c r="K555"/>
    </row>
    <row r="556" spans="1:11" ht="12.75">
      <c r="A556"/>
      <c r="B556"/>
      <c r="C556"/>
      <c r="D556"/>
      <c r="E556"/>
      <c r="F556"/>
      <c r="G556"/>
      <c r="H556"/>
      <c r="I556"/>
      <c r="J556"/>
      <c r="K556"/>
    </row>
    <row r="557" spans="1:11" ht="12.75">
      <c r="A557"/>
      <c r="B557"/>
      <c r="C557"/>
      <c r="D557"/>
      <c r="E557"/>
      <c r="F557"/>
      <c r="G557"/>
      <c r="H557"/>
      <c r="I557"/>
      <c r="J557"/>
      <c r="K557"/>
    </row>
    <row r="558" spans="1:11" ht="12.75">
      <c r="A558"/>
      <c r="B558"/>
      <c r="C558"/>
      <c r="D558"/>
      <c r="E558"/>
      <c r="F558"/>
      <c r="G558"/>
      <c r="H558"/>
      <c r="I558"/>
      <c r="J558"/>
      <c r="K558"/>
    </row>
    <row r="559" spans="1:11" ht="12.75">
      <c r="A559"/>
      <c r="B559"/>
      <c r="C559"/>
      <c r="D559"/>
      <c r="E559"/>
      <c r="F559"/>
      <c r="G559"/>
      <c r="H559"/>
      <c r="I559"/>
      <c r="J559"/>
      <c r="K559"/>
    </row>
    <row r="560" spans="1:11" ht="12.75">
      <c r="A560"/>
      <c r="B560"/>
      <c r="C560"/>
      <c r="D560"/>
      <c r="E560"/>
      <c r="F560"/>
      <c r="G560"/>
      <c r="H560"/>
      <c r="I560"/>
      <c r="J560"/>
      <c r="K560"/>
    </row>
    <row r="561" spans="1:11" ht="12.75">
      <c r="A561"/>
      <c r="B561"/>
      <c r="C561"/>
      <c r="D561"/>
      <c r="E561"/>
      <c r="F561"/>
      <c r="G561"/>
      <c r="H561"/>
      <c r="I561"/>
      <c r="J561"/>
      <c r="K561"/>
    </row>
    <row r="562" spans="1:11" ht="12.75">
      <c r="A562"/>
      <c r="B562"/>
      <c r="C562"/>
      <c r="D562"/>
      <c r="E562"/>
      <c r="F562"/>
      <c r="G562"/>
      <c r="H562"/>
      <c r="I562"/>
      <c r="J562"/>
      <c r="K562"/>
    </row>
    <row r="563" spans="1:11" ht="12.75">
      <c r="A563"/>
      <c r="B563"/>
      <c r="C563"/>
      <c r="D563"/>
      <c r="E563"/>
      <c r="F563"/>
      <c r="G563"/>
      <c r="H563"/>
      <c r="I563"/>
      <c r="J563"/>
      <c r="K563"/>
    </row>
    <row r="564" spans="1:11" ht="12.75">
      <c r="A564"/>
      <c r="B564"/>
      <c r="C564"/>
      <c r="D564"/>
      <c r="E564"/>
      <c r="F564"/>
      <c r="G564"/>
      <c r="H564"/>
      <c r="I564"/>
      <c r="J564"/>
      <c r="K564"/>
    </row>
    <row r="565" spans="1:11" ht="12.75">
      <c r="A565"/>
      <c r="B565"/>
      <c r="C565"/>
      <c r="D565"/>
      <c r="E565"/>
      <c r="F565"/>
      <c r="G565"/>
      <c r="H565"/>
      <c r="I565"/>
      <c r="J565"/>
      <c r="K565"/>
    </row>
    <row r="566" spans="1:11" ht="12.75">
      <c r="A566"/>
      <c r="B566"/>
      <c r="C566"/>
      <c r="D566"/>
      <c r="E566"/>
      <c r="F566"/>
      <c r="G566"/>
      <c r="H566"/>
      <c r="I566"/>
      <c r="J566"/>
      <c r="K566"/>
    </row>
    <row r="567" spans="1:11" ht="12.75">
      <c r="A567"/>
      <c r="B567"/>
      <c r="C567"/>
      <c r="D567"/>
      <c r="E567"/>
      <c r="F567"/>
      <c r="G567"/>
      <c r="H567"/>
      <c r="I567"/>
      <c r="J567"/>
      <c r="K567"/>
    </row>
    <row r="568" spans="1:11" ht="12.75">
      <c r="A568"/>
      <c r="B568"/>
      <c r="C568"/>
      <c r="D568"/>
      <c r="E568"/>
      <c r="F568"/>
      <c r="G568"/>
      <c r="H568"/>
      <c r="I568"/>
      <c r="J568"/>
      <c r="K568"/>
    </row>
    <row r="569" spans="1:11" ht="12.75">
      <c r="A569"/>
      <c r="B569"/>
      <c r="C569"/>
      <c r="D569"/>
      <c r="E569"/>
      <c r="F569"/>
      <c r="G569"/>
      <c r="H569"/>
      <c r="I569"/>
      <c r="J569"/>
      <c r="K569"/>
    </row>
    <row r="570" spans="1:11" ht="12.75">
      <c r="A570"/>
      <c r="B570"/>
      <c r="C570"/>
      <c r="D570"/>
      <c r="E570"/>
      <c r="F570"/>
      <c r="G570"/>
      <c r="H570"/>
      <c r="I570"/>
      <c r="J570"/>
      <c r="K570"/>
    </row>
    <row r="571" spans="1:11" ht="12.75">
      <c r="A571"/>
      <c r="B571"/>
      <c r="C571"/>
      <c r="D571"/>
      <c r="E571"/>
      <c r="F571"/>
      <c r="G571"/>
      <c r="H571"/>
      <c r="I571"/>
      <c r="J571"/>
      <c r="K571"/>
    </row>
    <row r="572" spans="1:11" ht="12.75">
      <c r="A572"/>
      <c r="B572"/>
      <c r="C572"/>
      <c r="D572"/>
      <c r="E572"/>
      <c r="F572"/>
      <c r="G572"/>
      <c r="H572"/>
      <c r="I572"/>
      <c r="J572"/>
      <c r="K572"/>
    </row>
    <row r="573" spans="1:11" ht="12.75">
      <c r="A573"/>
      <c r="B573"/>
      <c r="C573"/>
      <c r="D573"/>
      <c r="E573"/>
      <c r="F573"/>
      <c r="G573"/>
      <c r="H573"/>
      <c r="I573"/>
      <c r="J573"/>
      <c r="K573"/>
    </row>
    <row r="574" spans="1:11" ht="12.75">
      <c r="A574"/>
      <c r="B574"/>
      <c r="C574"/>
      <c r="D574"/>
      <c r="E574"/>
      <c r="F574"/>
      <c r="G574"/>
      <c r="H574"/>
      <c r="I574"/>
      <c r="J574"/>
      <c r="K574"/>
    </row>
    <row r="575" spans="1:11" ht="12.75">
      <c r="A575"/>
      <c r="B575"/>
      <c r="C575"/>
      <c r="D575"/>
      <c r="E575"/>
      <c r="F575"/>
      <c r="G575"/>
      <c r="H575"/>
      <c r="I575"/>
      <c r="J575"/>
      <c r="K575"/>
    </row>
    <row r="576" spans="1:11" ht="12.75">
      <c r="A576"/>
      <c r="B576"/>
      <c r="C576"/>
      <c r="D576"/>
      <c r="E576"/>
      <c r="F576"/>
      <c r="G576"/>
      <c r="H576"/>
      <c r="I576"/>
      <c r="J576"/>
      <c r="K576"/>
    </row>
    <row r="577" spans="1:11" ht="12.75">
      <c r="A577"/>
      <c r="B577"/>
      <c r="C577"/>
      <c r="D577"/>
      <c r="E577"/>
      <c r="F577"/>
      <c r="G577"/>
      <c r="H577"/>
      <c r="I577"/>
      <c r="J577"/>
      <c r="K577"/>
    </row>
    <row r="578" spans="1:11" ht="12.75">
      <c r="A578"/>
      <c r="B578"/>
      <c r="C578"/>
      <c r="D578"/>
      <c r="E578"/>
      <c r="F578"/>
      <c r="G578"/>
      <c r="H578"/>
      <c r="I578"/>
      <c r="J578"/>
      <c r="K578"/>
    </row>
    <row r="579" spans="1:11" ht="12.75">
      <c r="A579"/>
      <c r="B579"/>
      <c r="C579"/>
      <c r="D579"/>
      <c r="E579"/>
      <c r="F579"/>
      <c r="G579"/>
      <c r="H579"/>
      <c r="I579"/>
      <c r="J579"/>
      <c r="K579"/>
    </row>
    <row r="580" spans="1:11" ht="12.75">
      <c r="A580"/>
      <c r="B580"/>
      <c r="C580"/>
      <c r="D580"/>
      <c r="E580"/>
      <c r="F580"/>
      <c r="G580"/>
      <c r="H580"/>
      <c r="I580"/>
      <c r="J580"/>
      <c r="K580"/>
    </row>
    <row r="581" spans="1:11" ht="12.75">
      <c r="A581"/>
      <c r="B581"/>
      <c r="C581"/>
      <c r="D581"/>
      <c r="E581"/>
      <c r="F581"/>
      <c r="G581"/>
      <c r="H581"/>
      <c r="I581"/>
      <c r="J581"/>
      <c r="K581"/>
    </row>
    <row r="582" spans="1:11" ht="12.75">
      <c r="A582"/>
      <c r="B582"/>
      <c r="C582"/>
      <c r="D582"/>
      <c r="E582"/>
      <c r="F582"/>
      <c r="G582"/>
      <c r="H582"/>
      <c r="I582"/>
      <c r="J582"/>
      <c r="K582"/>
    </row>
    <row r="583" spans="1:11" ht="12.75">
      <c r="A583"/>
      <c r="B583"/>
      <c r="C583"/>
      <c r="D583"/>
      <c r="E583"/>
      <c r="F583"/>
      <c r="G583"/>
      <c r="H583"/>
      <c r="I583"/>
      <c r="J583"/>
      <c r="K583"/>
    </row>
    <row r="584" spans="1:11" ht="12.75">
      <c r="A584"/>
      <c r="B584"/>
      <c r="C584"/>
      <c r="D584"/>
      <c r="E584"/>
      <c r="F584"/>
      <c r="G584"/>
      <c r="H584"/>
      <c r="I584"/>
      <c r="J584"/>
      <c r="K584"/>
    </row>
    <row r="585" spans="1:11" ht="12.75">
      <c r="A585"/>
      <c r="B585"/>
      <c r="C585"/>
      <c r="D585"/>
      <c r="E585"/>
      <c r="F585"/>
      <c r="G585"/>
      <c r="H585"/>
      <c r="I585"/>
      <c r="J585"/>
      <c r="K585"/>
    </row>
    <row r="586" spans="1:11" ht="12.75">
      <c r="A586"/>
      <c r="B586"/>
      <c r="C586"/>
      <c r="D586"/>
      <c r="E586"/>
      <c r="F586"/>
      <c r="G586"/>
      <c r="H586"/>
      <c r="I586"/>
      <c r="J586"/>
      <c r="K586"/>
    </row>
    <row r="587" spans="1:11" ht="12.75">
      <c r="A587"/>
      <c r="B587"/>
      <c r="C587"/>
      <c r="D587"/>
      <c r="E587"/>
      <c r="F587"/>
      <c r="G587"/>
      <c r="H587"/>
      <c r="I587"/>
      <c r="J587"/>
      <c r="K587"/>
    </row>
    <row r="588" spans="1:11" ht="12.75">
      <c r="A588"/>
      <c r="B588"/>
      <c r="C588"/>
      <c r="D588"/>
      <c r="E588"/>
      <c r="F588"/>
      <c r="G588"/>
      <c r="H588"/>
      <c r="I588"/>
      <c r="J588"/>
      <c r="K588"/>
    </row>
    <row r="589" spans="1:11" ht="12.75">
      <c r="A589"/>
      <c r="B589"/>
      <c r="C589"/>
      <c r="D589"/>
      <c r="E589"/>
      <c r="F589"/>
      <c r="G589"/>
      <c r="H589"/>
      <c r="I589"/>
      <c r="J589"/>
      <c r="K589"/>
    </row>
    <row r="590" spans="1:11" ht="12.75">
      <c r="A590"/>
      <c r="B590"/>
      <c r="C590"/>
      <c r="D590"/>
      <c r="E590"/>
      <c r="F590"/>
      <c r="G590"/>
      <c r="H590"/>
      <c r="I590"/>
      <c r="J590"/>
      <c r="K590"/>
    </row>
    <row r="591" spans="1:11" ht="12.75">
      <c r="A591"/>
      <c r="B591"/>
      <c r="C591"/>
      <c r="D591"/>
      <c r="E591"/>
      <c r="F591"/>
      <c r="G591"/>
      <c r="H591"/>
      <c r="I591"/>
      <c r="J591"/>
      <c r="K591"/>
    </row>
    <row r="592" spans="1:11" ht="12.75">
      <c r="A592"/>
      <c r="B592"/>
      <c r="C592"/>
      <c r="D592"/>
      <c r="E592"/>
      <c r="F592"/>
      <c r="G592"/>
      <c r="H592"/>
      <c r="I592"/>
      <c r="J592"/>
      <c r="K592"/>
    </row>
    <row r="593" spans="1:11" ht="12.75">
      <c r="A593"/>
      <c r="B593"/>
      <c r="C593"/>
      <c r="D593"/>
      <c r="E593"/>
      <c r="F593"/>
      <c r="G593"/>
      <c r="H593"/>
      <c r="I593"/>
      <c r="J593"/>
      <c r="K593"/>
    </row>
    <row r="594" spans="1:11" ht="12.75">
      <c r="A594"/>
      <c r="B594"/>
      <c r="C594"/>
      <c r="D594"/>
      <c r="E594"/>
      <c r="F594"/>
      <c r="G594"/>
      <c r="H594"/>
      <c r="I594"/>
      <c r="J594"/>
      <c r="K594"/>
    </row>
    <row r="595" spans="1:11" ht="12.75">
      <c r="A595"/>
      <c r="B595"/>
      <c r="C595"/>
      <c r="D595"/>
      <c r="E595"/>
      <c r="F595"/>
      <c r="G595"/>
      <c r="H595"/>
      <c r="I595"/>
      <c r="J595"/>
      <c r="K595"/>
    </row>
    <row r="596" spans="1:11" ht="12.75">
      <c r="A596"/>
      <c r="B596"/>
      <c r="C596"/>
      <c r="D596"/>
      <c r="E596"/>
      <c r="F596"/>
      <c r="G596"/>
      <c r="H596"/>
      <c r="I596"/>
      <c r="J596"/>
      <c r="K596"/>
    </row>
    <row r="597" spans="1:11" ht="12.75">
      <c r="A597"/>
      <c r="B597"/>
      <c r="C597"/>
      <c r="D597"/>
      <c r="E597"/>
      <c r="F597"/>
      <c r="G597"/>
      <c r="H597"/>
      <c r="I597"/>
      <c r="J597"/>
      <c r="K597"/>
    </row>
    <row r="598" spans="1:11" ht="12.75">
      <c r="A598"/>
      <c r="B598"/>
      <c r="C598"/>
      <c r="D598"/>
      <c r="E598"/>
      <c r="F598"/>
      <c r="G598"/>
      <c r="H598"/>
      <c r="I598"/>
      <c r="J598"/>
      <c r="K598"/>
    </row>
    <row r="599" spans="1:11" ht="12.75">
      <c r="A599"/>
      <c r="B599"/>
      <c r="C599"/>
      <c r="D599"/>
      <c r="E599"/>
      <c r="F599"/>
      <c r="G599"/>
      <c r="H599"/>
      <c r="I599"/>
      <c r="J599"/>
      <c r="K599"/>
    </row>
    <row r="600" spans="1:11" ht="12.75">
      <c r="A600"/>
      <c r="B600"/>
      <c r="C600"/>
      <c r="D600"/>
      <c r="E600"/>
      <c r="F600"/>
      <c r="G600"/>
      <c r="H600"/>
      <c r="I600"/>
      <c r="J600"/>
      <c r="K600"/>
    </row>
    <row r="601" spans="1:11" ht="12.75">
      <c r="A601"/>
      <c r="B601"/>
      <c r="C601"/>
      <c r="D601"/>
      <c r="E601"/>
      <c r="F601"/>
      <c r="G601"/>
      <c r="H601"/>
      <c r="I601"/>
      <c r="J601"/>
      <c r="K601"/>
    </row>
    <row r="602" spans="1:11" ht="12.75">
      <c r="A602"/>
      <c r="B602"/>
      <c r="C602"/>
      <c r="D602"/>
      <c r="E602"/>
      <c r="F602"/>
      <c r="G602"/>
      <c r="H602"/>
      <c r="I602"/>
      <c r="J602"/>
      <c r="K602"/>
    </row>
    <row r="603" spans="1:11" ht="12.75">
      <c r="A603"/>
      <c r="B603"/>
      <c r="C603"/>
      <c r="D603"/>
      <c r="E603"/>
      <c r="F603"/>
      <c r="G603"/>
      <c r="H603"/>
      <c r="I603"/>
      <c r="J603"/>
      <c r="K603"/>
    </row>
    <row r="604" spans="1:11" ht="12.75">
      <c r="A604"/>
      <c r="B604"/>
      <c r="C604"/>
      <c r="D604"/>
      <c r="E604"/>
      <c r="F604"/>
      <c r="G604"/>
      <c r="H604"/>
      <c r="I604"/>
      <c r="J604"/>
      <c r="K604"/>
    </row>
    <row r="605" spans="1:11" ht="12.75">
      <c r="A605"/>
      <c r="B605"/>
      <c r="C605"/>
      <c r="D605"/>
      <c r="E605"/>
      <c r="F605"/>
      <c r="G605"/>
      <c r="H605"/>
      <c r="I605"/>
      <c r="J605"/>
      <c r="K605"/>
    </row>
    <row r="606" spans="1:11" ht="12.75">
      <c r="A606"/>
      <c r="B606"/>
      <c r="C606"/>
      <c r="D606"/>
      <c r="E606"/>
      <c r="F606"/>
      <c r="G606"/>
      <c r="H606"/>
      <c r="I606"/>
      <c r="J606"/>
      <c r="K606"/>
    </row>
    <row r="607" spans="1:11" ht="12.75">
      <c r="A607"/>
      <c r="B607"/>
      <c r="C607"/>
      <c r="D607"/>
      <c r="E607"/>
      <c r="F607"/>
      <c r="G607"/>
      <c r="H607"/>
      <c r="I607"/>
      <c r="J607"/>
      <c r="K607"/>
    </row>
    <row r="608" spans="1:11" ht="12.75">
      <c r="A608"/>
      <c r="B608"/>
      <c r="C608"/>
      <c r="D608"/>
      <c r="E608"/>
      <c r="F608"/>
      <c r="G608"/>
      <c r="H608"/>
      <c r="I608"/>
      <c r="J608"/>
      <c r="K608"/>
    </row>
    <row r="609" spans="1:11" ht="12.75">
      <c r="A609"/>
      <c r="B609"/>
      <c r="C609"/>
      <c r="D609"/>
      <c r="E609"/>
      <c r="F609"/>
      <c r="G609"/>
      <c r="H609"/>
      <c r="I609"/>
      <c r="J609"/>
      <c r="K609"/>
    </row>
    <row r="610" spans="1:11" ht="12.75">
      <c r="A610"/>
      <c r="B610"/>
      <c r="C610"/>
      <c r="D610"/>
      <c r="E610"/>
      <c r="F610"/>
      <c r="G610"/>
      <c r="H610"/>
      <c r="I610"/>
      <c r="J610"/>
      <c r="K610"/>
    </row>
    <row r="611" spans="1:11" ht="12.75">
      <c r="A611"/>
      <c r="B611"/>
      <c r="C611"/>
      <c r="D611"/>
      <c r="E611"/>
      <c r="F611"/>
      <c r="G611"/>
      <c r="H611"/>
      <c r="I611"/>
      <c r="J611"/>
      <c r="K611"/>
    </row>
    <row r="612" spans="1:11" ht="12.75">
      <c r="A612"/>
      <c r="B612"/>
      <c r="C612"/>
      <c r="D612"/>
      <c r="E612"/>
      <c r="F612"/>
      <c r="G612"/>
      <c r="H612"/>
      <c r="I612"/>
      <c r="J612"/>
      <c r="K612"/>
    </row>
    <row r="613" spans="1:11" ht="12.75">
      <c r="A613"/>
      <c r="B613"/>
      <c r="C613"/>
      <c r="D613"/>
      <c r="E613"/>
      <c r="F613"/>
      <c r="G613"/>
      <c r="H613"/>
      <c r="I613"/>
      <c r="J613"/>
      <c r="K613"/>
    </row>
    <row r="614" spans="1:11" ht="12.75">
      <c r="A614"/>
      <c r="B614"/>
      <c r="C614"/>
      <c r="D614"/>
      <c r="E614"/>
      <c r="F614"/>
      <c r="G614"/>
      <c r="H614"/>
      <c r="I614"/>
      <c r="J614"/>
      <c r="K614"/>
    </row>
    <row r="615" spans="1:11" ht="12.75">
      <c r="A615"/>
      <c r="B615"/>
      <c r="C615"/>
      <c r="D615"/>
      <c r="E615"/>
      <c r="F615"/>
      <c r="G615"/>
      <c r="H615"/>
      <c r="I615"/>
      <c r="J615"/>
      <c r="K615"/>
    </row>
    <row r="616" spans="1:11" ht="12.75">
      <c r="A616"/>
      <c r="B616"/>
      <c r="C616"/>
      <c r="D616"/>
      <c r="E616"/>
      <c r="F616"/>
      <c r="G616"/>
      <c r="H616"/>
      <c r="I616"/>
      <c r="J616"/>
      <c r="K616"/>
    </row>
    <row r="617" spans="1:11" ht="12.75">
      <c r="A617"/>
      <c r="B617"/>
      <c r="C617"/>
      <c r="D617"/>
      <c r="E617"/>
      <c r="F617"/>
      <c r="G617"/>
      <c r="H617"/>
      <c r="I617"/>
      <c r="J617"/>
      <c r="K617"/>
    </row>
    <row r="618" spans="1:11" ht="12.75">
      <c r="A618"/>
      <c r="B618"/>
      <c r="C618"/>
      <c r="D618"/>
      <c r="E618"/>
      <c r="F618"/>
      <c r="G618"/>
      <c r="H618"/>
      <c r="I618"/>
      <c r="J618"/>
      <c r="K618"/>
    </row>
    <row r="619" spans="1:11" ht="12.75">
      <c r="A619"/>
      <c r="B619"/>
      <c r="C619"/>
      <c r="D619"/>
      <c r="E619"/>
      <c r="F619"/>
      <c r="G619"/>
      <c r="H619"/>
      <c r="I619"/>
      <c r="J619"/>
      <c r="K619"/>
    </row>
    <row r="620" spans="1:11" ht="12.75">
      <c r="A620"/>
      <c r="B620"/>
      <c r="C620"/>
      <c r="D620"/>
      <c r="E620"/>
      <c r="F620"/>
      <c r="G620"/>
      <c r="H620"/>
      <c r="I620"/>
      <c r="J620"/>
      <c r="K620"/>
    </row>
    <row r="621" spans="1:11" ht="12.75">
      <c r="A621"/>
      <c r="B621"/>
      <c r="C621"/>
      <c r="D621"/>
      <c r="E621"/>
      <c r="F621"/>
      <c r="G621"/>
      <c r="H621"/>
      <c r="I621"/>
      <c r="J621"/>
      <c r="K621"/>
    </row>
    <row r="622" spans="1:11" ht="12.75">
      <c r="A622"/>
      <c r="B622"/>
      <c r="C622"/>
      <c r="D622"/>
      <c r="E622"/>
      <c r="F622"/>
      <c r="G622"/>
      <c r="H622"/>
      <c r="I622"/>
      <c r="J622"/>
      <c r="K622"/>
    </row>
    <row r="623" spans="1:11" ht="12.75">
      <c r="A623"/>
      <c r="B623"/>
      <c r="C623"/>
      <c r="D623"/>
      <c r="E623"/>
      <c r="F623"/>
      <c r="G623"/>
      <c r="H623"/>
      <c r="I623"/>
      <c r="J623"/>
      <c r="K623"/>
    </row>
    <row r="624" spans="1:11" ht="12.75">
      <c r="A624"/>
      <c r="B624"/>
      <c r="C624"/>
      <c r="D624"/>
      <c r="E624"/>
      <c r="F624"/>
      <c r="G624"/>
      <c r="H624"/>
      <c r="I624"/>
      <c r="J624"/>
      <c r="K624"/>
    </row>
    <row r="625" spans="1:11" ht="12.75">
      <c r="A625"/>
      <c r="B625"/>
      <c r="C625"/>
      <c r="D625"/>
      <c r="E625"/>
      <c r="F625"/>
      <c r="G625"/>
      <c r="H625"/>
      <c r="I625"/>
      <c r="J625"/>
      <c r="K625"/>
    </row>
    <row r="626" spans="1:11" ht="12.75">
      <c r="A626"/>
      <c r="B626"/>
      <c r="C626"/>
      <c r="D626"/>
      <c r="E626"/>
      <c r="F626"/>
      <c r="G626"/>
      <c r="H626"/>
      <c r="I626"/>
      <c r="J626"/>
      <c r="K626"/>
    </row>
    <row r="627" spans="1:11" ht="12.75">
      <c r="A627"/>
      <c r="B627"/>
      <c r="C627"/>
      <c r="D627"/>
      <c r="E627"/>
      <c r="F627"/>
      <c r="G627"/>
      <c r="H627"/>
      <c r="I627"/>
      <c r="J627"/>
      <c r="K627"/>
    </row>
    <row r="628" spans="1:11" ht="12.75">
      <c r="A628"/>
      <c r="B628"/>
      <c r="C628"/>
      <c r="D628"/>
      <c r="E628"/>
      <c r="F628"/>
      <c r="G628"/>
      <c r="H628"/>
      <c r="I628"/>
      <c r="J628"/>
      <c r="K628"/>
    </row>
    <row r="629" spans="1:11" ht="12.75">
      <c r="A629"/>
      <c r="B629"/>
      <c r="C629"/>
      <c r="D629"/>
      <c r="E629"/>
      <c r="F629"/>
      <c r="G629"/>
      <c r="H629"/>
      <c r="I629"/>
      <c r="J629"/>
      <c r="K629"/>
    </row>
    <row r="630" spans="1:11" ht="12.75">
      <c r="A630"/>
      <c r="B630"/>
      <c r="C630"/>
      <c r="D630"/>
      <c r="E630"/>
      <c r="F630"/>
      <c r="G630"/>
      <c r="H630"/>
      <c r="I630"/>
      <c r="J630"/>
      <c r="K630"/>
    </row>
    <row r="631" spans="1:11" ht="12.75">
      <c r="A631"/>
      <c r="B631"/>
      <c r="C631"/>
      <c r="D631"/>
      <c r="E631"/>
      <c r="F631"/>
      <c r="G631"/>
      <c r="H631"/>
      <c r="I631"/>
      <c r="J631"/>
      <c r="K631"/>
    </row>
    <row r="632" spans="1:11" ht="12.75">
      <c r="A632"/>
      <c r="B632"/>
      <c r="C632"/>
      <c r="D632"/>
      <c r="E632"/>
      <c r="F632"/>
      <c r="G632"/>
      <c r="H632"/>
      <c r="I632"/>
      <c r="J632"/>
      <c r="K632"/>
    </row>
    <row r="633" spans="1:11" ht="12.75">
      <c r="A633"/>
      <c r="B633"/>
      <c r="C633"/>
      <c r="D633"/>
      <c r="E633"/>
      <c r="F633"/>
      <c r="G633"/>
      <c r="H633"/>
      <c r="I633"/>
      <c r="J633"/>
      <c r="K633"/>
    </row>
    <row r="634" spans="1:11" ht="12.75">
      <c r="A634"/>
      <c r="B634"/>
      <c r="C634"/>
      <c r="D634"/>
      <c r="E634"/>
      <c r="F634"/>
      <c r="G634"/>
      <c r="H634"/>
      <c r="I634"/>
      <c r="J634"/>
      <c r="K634"/>
    </row>
    <row r="635" spans="1:11" ht="12.75">
      <c r="A635"/>
      <c r="B635"/>
      <c r="C635"/>
      <c r="D635"/>
      <c r="E635"/>
      <c r="F635"/>
      <c r="G635"/>
      <c r="H635"/>
      <c r="I635"/>
      <c r="J635"/>
      <c r="K635"/>
    </row>
    <row r="636" spans="1:11" ht="12.75">
      <c r="A636"/>
      <c r="B636"/>
      <c r="C636"/>
      <c r="D636"/>
      <c r="E636"/>
      <c r="F636"/>
      <c r="G636"/>
      <c r="H636"/>
      <c r="I636"/>
      <c r="J636"/>
      <c r="K636"/>
    </row>
    <row r="637" spans="1:11" ht="12.75">
      <c r="A637"/>
      <c r="B637"/>
      <c r="C637"/>
      <c r="D637"/>
      <c r="E637"/>
      <c r="F637"/>
      <c r="G637"/>
      <c r="H637"/>
      <c r="I637"/>
      <c r="J637"/>
      <c r="K637"/>
    </row>
    <row r="638" spans="1:11" ht="12.75">
      <c r="A638"/>
      <c r="B638"/>
      <c r="C638"/>
      <c r="D638"/>
      <c r="E638"/>
      <c r="F638"/>
      <c r="G638"/>
      <c r="H638"/>
      <c r="I638"/>
      <c r="J638"/>
      <c r="K638"/>
    </row>
    <row r="639" spans="1:11" ht="12.75">
      <c r="A639"/>
      <c r="B639"/>
      <c r="C639"/>
      <c r="D639"/>
      <c r="E639"/>
      <c r="F639"/>
      <c r="G639"/>
      <c r="H639"/>
      <c r="I639"/>
      <c r="J639"/>
      <c r="K639"/>
    </row>
    <row r="640" spans="1:11" ht="12.75">
      <c r="A640"/>
      <c r="B640"/>
      <c r="C640"/>
      <c r="D640"/>
      <c r="E640"/>
      <c r="F640"/>
      <c r="G640"/>
      <c r="H640"/>
      <c r="I640"/>
      <c r="J640"/>
      <c r="K640"/>
    </row>
    <row r="641" spans="1:11" ht="12.75">
      <c r="A641"/>
      <c r="B641"/>
      <c r="C641"/>
      <c r="D641"/>
      <c r="E641"/>
      <c r="F641"/>
      <c r="G641"/>
      <c r="H641"/>
      <c r="I641"/>
      <c r="J641"/>
      <c r="K641"/>
    </row>
    <row r="642" spans="1:11" ht="12.75">
      <c r="A642"/>
      <c r="B642"/>
      <c r="C642"/>
      <c r="D642"/>
      <c r="E642"/>
      <c r="F642"/>
      <c r="G642"/>
      <c r="H642"/>
      <c r="I642"/>
      <c r="J642"/>
      <c r="K642"/>
    </row>
    <row r="643" spans="1:11" ht="12.75">
      <c r="A643"/>
      <c r="B643"/>
      <c r="C643"/>
      <c r="D643"/>
      <c r="E643"/>
      <c r="F643"/>
      <c r="G643"/>
      <c r="H643"/>
      <c r="I643"/>
      <c r="J643"/>
      <c r="K643"/>
    </row>
    <row r="644" spans="1:11" ht="12.75">
      <c r="A644"/>
      <c r="B644"/>
      <c r="C644"/>
      <c r="D644"/>
      <c r="E644"/>
      <c r="F644"/>
      <c r="G644"/>
      <c r="H644"/>
      <c r="I644"/>
      <c r="J644"/>
      <c r="K644"/>
    </row>
    <row r="645" spans="1:11" ht="12.75">
      <c r="A645"/>
      <c r="B645"/>
      <c r="C645"/>
      <c r="D645"/>
      <c r="E645"/>
      <c r="F645"/>
      <c r="G645"/>
      <c r="H645"/>
      <c r="I645"/>
      <c r="J645"/>
      <c r="K645"/>
    </row>
    <row r="646" spans="1:11" ht="12.75">
      <c r="A646"/>
      <c r="B646"/>
      <c r="C646"/>
      <c r="D646"/>
      <c r="E646"/>
      <c r="F646"/>
      <c r="G646"/>
      <c r="H646"/>
      <c r="I646"/>
      <c r="J646"/>
      <c r="K646"/>
    </row>
    <row r="647" spans="1:11" ht="12.75">
      <c r="A647"/>
      <c r="B647"/>
      <c r="C647"/>
      <c r="D647"/>
      <c r="E647"/>
      <c r="F647"/>
      <c r="G647"/>
      <c r="H647"/>
      <c r="I647"/>
      <c r="J647"/>
      <c r="K647"/>
    </row>
    <row r="648" spans="1:11" ht="12.75">
      <c r="A648"/>
      <c r="B648"/>
      <c r="C648"/>
      <c r="D648"/>
      <c r="E648"/>
      <c r="F648"/>
      <c r="G648"/>
      <c r="H648"/>
      <c r="I648"/>
      <c r="J648"/>
      <c r="K648"/>
    </row>
    <row r="649" spans="1:11" ht="12.75">
      <c r="A649"/>
      <c r="B649"/>
      <c r="C649"/>
      <c r="D649"/>
      <c r="E649"/>
      <c r="F649"/>
      <c r="G649"/>
      <c r="H649"/>
      <c r="I649"/>
      <c r="J649"/>
      <c r="K649"/>
    </row>
    <row r="650" spans="1:11" ht="12.75">
      <c r="A650"/>
      <c r="B650"/>
      <c r="C650"/>
      <c r="D650"/>
      <c r="E650"/>
      <c r="F650"/>
      <c r="G650"/>
      <c r="H650"/>
      <c r="I650"/>
      <c r="J650"/>
      <c r="K650"/>
    </row>
    <row r="651" spans="1:11" ht="12.75">
      <c r="A651"/>
      <c r="B651"/>
      <c r="C651"/>
      <c r="D651"/>
      <c r="E651"/>
      <c r="F651"/>
      <c r="G651"/>
      <c r="H651"/>
      <c r="I651"/>
      <c r="J651"/>
      <c r="K651"/>
    </row>
    <row r="652" spans="1:11" ht="12.75">
      <c r="A652"/>
      <c r="B652"/>
      <c r="C652"/>
      <c r="D652"/>
      <c r="E652"/>
      <c r="F652"/>
      <c r="G652"/>
      <c r="H652"/>
      <c r="I652"/>
      <c r="J652"/>
      <c r="K652"/>
    </row>
    <row r="653" spans="1:11" ht="12.75">
      <c r="A653"/>
      <c r="B653"/>
      <c r="C653"/>
      <c r="D653"/>
      <c r="E653"/>
      <c r="F653"/>
      <c r="G653"/>
      <c r="H653"/>
      <c r="I653"/>
      <c r="J653"/>
      <c r="K653"/>
    </row>
    <row r="654" spans="1:11" ht="12.75">
      <c r="A654"/>
      <c r="B654"/>
      <c r="C654"/>
      <c r="D654"/>
      <c r="E654"/>
      <c r="F654"/>
      <c r="G654"/>
      <c r="H654"/>
      <c r="I654"/>
      <c r="J654"/>
      <c r="K654"/>
    </row>
    <row r="655" spans="1:11" ht="12.75">
      <c r="A655"/>
      <c r="B655"/>
      <c r="C655"/>
      <c r="D655"/>
      <c r="E655"/>
      <c r="F655"/>
      <c r="G655"/>
      <c r="H655"/>
      <c r="I655"/>
      <c r="J655"/>
      <c r="K655"/>
    </row>
    <row r="656" spans="1:11" ht="12.75">
      <c r="A656"/>
      <c r="B656"/>
      <c r="C656"/>
      <c r="D656"/>
      <c r="E656"/>
      <c r="F656"/>
      <c r="G656"/>
      <c r="H656"/>
      <c r="I656"/>
      <c r="J656"/>
      <c r="K656"/>
    </row>
    <row r="657" spans="1:11" ht="12.75">
      <c r="A657"/>
      <c r="B657"/>
      <c r="C657"/>
      <c r="D657"/>
      <c r="E657"/>
      <c r="F657"/>
      <c r="G657"/>
      <c r="H657"/>
      <c r="I657"/>
      <c r="J657"/>
      <c r="K657"/>
    </row>
    <row r="658" spans="1:11" ht="12.75">
      <c r="A658"/>
      <c r="B658"/>
      <c r="C658"/>
      <c r="D658"/>
      <c r="E658"/>
      <c r="F658"/>
      <c r="G658"/>
      <c r="H658"/>
      <c r="I658"/>
      <c r="J658"/>
      <c r="K658"/>
    </row>
    <row r="659" spans="1:11" ht="12.75">
      <c r="A659"/>
      <c r="B659"/>
      <c r="C659"/>
      <c r="D659"/>
      <c r="E659"/>
      <c r="F659"/>
      <c r="G659"/>
      <c r="H659"/>
      <c r="I659"/>
      <c r="J659"/>
      <c r="K659"/>
    </row>
    <row r="660" spans="1:11" ht="12.75">
      <c r="A660"/>
      <c r="B660"/>
      <c r="C660"/>
      <c r="D660"/>
      <c r="E660"/>
      <c r="F660"/>
      <c r="G660"/>
      <c r="H660"/>
      <c r="I660"/>
      <c r="J660"/>
      <c r="K660"/>
    </row>
    <row r="661" spans="1:11" ht="12.75">
      <c r="A661"/>
      <c r="B661"/>
      <c r="C661"/>
      <c r="D661"/>
      <c r="E661"/>
      <c r="F661"/>
      <c r="G661"/>
      <c r="H661"/>
      <c r="I661"/>
      <c r="J661"/>
      <c r="K661"/>
    </row>
    <row r="662" spans="1:11" ht="12.75">
      <c r="A662"/>
      <c r="B662"/>
      <c r="C662"/>
      <c r="D662"/>
      <c r="E662"/>
      <c r="F662"/>
      <c r="G662"/>
      <c r="H662"/>
      <c r="I662"/>
      <c r="J662"/>
      <c r="K662"/>
    </row>
    <row r="663" spans="1:11" ht="12.75">
      <c r="A663"/>
      <c r="B663"/>
      <c r="C663"/>
      <c r="D663"/>
      <c r="E663"/>
      <c r="F663"/>
      <c r="G663"/>
      <c r="H663"/>
      <c r="I663"/>
      <c r="J663"/>
      <c r="K663"/>
    </row>
    <row r="664" spans="1:11" ht="12.75">
      <c r="A664"/>
      <c r="B664"/>
      <c r="C664"/>
      <c r="D664"/>
      <c r="E664"/>
      <c r="F664"/>
      <c r="G664"/>
      <c r="H664"/>
      <c r="I664"/>
      <c r="J664"/>
      <c r="K664"/>
    </row>
    <row r="665" spans="1:11" ht="12.75">
      <c r="A665"/>
      <c r="B665"/>
      <c r="C665"/>
      <c r="D665"/>
      <c r="E665"/>
      <c r="F665"/>
      <c r="G665"/>
      <c r="H665"/>
      <c r="I665"/>
      <c r="J665"/>
      <c r="K665"/>
    </row>
    <row r="666" spans="1:11" ht="12.75">
      <c r="A666"/>
      <c r="B666"/>
      <c r="C666"/>
      <c r="D666"/>
      <c r="E666"/>
      <c r="F666"/>
      <c r="G666"/>
      <c r="H666"/>
      <c r="I666"/>
      <c r="J666"/>
      <c r="K666"/>
    </row>
    <row r="667" spans="1:11" ht="12.75">
      <c r="A667"/>
      <c r="B667"/>
      <c r="C667"/>
      <c r="D667"/>
      <c r="E667"/>
      <c r="F667"/>
      <c r="G667"/>
      <c r="H667"/>
      <c r="I667"/>
      <c r="J667"/>
      <c r="K667"/>
    </row>
    <row r="668" spans="1:11" ht="12.75">
      <c r="A668"/>
      <c r="B668"/>
      <c r="C668"/>
      <c r="D668"/>
      <c r="E668"/>
      <c r="F668"/>
      <c r="G668"/>
      <c r="H668"/>
      <c r="I668"/>
      <c r="J668"/>
      <c r="K668"/>
    </row>
    <row r="669" spans="1:11" ht="12.75">
      <c r="A669"/>
      <c r="B669"/>
      <c r="C669"/>
      <c r="D669"/>
      <c r="E669"/>
      <c r="F669"/>
      <c r="G669"/>
      <c r="H669"/>
      <c r="I669"/>
      <c r="J669"/>
      <c r="K669"/>
    </row>
    <row r="670" spans="1:11" ht="12.75">
      <c r="A670"/>
      <c r="B670"/>
      <c r="C670"/>
      <c r="D670"/>
      <c r="E670"/>
      <c r="F670"/>
      <c r="G670"/>
      <c r="H670"/>
      <c r="I670"/>
      <c r="J670"/>
      <c r="K670"/>
    </row>
    <row r="671" spans="1:11" ht="12.75">
      <c r="A671"/>
      <c r="B671"/>
      <c r="C671"/>
      <c r="D671"/>
      <c r="E671"/>
      <c r="F671"/>
      <c r="G671"/>
      <c r="H671"/>
      <c r="I671"/>
      <c r="J671"/>
      <c r="K671"/>
    </row>
    <row r="672" spans="1:11" ht="12.75">
      <c r="A672"/>
      <c r="B672"/>
      <c r="C672"/>
      <c r="D672"/>
      <c r="E672"/>
      <c r="F672"/>
      <c r="G672"/>
      <c r="H672"/>
      <c r="I672"/>
      <c r="J672"/>
      <c r="K672"/>
    </row>
    <row r="673" spans="1:11" ht="12.75">
      <c r="A673"/>
      <c r="B673"/>
      <c r="C673"/>
      <c r="D673"/>
      <c r="E673"/>
      <c r="F673"/>
      <c r="G673"/>
      <c r="H673"/>
      <c r="I673"/>
      <c r="J673"/>
      <c r="K673"/>
    </row>
    <row r="674" spans="1:11" ht="12.75">
      <c r="A674"/>
      <c r="B674"/>
      <c r="C674"/>
      <c r="D674"/>
      <c r="E674"/>
      <c r="F674"/>
      <c r="G674"/>
      <c r="H674"/>
      <c r="I674"/>
      <c r="J674"/>
      <c r="K674"/>
    </row>
    <row r="675" spans="1:11" ht="12.75">
      <c r="A675"/>
      <c r="B675"/>
      <c r="C675"/>
      <c r="D675"/>
      <c r="E675"/>
      <c r="F675"/>
      <c r="G675"/>
      <c r="H675"/>
      <c r="I675"/>
      <c r="J675"/>
      <c r="K675"/>
    </row>
    <row r="676" spans="1:11" ht="12.75">
      <c r="A676"/>
      <c r="B676"/>
      <c r="C676"/>
      <c r="D676"/>
      <c r="E676"/>
      <c r="F676"/>
      <c r="G676"/>
      <c r="H676"/>
      <c r="I676"/>
      <c r="J676"/>
      <c r="K676"/>
    </row>
    <row r="677" spans="1:11" ht="12.75">
      <c r="A677"/>
      <c r="B677"/>
      <c r="C677"/>
      <c r="D677"/>
      <c r="E677"/>
      <c r="F677"/>
      <c r="G677"/>
      <c r="H677"/>
      <c r="I677"/>
      <c r="J677"/>
      <c r="K677"/>
    </row>
    <row r="678" spans="1:11" ht="12.75">
      <c r="A678"/>
      <c r="B678"/>
      <c r="C678"/>
      <c r="D678"/>
      <c r="E678"/>
      <c r="F678"/>
      <c r="G678"/>
      <c r="H678"/>
      <c r="I678"/>
      <c r="J678"/>
      <c r="K678"/>
    </row>
    <row r="679" spans="1:11" ht="12.75">
      <c r="A679"/>
      <c r="B679"/>
      <c r="C679"/>
      <c r="D679"/>
      <c r="E679"/>
      <c r="F679"/>
      <c r="G679"/>
      <c r="H679"/>
      <c r="I679"/>
      <c r="J679"/>
      <c r="K679"/>
    </row>
    <row r="680" spans="1:11" ht="12.75">
      <c r="A680"/>
      <c r="B680"/>
      <c r="C680"/>
      <c r="D680"/>
      <c r="E680"/>
      <c r="F680"/>
      <c r="G680"/>
      <c r="H680"/>
      <c r="I680"/>
      <c r="J680"/>
      <c r="K680"/>
    </row>
    <row r="681" spans="1:11" ht="12.75">
      <c r="A681"/>
      <c r="B681"/>
      <c r="C681"/>
      <c r="D681"/>
      <c r="E681"/>
      <c r="F681"/>
      <c r="G681"/>
      <c r="H681"/>
      <c r="I681"/>
      <c r="J681"/>
      <c r="K681"/>
    </row>
    <row r="682" spans="1:11" ht="12.75">
      <c r="A682"/>
      <c r="B682"/>
      <c r="C682"/>
      <c r="D682"/>
      <c r="E682"/>
      <c r="F682"/>
      <c r="G682"/>
      <c r="H682"/>
      <c r="I682"/>
      <c r="J682"/>
      <c r="K682"/>
    </row>
    <row r="683" spans="1:11" ht="12.75">
      <c r="A683"/>
      <c r="B683"/>
      <c r="C683"/>
      <c r="D683"/>
      <c r="E683"/>
      <c r="F683"/>
      <c r="G683"/>
      <c r="H683"/>
      <c r="I683"/>
      <c r="J683"/>
      <c r="K683"/>
    </row>
    <row r="684" spans="1:11" ht="12.75">
      <c r="A684"/>
      <c r="B684"/>
      <c r="C684"/>
      <c r="D684"/>
      <c r="E684"/>
      <c r="F684"/>
      <c r="G684"/>
      <c r="H684"/>
      <c r="I684"/>
      <c r="J684"/>
      <c r="K684"/>
    </row>
    <row r="685" spans="1:11" ht="12.75">
      <c r="A685"/>
      <c r="B685"/>
      <c r="C685"/>
      <c r="D685"/>
      <c r="E685"/>
      <c r="F685"/>
      <c r="G685"/>
      <c r="H685"/>
      <c r="I685"/>
      <c r="J685"/>
      <c r="K685"/>
    </row>
    <row r="686" spans="1:11" ht="12.75">
      <c r="A686"/>
      <c r="B686"/>
      <c r="C686"/>
      <c r="D686"/>
      <c r="E686"/>
      <c r="F686"/>
      <c r="G686"/>
      <c r="H686"/>
      <c r="I686"/>
      <c r="J686"/>
      <c r="K686"/>
    </row>
    <row r="687" spans="1:11" ht="12.75">
      <c r="A687"/>
      <c r="B687"/>
      <c r="C687"/>
      <c r="D687"/>
      <c r="E687"/>
      <c r="F687"/>
      <c r="G687"/>
      <c r="H687"/>
      <c r="I687"/>
      <c r="J687"/>
      <c r="K687"/>
    </row>
    <row r="688" spans="1:11" ht="12.75">
      <c r="A688"/>
      <c r="B688"/>
      <c r="C688"/>
      <c r="D688"/>
      <c r="E688"/>
      <c r="F688"/>
      <c r="G688"/>
      <c r="H688"/>
      <c r="I688"/>
      <c r="J688"/>
      <c r="K688"/>
    </row>
    <row r="689" spans="1:11" ht="12.75">
      <c r="A689"/>
      <c r="B689"/>
      <c r="C689"/>
      <c r="D689"/>
      <c r="E689"/>
      <c r="F689"/>
      <c r="G689"/>
      <c r="H689"/>
      <c r="I689"/>
      <c r="J689"/>
      <c r="K689"/>
    </row>
    <row r="690" spans="1:11" ht="12.75">
      <c r="A690"/>
      <c r="B690"/>
      <c r="C690"/>
      <c r="D690"/>
      <c r="E690"/>
      <c r="F690"/>
      <c r="G690"/>
      <c r="H690"/>
      <c r="I690"/>
      <c r="J690"/>
      <c r="K690"/>
    </row>
    <row r="691" spans="1:11" ht="12.75">
      <c r="A691"/>
      <c r="B691"/>
      <c r="C691"/>
      <c r="D691"/>
      <c r="E691"/>
      <c r="F691"/>
      <c r="G691"/>
      <c r="H691"/>
      <c r="I691"/>
      <c r="J691"/>
      <c r="K691"/>
    </row>
    <row r="692" spans="1:11" ht="12.75">
      <c r="A692"/>
      <c r="B692"/>
      <c r="C692"/>
      <c r="D692"/>
      <c r="E692"/>
      <c r="F692"/>
      <c r="G692"/>
      <c r="H692"/>
      <c r="I692"/>
      <c r="J692"/>
      <c r="K692"/>
    </row>
    <row r="693" spans="1:11" ht="12.75">
      <c r="A693"/>
      <c r="B693"/>
      <c r="C693"/>
      <c r="D693"/>
      <c r="E693"/>
      <c r="F693"/>
      <c r="G693"/>
      <c r="H693"/>
      <c r="I693"/>
      <c r="J693"/>
      <c r="K693"/>
    </row>
    <row r="694" spans="1:11" ht="12.75">
      <c r="A694"/>
      <c r="B694"/>
      <c r="C694"/>
      <c r="D694"/>
      <c r="E694"/>
      <c r="F694"/>
      <c r="G694"/>
      <c r="H694"/>
      <c r="I694"/>
      <c r="J694"/>
      <c r="K694"/>
    </row>
    <row r="695" spans="1:11" ht="12.75">
      <c r="A695"/>
      <c r="B695"/>
      <c r="C695"/>
      <c r="D695"/>
      <c r="E695"/>
      <c r="F695"/>
      <c r="G695"/>
      <c r="H695"/>
      <c r="I695"/>
      <c r="J695"/>
      <c r="K695"/>
    </row>
    <row r="696" spans="1:11" ht="12.75">
      <c r="A696"/>
      <c r="B696"/>
      <c r="C696"/>
      <c r="D696"/>
      <c r="E696"/>
      <c r="F696"/>
      <c r="G696"/>
      <c r="H696"/>
      <c r="I696"/>
      <c r="J696"/>
      <c r="K696"/>
    </row>
    <row r="697" spans="1:11" ht="12.75">
      <c r="A697"/>
      <c r="B697"/>
      <c r="C697"/>
      <c r="D697"/>
      <c r="E697"/>
      <c r="F697"/>
      <c r="G697"/>
      <c r="H697"/>
      <c r="I697"/>
      <c r="J697"/>
      <c r="K697"/>
    </row>
    <row r="698" spans="1:11" ht="12.75">
      <c r="A698"/>
      <c r="B698"/>
      <c r="C698"/>
      <c r="D698"/>
      <c r="E698"/>
      <c r="F698"/>
      <c r="G698"/>
      <c r="H698"/>
      <c r="I698"/>
      <c r="J698"/>
      <c r="K698"/>
    </row>
    <row r="699" spans="1:11" ht="12.75">
      <c r="A699"/>
      <c r="B699"/>
      <c r="C699"/>
      <c r="D699"/>
      <c r="E699"/>
      <c r="F699"/>
      <c r="G699"/>
      <c r="H699"/>
      <c r="I699"/>
      <c r="J699"/>
      <c r="K699"/>
    </row>
    <row r="700" spans="1:11" ht="12.75">
      <c r="A700"/>
      <c r="B700"/>
      <c r="C700"/>
      <c r="D700"/>
      <c r="E700"/>
      <c r="F700"/>
      <c r="G700"/>
      <c r="H700"/>
      <c r="I700"/>
      <c r="J700"/>
      <c r="K700"/>
    </row>
    <row r="701" spans="1:11" ht="12.75">
      <c r="A701"/>
      <c r="B701"/>
      <c r="C701"/>
      <c r="D701"/>
      <c r="E701"/>
      <c r="F701"/>
      <c r="G701"/>
      <c r="H701"/>
      <c r="I701"/>
      <c r="J701"/>
      <c r="K701"/>
    </row>
    <row r="702" spans="1:11" ht="12.75">
      <c r="A702"/>
      <c r="B702"/>
      <c r="C702"/>
      <c r="D702"/>
      <c r="E702"/>
      <c r="F702"/>
      <c r="G702"/>
      <c r="H702"/>
      <c r="I702"/>
      <c r="J702"/>
      <c r="K702"/>
    </row>
    <row r="703" spans="1:11" ht="12.75">
      <c r="A703"/>
      <c r="B703"/>
      <c r="C703"/>
      <c r="D703"/>
      <c r="E703"/>
      <c r="F703"/>
      <c r="G703"/>
      <c r="H703"/>
      <c r="I703"/>
      <c r="J703"/>
      <c r="K703"/>
    </row>
    <row r="704" spans="1:11" ht="12.75">
      <c r="A704"/>
      <c r="B704"/>
      <c r="C704"/>
      <c r="D704"/>
      <c r="E704"/>
      <c r="F704"/>
      <c r="G704"/>
      <c r="H704"/>
      <c r="I704"/>
      <c r="J704"/>
      <c r="K704"/>
    </row>
    <row r="705" spans="1:11" ht="12.75">
      <c r="A705"/>
      <c r="B705"/>
      <c r="C705"/>
      <c r="D705"/>
      <c r="E705"/>
      <c r="F705"/>
      <c r="G705"/>
      <c r="H705"/>
      <c r="I705"/>
      <c r="J705"/>
      <c r="K705"/>
    </row>
    <row r="706" spans="1:11" ht="12.75">
      <c r="A706"/>
      <c r="B706"/>
      <c r="C706"/>
      <c r="D706"/>
      <c r="E706"/>
      <c r="F706"/>
      <c r="G706"/>
      <c r="H706"/>
      <c r="I706"/>
      <c r="J706"/>
      <c r="K706"/>
    </row>
    <row r="707" spans="1:11" ht="12.75">
      <c r="A707"/>
      <c r="B707"/>
      <c r="C707"/>
      <c r="D707"/>
      <c r="E707"/>
      <c r="F707"/>
      <c r="G707"/>
      <c r="H707"/>
      <c r="I707"/>
      <c r="J707"/>
      <c r="K707"/>
    </row>
    <row r="708" spans="1:11" ht="12.75">
      <c r="A708"/>
      <c r="B708"/>
      <c r="C708"/>
      <c r="D708"/>
      <c r="E708"/>
      <c r="F708"/>
      <c r="G708"/>
      <c r="H708"/>
      <c r="I708"/>
      <c r="J708"/>
      <c r="K708"/>
    </row>
    <row r="709" spans="1:11" ht="12.75">
      <c r="A709"/>
      <c r="B709"/>
      <c r="C709"/>
      <c r="D709"/>
      <c r="E709"/>
      <c r="F709"/>
      <c r="G709"/>
      <c r="H709"/>
      <c r="I709"/>
      <c r="J709"/>
      <c r="K709"/>
    </row>
    <row r="710" spans="1:11" ht="12.75">
      <c r="A710"/>
      <c r="B710"/>
      <c r="C710"/>
      <c r="D710"/>
      <c r="E710"/>
      <c r="F710"/>
      <c r="G710"/>
      <c r="H710"/>
      <c r="I710"/>
      <c r="J710"/>
      <c r="K710"/>
    </row>
    <row r="711" spans="1:11" ht="12.75">
      <c r="A711"/>
      <c r="B711"/>
      <c r="C711"/>
      <c r="D711"/>
      <c r="E711"/>
      <c r="F711"/>
      <c r="G711"/>
      <c r="H711"/>
      <c r="I711"/>
      <c r="J711"/>
      <c r="K711"/>
    </row>
    <row r="712" spans="1:11" ht="12.75">
      <c r="A712"/>
      <c r="B712"/>
      <c r="C712"/>
      <c r="D712"/>
      <c r="E712"/>
      <c r="F712"/>
      <c r="G712"/>
      <c r="H712"/>
      <c r="I712"/>
      <c r="J712"/>
      <c r="K712"/>
    </row>
    <row r="713" spans="1:11" ht="12.75">
      <c r="A713"/>
      <c r="B713"/>
      <c r="C713"/>
      <c r="D713"/>
      <c r="E713"/>
      <c r="F713"/>
      <c r="G713"/>
      <c r="H713"/>
      <c r="I713"/>
      <c r="J713"/>
      <c r="K713"/>
    </row>
    <row r="714" spans="1:11" ht="12.75">
      <c r="A714"/>
      <c r="B714"/>
      <c r="C714"/>
      <c r="D714"/>
      <c r="E714"/>
      <c r="F714"/>
      <c r="G714"/>
      <c r="H714"/>
      <c r="I714"/>
      <c r="J714"/>
      <c r="K714"/>
    </row>
    <row r="715" spans="1:11" ht="12.75">
      <c r="A715"/>
      <c r="B715"/>
      <c r="C715"/>
      <c r="D715"/>
      <c r="E715"/>
      <c r="F715"/>
      <c r="G715"/>
      <c r="H715"/>
      <c r="I715"/>
      <c r="J715"/>
      <c r="K715"/>
    </row>
    <row r="716" spans="1:11" ht="12.75">
      <c r="A716"/>
      <c r="B716"/>
      <c r="C716"/>
      <c r="D716"/>
      <c r="E716"/>
      <c r="F716"/>
      <c r="G716"/>
      <c r="H716"/>
      <c r="I716"/>
      <c r="J716"/>
      <c r="K716"/>
    </row>
    <row r="717" spans="1:11" ht="12.75">
      <c r="A717"/>
      <c r="B717"/>
      <c r="C717"/>
      <c r="D717"/>
      <c r="E717"/>
      <c r="F717"/>
      <c r="G717"/>
      <c r="H717"/>
      <c r="I717"/>
      <c r="J717"/>
      <c r="K717"/>
    </row>
    <row r="718" spans="1:11" ht="12.75">
      <c r="A718"/>
      <c r="B718"/>
      <c r="C718"/>
      <c r="D718"/>
      <c r="E718"/>
      <c r="F718"/>
      <c r="G718"/>
      <c r="H718"/>
      <c r="I718"/>
      <c r="J718"/>
      <c r="K718"/>
    </row>
    <row r="719" spans="1:11" ht="12.75">
      <c r="A719"/>
      <c r="B719"/>
      <c r="C719"/>
      <c r="D719"/>
      <c r="E719"/>
      <c r="F719"/>
      <c r="G719"/>
      <c r="H719"/>
      <c r="I719"/>
      <c r="J719"/>
      <c r="K719"/>
    </row>
    <row r="720" spans="1:11" ht="12.75">
      <c r="A720"/>
      <c r="B720"/>
      <c r="C720"/>
      <c r="D720"/>
      <c r="E720"/>
      <c r="F720"/>
      <c r="G720"/>
      <c r="H720"/>
      <c r="I720"/>
      <c r="J720"/>
      <c r="K720"/>
    </row>
    <row r="721" spans="1:11" ht="12.75">
      <c r="A721"/>
      <c r="B721"/>
      <c r="C721"/>
      <c r="D721"/>
      <c r="E721"/>
      <c r="F721"/>
      <c r="G721"/>
      <c r="H721"/>
      <c r="I721"/>
      <c r="J721"/>
      <c r="K721"/>
    </row>
    <row r="722" spans="1:11" ht="12.75">
      <c r="A722"/>
      <c r="B722"/>
      <c r="C722"/>
      <c r="D722"/>
      <c r="E722"/>
      <c r="F722"/>
      <c r="G722"/>
      <c r="H722"/>
      <c r="I722"/>
      <c r="J722"/>
      <c r="K722"/>
    </row>
    <row r="723" spans="1:11" ht="12.75">
      <c r="A723"/>
      <c r="B723"/>
      <c r="C723"/>
      <c r="D723"/>
      <c r="E723"/>
      <c r="F723"/>
      <c r="G723"/>
      <c r="H723"/>
      <c r="I723"/>
      <c r="J723"/>
      <c r="K723"/>
    </row>
    <row r="724" spans="1:11" ht="12.75">
      <c r="A724"/>
      <c r="B724"/>
      <c r="C724"/>
      <c r="D724"/>
      <c r="E724"/>
      <c r="F724"/>
      <c r="G724"/>
      <c r="H724"/>
      <c r="I724"/>
      <c r="J724"/>
      <c r="K724"/>
    </row>
    <row r="725" spans="1:11" ht="12.75">
      <c r="A725"/>
      <c r="B725"/>
      <c r="C725"/>
      <c r="D725"/>
      <c r="E725"/>
      <c r="F725"/>
      <c r="G725"/>
      <c r="H725"/>
      <c r="I725"/>
      <c r="J725"/>
      <c r="K725"/>
    </row>
    <row r="726" spans="1:11" ht="12.75">
      <c r="A726"/>
      <c r="B726"/>
      <c r="C726"/>
      <c r="D726"/>
      <c r="E726"/>
      <c r="F726"/>
      <c r="G726"/>
      <c r="H726"/>
      <c r="I726"/>
      <c r="J726"/>
      <c r="K726"/>
    </row>
    <row r="727" spans="1:11" ht="12.75">
      <c r="A727"/>
      <c r="B727"/>
      <c r="C727"/>
      <c r="D727"/>
      <c r="E727"/>
      <c r="F727"/>
      <c r="G727"/>
      <c r="H727"/>
      <c r="I727"/>
      <c r="J727"/>
      <c r="K727"/>
    </row>
    <row r="728" spans="1:11" ht="12.75">
      <c r="A728"/>
      <c r="B728"/>
      <c r="C728"/>
      <c r="D728"/>
      <c r="E728"/>
      <c r="F728"/>
      <c r="G728"/>
      <c r="H728"/>
      <c r="I728"/>
      <c r="J728"/>
      <c r="K728"/>
    </row>
    <row r="729" spans="1:11" ht="12.75">
      <c r="A729"/>
      <c r="B729"/>
      <c r="C729"/>
      <c r="D729"/>
      <c r="E729"/>
      <c r="F729"/>
      <c r="G729"/>
      <c r="H729"/>
      <c r="I729"/>
      <c r="J729"/>
      <c r="K729"/>
    </row>
    <row r="730" spans="1:11" ht="12.75">
      <c r="A730"/>
      <c r="B730"/>
      <c r="C730"/>
      <c r="D730"/>
      <c r="E730"/>
      <c r="F730"/>
      <c r="G730"/>
      <c r="H730"/>
      <c r="I730"/>
      <c r="J730"/>
      <c r="K730"/>
    </row>
    <row r="731" spans="1:11" ht="12.75">
      <c r="A731"/>
      <c r="B731"/>
      <c r="C731"/>
      <c r="D731"/>
      <c r="E731"/>
      <c r="F731"/>
      <c r="G731"/>
      <c r="H731"/>
      <c r="I731"/>
      <c r="J731"/>
      <c r="K731"/>
    </row>
    <row r="732" spans="1:11" ht="12.75">
      <c r="A732"/>
      <c r="B732"/>
      <c r="C732"/>
      <c r="D732"/>
      <c r="E732"/>
      <c r="F732"/>
      <c r="G732"/>
      <c r="H732"/>
      <c r="I732"/>
      <c r="J732"/>
      <c r="K732"/>
    </row>
    <row r="733" spans="1:11" ht="12.75">
      <c r="A733"/>
      <c r="B733"/>
      <c r="C733"/>
      <c r="D733"/>
      <c r="E733"/>
      <c r="F733"/>
      <c r="G733"/>
      <c r="H733"/>
      <c r="I733"/>
      <c r="J733"/>
      <c r="K733"/>
    </row>
    <row r="734" spans="1:11" ht="12.75">
      <c r="A734"/>
      <c r="B734"/>
      <c r="C734"/>
      <c r="D734"/>
      <c r="E734"/>
      <c r="F734"/>
      <c r="G734"/>
      <c r="H734"/>
      <c r="I734"/>
      <c r="J734"/>
      <c r="K734"/>
    </row>
    <row r="735" spans="1:11" ht="12.75">
      <c r="A735"/>
      <c r="B735"/>
      <c r="C735"/>
      <c r="D735"/>
      <c r="E735"/>
      <c r="F735"/>
      <c r="G735"/>
      <c r="H735"/>
      <c r="I735"/>
      <c r="J735"/>
      <c r="K735"/>
    </row>
    <row r="736" spans="1:11" ht="12.75">
      <c r="A736"/>
      <c r="B736"/>
      <c r="C736"/>
      <c r="D736"/>
      <c r="E736"/>
      <c r="F736"/>
      <c r="G736"/>
      <c r="H736"/>
      <c r="I736"/>
      <c r="J736"/>
      <c r="K736"/>
    </row>
    <row r="737" spans="1:11" ht="12.75">
      <c r="A737"/>
      <c r="B737"/>
      <c r="C737"/>
      <c r="D737"/>
      <c r="E737"/>
      <c r="F737"/>
      <c r="G737"/>
      <c r="H737"/>
      <c r="I737"/>
      <c r="J737"/>
      <c r="K737"/>
    </row>
    <row r="738" spans="1:11" ht="12.75">
      <c r="A738"/>
      <c r="B738"/>
      <c r="C738"/>
      <c r="D738"/>
      <c r="E738"/>
      <c r="F738"/>
      <c r="G738"/>
      <c r="H738"/>
      <c r="I738"/>
      <c r="J738"/>
      <c r="K738"/>
    </row>
    <row r="739" spans="1:11" ht="12.75">
      <c r="A739"/>
      <c r="B739"/>
      <c r="C739"/>
      <c r="D739"/>
      <c r="E739"/>
      <c r="F739"/>
      <c r="G739"/>
      <c r="H739"/>
      <c r="I739"/>
      <c r="J739"/>
      <c r="K739"/>
    </row>
    <row r="740" spans="1:11" ht="12.75">
      <c r="A740"/>
      <c r="B740"/>
      <c r="C740"/>
      <c r="D740"/>
      <c r="E740"/>
      <c r="F740"/>
      <c r="G740"/>
      <c r="H740"/>
      <c r="I740"/>
      <c r="J740"/>
      <c r="K740"/>
    </row>
    <row r="741" spans="1:11" ht="12.75">
      <c r="A741"/>
      <c r="B741"/>
      <c r="C741"/>
      <c r="D741"/>
      <c r="E741"/>
      <c r="F741"/>
      <c r="G741"/>
      <c r="H741"/>
      <c r="I741"/>
      <c r="J741"/>
      <c r="K741"/>
    </row>
    <row r="742" spans="1:11" ht="12.75">
      <c r="A742"/>
      <c r="B742"/>
      <c r="C742"/>
      <c r="D742"/>
      <c r="E742"/>
      <c r="F742"/>
      <c r="G742"/>
      <c r="H742"/>
      <c r="I742"/>
      <c r="J742"/>
      <c r="K742"/>
    </row>
    <row r="743" spans="1:11" ht="12.75">
      <c r="A743"/>
      <c r="B743"/>
      <c r="C743"/>
      <c r="D743"/>
      <c r="E743"/>
      <c r="F743"/>
      <c r="G743"/>
      <c r="H743"/>
      <c r="I743"/>
      <c r="J743"/>
      <c r="K743"/>
    </row>
    <row r="744" spans="1:11" ht="12.75">
      <c r="A744"/>
      <c r="B744"/>
      <c r="C744"/>
      <c r="D744"/>
      <c r="E744"/>
      <c r="F744"/>
      <c r="G744"/>
      <c r="H744"/>
      <c r="I744"/>
      <c r="J744"/>
      <c r="K744"/>
    </row>
    <row r="745" spans="1:11" ht="12.75">
      <c r="A745"/>
      <c r="B745"/>
      <c r="C745"/>
      <c r="D745"/>
      <c r="E745"/>
      <c r="F745"/>
      <c r="G745"/>
      <c r="H745"/>
      <c r="I745"/>
      <c r="J745"/>
      <c r="K745"/>
    </row>
    <row r="746" spans="1:11" ht="12.75">
      <c r="A746"/>
      <c r="B746"/>
      <c r="C746"/>
      <c r="D746"/>
      <c r="E746"/>
      <c r="F746"/>
      <c r="G746"/>
      <c r="H746"/>
      <c r="I746"/>
      <c r="J746"/>
      <c r="K746"/>
    </row>
    <row r="747" spans="1:11" ht="12.75">
      <c r="A747"/>
      <c r="B747"/>
      <c r="C747"/>
      <c r="D747"/>
      <c r="E747"/>
      <c r="F747"/>
      <c r="G747"/>
      <c r="H747"/>
      <c r="I747"/>
      <c r="J747"/>
      <c r="K747"/>
    </row>
    <row r="748" spans="1:11" ht="12.75">
      <c r="A748"/>
      <c r="B748"/>
      <c r="C748"/>
      <c r="D748"/>
      <c r="E748"/>
      <c r="F748"/>
      <c r="G748"/>
      <c r="H748"/>
      <c r="I748"/>
      <c r="J748"/>
      <c r="K748"/>
    </row>
    <row r="749" spans="1:11" ht="12.75">
      <c r="A749"/>
      <c r="B749"/>
      <c r="C749"/>
      <c r="D749"/>
      <c r="E749"/>
      <c r="F749"/>
      <c r="G749"/>
      <c r="H749"/>
      <c r="I749"/>
      <c r="J749"/>
      <c r="K749"/>
    </row>
    <row r="750" spans="1:11" ht="12.75">
      <c r="A750"/>
      <c r="B750"/>
      <c r="C750"/>
      <c r="D750"/>
      <c r="E750"/>
      <c r="F750"/>
      <c r="G750"/>
      <c r="H750"/>
      <c r="I750"/>
      <c r="J750"/>
      <c r="K750"/>
    </row>
    <row r="751" spans="1:11" ht="12.75">
      <c r="A751"/>
      <c r="B751"/>
      <c r="C751"/>
      <c r="D751"/>
      <c r="E751"/>
      <c r="F751"/>
      <c r="G751"/>
      <c r="H751"/>
      <c r="I751"/>
      <c r="J751"/>
      <c r="K751"/>
    </row>
    <row r="752" spans="1:11" ht="12.75">
      <c r="A752"/>
      <c r="B752"/>
      <c r="C752"/>
      <c r="D752"/>
      <c r="E752"/>
      <c r="F752"/>
      <c r="G752"/>
      <c r="H752"/>
      <c r="I752"/>
      <c r="J752"/>
      <c r="K752"/>
    </row>
    <row r="753" spans="1:11" ht="12.75">
      <c r="A753"/>
      <c r="B753"/>
      <c r="C753"/>
      <c r="D753"/>
      <c r="E753"/>
      <c r="F753"/>
      <c r="G753"/>
      <c r="H753"/>
      <c r="I753"/>
      <c r="J753"/>
      <c r="K753"/>
    </row>
    <row r="754" spans="1:11" ht="12.75">
      <c r="A754"/>
      <c r="B754"/>
      <c r="C754"/>
      <c r="D754"/>
      <c r="E754"/>
      <c r="F754"/>
      <c r="G754"/>
      <c r="H754"/>
      <c r="I754"/>
      <c r="J754"/>
      <c r="K754"/>
    </row>
    <row r="755" spans="1:11" ht="12.75">
      <c r="A755"/>
      <c r="B755"/>
      <c r="C755"/>
      <c r="D755"/>
      <c r="E755"/>
      <c r="F755"/>
      <c r="G755"/>
      <c r="H755"/>
      <c r="I755"/>
      <c r="J755"/>
      <c r="K755"/>
    </row>
    <row r="756" spans="1:11" ht="12.75">
      <c r="A756"/>
      <c r="B756"/>
      <c r="C756"/>
      <c r="D756"/>
      <c r="E756"/>
      <c r="F756"/>
      <c r="G756"/>
      <c r="H756"/>
      <c r="I756"/>
      <c r="J756"/>
      <c r="K756"/>
    </row>
    <row r="757" spans="1:11" ht="12.75">
      <c r="A757"/>
      <c r="B757"/>
      <c r="C757"/>
      <c r="D757"/>
      <c r="E757"/>
      <c r="F757"/>
      <c r="G757"/>
      <c r="H757"/>
      <c r="I757"/>
      <c r="J757"/>
      <c r="K757"/>
    </row>
    <row r="758" spans="1:11" ht="12.75">
      <c r="A758"/>
      <c r="B758"/>
      <c r="C758"/>
      <c r="D758"/>
      <c r="E758"/>
      <c r="F758"/>
      <c r="G758"/>
      <c r="H758"/>
      <c r="I758"/>
      <c r="J758"/>
      <c r="K758"/>
    </row>
    <row r="759" spans="1:11" ht="12.75">
      <c r="A759"/>
      <c r="B759"/>
      <c r="C759"/>
      <c r="D759"/>
      <c r="E759"/>
      <c r="F759"/>
      <c r="G759"/>
      <c r="H759"/>
      <c r="I759"/>
      <c r="J759"/>
      <c r="K759"/>
    </row>
    <row r="760" spans="1:11" ht="12.75">
      <c r="A760"/>
      <c r="B760"/>
      <c r="C760"/>
      <c r="D760"/>
      <c r="E760"/>
      <c r="F760"/>
      <c r="G760"/>
      <c r="H760"/>
      <c r="I760"/>
      <c r="J760"/>
      <c r="K760"/>
    </row>
    <row r="761" spans="1:11" ht="12.75">
      <c r="A761"/>
      <c r="B761"/>
      <c r="C761"/>
      <c r="D761"/>
      <c r="E761"/>
      <c r="F761"/>
      <c r="G761"/>
      <c r="H761"/>
      <c r="I761"/>
      <c r="J761"/>
      <c r="K761"/>
    </row>
    <row r="762" spans="1:11" ht="12.75">
      <c r="A762"/>
      <c r="B762"/>
      <c r="C762"/>
      <c r="D762"/>
      <c r="E762"/>
      <c r="F762"/>
      <c r="G762"/>
      <c r="H762"/>
      <c r="I762"/>
      <c r="J762"/>
      <c r="K762"/>
    </row>
    <row r="763" spans="1:11" ht="12.75">
      <c r="A763"/>
      <c r="B763"/>
      <c r="C763"/>
      <c r="D763"/>
      <c r="E763"/>
      <c r="F763"/>
      <c r="G763"/>
      <c r="H763"/>
      <c r="I763"/>
      <c r="J763"/>
      <c r="K763"/>
    </row>
    <row r="764" spans="1:11" ht="12.75">
      <c r="A764"/>
      <c r="B764"/>
      <c r="C764"/>
      <c r="D764"/>
      <c r="E764"/>
      <c r="F764"/>
      <c r="G764"/>
      <c r="H764"/>
      <c r="I764"/>
      <c r="J764"/>
      <c r="K764"/>
    </row>
    <row r="765" spans="1:11" ht="12.75">
      <c r="A765"/>
      <c r="B765"/>
      <c r="C765"/>
      <c r="D765"/>
      <c r="E765"/>
      <c r="F765"/>
      <c r="G765"/>
      <c r="H765"/>
      <c r="I765"/>
      <c r="J765"/>
      <c r="K765"/>
    </row>
    <row r="766" spans="1:11" ht="12.75">
      <c r="A766"/>
      <c r="B766"/>
      <c r="C766"/>
      <c r="D766"/>
      <c r="E766"/>
      <c r="F766"/>
      <c r="G766"/>
      <c r="H766"/>
      <c r="I766"/>
      <c r="J766"/>
      <c r="K766"/>
    </row>
    <row r="767" spans="1:11" ht="12.75">
      <c r="A767"/>
      <c r="B767"/>
      <c r="C767"/>
      <c r="D767"/>
      <c r="E767"/>
      <c r="F767"/>
      <c r="G767"/>
      <c r="H767"/>
      <c r="I767"/>
      <c r="J767"/>
      <c r="K767"/>
    </row>
    <row r="768" spans="1:11" ht="12.75">
      <c r="A768"/>
      <c r="B768"/>
      <c r="C768"/>
      <c r="D768"/>
      <c r="E768"/>
      <c r="F768"/>
      <c r="G768"/>
      <c r="H768"/>
      <c r="I768"/>
      <c r="J768"/>
      <c r="K768"/>
    </row>
    <row r="769" spans="1:11" ht="12.75">
      <c r="A769"/>
      <c r="B769"/>
      <c r="C769"/>
      <c r="D769"/>
      <c r="E769"/>
      <c r="F769"/>
      <c r="G769"/>
      <c r="H769"/>
      <c r="I769"/>
      <c r="J769"/>
      <c r="K769"/>
    </row>
    <row r="770" spans="1:11" ht="12.75">
      <c r="A770"/>
      <c r="B770"/>
      <c r="C770"/>
      <c r="D770"/>
      <c r="E770"/>
      <c r="F770"/>
      <c r="G770"/>
      <c r="H770"/>
      <c r="I770"/>
      <c r="J770"/>
      <c r="K770"/>
    </row>
    <row r="771" spans="1:11" ht="12.75">
      <c r="A771"/>
      <c r="B771"/>
      <c r="C771"/>
      <c r="D771"/>
      <c r="E771"/>
      <c r="F771"/>
      <c r="G771"/>
      <c r="H771"/>
      <c r="I771"/>
      <c r="J771"/>
      <c r="K771"/>
    </row>
    <row r="772" spans="1:11" ht="12.75">
      <c r="A772"/>
      <c r="B772"/>
      <c r="C772"/>
      <c r="D772"/>
      <c r="E772"/>
      <c r="F772"/>
      <c r="G772"/>
      <c r="H772"/>
      <c r="I772"/>
      <c r="J772"/>
      <c r="K772"/>
    </row>
    <row r="773" spans="1:11" ht="12.75">
      <c r="A773"/>
      <c r="B773"/>
      <c r="C773"/>
      <c r="D773"/>
      <c r="E773"/>
      <c r="F773"/>
      <c r="G773"/>
      <c r="H773"/>
      <c r="I773"/>
      <c r="J773"/>
      <c r="K773"/>
    </row>
    <row r="774" spans="1:11" ht="12.75">
      <c r="A774"/>
      <c r="B774"/>
      <c r="C774"/>
      <c r="D774"/>
      <c r="E774"/>
      <c r="F774"/>
      <c r="G774"/>
      <c r="H774"/>
      <c r="I774"/>
      <c r="J774"/>
      <c r="K774"/>
    </row>
    <row r="775" spans="1:11" ht="12.75">
      <c r="A775"/>
      <c r="B775"/>
      <c r="C775"/>
      <c r="D775"/>
      <c r="E775"/>
      <c r="F775"/>
      <c r="G775"/>
      <c r="H775"/>
      <c r="I775"/>
      <c r="J775"/>
      <c r="K775"/>
    </row>
    <row r="776" spans="1:11" ht="12.75">
      <c r="A776"/>
      <c r="B776"/>
      <c r="C776"/>
      <c r="D776"/>
      <c r="E776"/>
      <c r="F776"/>
      <c r="G776"/>
      <c r="H776"/>
      <c r="I776"/>
      <c r="J776"/>
      <c r="K776"/>
    </row>
    <row r="777" spans="1:11" ht="12.75">
      <c r="A777"/>
      <c r="B777"/>
      <c r="C777"/>
      <c r="D777"/>
      <c r="E777"/>
      <c r="F777"/>
      <c r="G777"/>
      <c r="H777"/>
      <c r="I777"/>
      <c r="J777"/>
      <c r="K777"/>
    </row>
    <row r="778" spans="1:11" ht="12.75">
      <c r="A778"/>
      <c r="B778"/>
      <c r="C778"/>
      <c r="D778"/>
      <c r="E778"/>
      <c r="F778"/>
      <c r="G778"/>
      <c r="H778"/>
      <c r="I778"/>
      <c r="J778"/>
      <c r="K778"/>
    </row>
    <row r="779" spans="1:11" ht="12.75">
      <c r="A779"/>
      <c r="B779"/>
      <c r="C779"/>
      <c r="D779"/>
      <c r="E779"/>
      <c r="F779"/>
      <c r="G779"/>
      <c r="H779"/>
      <c r="I779"/>
      <c r="J779"/>
      <c r="K779"/>
    </row>
    <row r="780" spans="1:11" ht="12.75">
      <c r="A780"/>
      <c r="B780"/>
      <c r="C780"/>
      <c r="D780"/>
      <c r="E780"/>
      <c r="F780"/>
      <c r="G780"/>
      <c r="H780"/>
      <c r="I780"/>
      <c r="J780"/>
      <c r="K780"/>
    </row>
    <row r="781" spans="1:11" ht="12.75">
      <c r="A781"/>
      <c r="B781"/>
      <c r="C781"/>
      <c r="D781"/>
      <c r="E781"/>
      <c r="F781"/>
      <c r="G781"/>
      <c r="H781"/>
      <c r="I781"/>
      <c r="J781"/>
      <c r="K781"/>
    </row>
    <row r="782" spans="1:11" ht="12.75">
      <c r="A782"/>
      <c r="B782"/>
      <c r="C782"/>
      <c r="D782"/>
      <c r="E782"/>
      <c r="F782"/>
      <c r="G782"/>
      <c r="H782"/>
      <c r="I782"/>
      <c r="J782"/>
      <c r="K782"/>
    </row>
    <row r="783" spans="1:11" ht="12.75">
      <c r="A783"/>
      <c r="B783"/>
      <c r="C783"/>
      <c r="D783"/>
      <c r="E783"/>
      <c r="F783"/>
      <c r="G783"/>
      <c r="H783"/>
      <c r="I783"/>
      <c r="J783"/>
      <c r="K783"/>
    </row>
    <row r="784" spans="1:11" ht="12.75">
      <c r="A784"/>
      <c r="B784"/>
      <c r="C784"/>
      <c r="D784"/>
      <c r="E784"/>
      <c r="F784"/>
      <c r="G784"/>
      <c r="H784"/>
      <c r="I784"/>
      <c r="J784"/>
      <c r="K784"/>
    </row>
    <row r="785" spans="1:11" ht="12.75">
      <c r="A785"/>
      <c r="B785"/>
      <c r="C785"/>
      <c r="D785"/>
      <c r="E785"/>
      <c r="F785"/>
      <c r="G785"/>
      <c r="H785"/>
      <c r="I785"/>
      <c r="J785"/>
      <c r="K785"/>
    </row>
    <row r="786" spans="1:11" ht="12.75">
      <c r="A786"/>
      <c r="B786"/>
      <c r="C786"/>
      <c r="D786"/>
      <c r="E786"/>
      <c r="F786"/>
      <c r="G786"/>
      <c r="H786"/>
      <c r="I786"/>
      <c r="J786"/>
      <c r="K786"/>
    </row>
    <row r="787" spans="1:11" ht="12.75">
      <c r="A787"/>
      <c r="B787"/>
      <c r="C787"/>
      <c r="D787"/>
      <c r="E787"/>
      <c r="F787"/>
      <c r="G787"/>
      <c r="H787"/>
      <c r="I787"/>
      <c r="J787"/>
      <c r="K787"/>
    </row>
    <row r="788" spans="1:11" ht="12.75">
      <c r="A788"/>
      <c r="B788"/>
      <c r="C788"/>
      <c r="D788"/>
      <c r="E788"/>
      <c r="F788"/>
      <c r="G788"/>
      <c r="H788"/>
      <c r="I788"/>
      <c r="J788"/>
      <c r="K788"/>
    </row>
    <row r="789" spans="1:11" ht="12.75">
      <c r="A789"/>
      <c r="B789"/>
      <c r="C789"/>
      <c r="D789"/>
      <c r="E789"/>
      <c r="F789"/>
      <c r="G789"/>
      <c r="H789"/>
      <c r="I789"/>
      <c r="J789"/>
      <c r="K789"/>
    </row>
    <row r="790" spans="1:11" ht="12.75">
      <c r="A790"/>
      <c r="B790"/>
      <c r="C790"/>
      <c r="D790"/>
      <c r="E790"/>
      <c r="F790"/>
      <c r="G790"/>
      <c r="H790"/>
      <c r="I790"/>
      <c r="J790"/>
      <c r="K790"/>
    </row>
    <row r="791" spans="1:11" ht="12.75">
      <c r="A791"/>
      <c r="B791"/>
      <c r="C791"/>
      <c r="D791"/>
      <c r="E791"/>
      <c r="F791"/>
      <c r="G791"/>
      <c r="H791"/>
      <c r="I791"/>
      <c r="J791"/>
      <c r="K791"/>
    </row>
    <row r="792" spans="1:11" ht="12.75">
      <c r="A792"/>
      <c r="B792"/>
      <c r="C792"/>
      <c r="D792"/>
      <c r="E792"/>
      <c r="F792"/>
      <c r="G792"/>
      <c r="H792"/>
      <c r="I792"/>
      <c r="J792"/>
      <c r="K792"/>
    </row>
    <row r="793" spans="1:11" ht="12.75">
      <c r="A793"/>
      <c r="B793"/>
      <c r="C793"/>
      <c r="D793"/>
      <c r="E793"/>
      <c r="F793"/>
      <c r="G793"/>
      <c r="H793"/>
      <c r="I793"/>
      <c r="J793"/>
      <c r="K793"/>
    </row>
    <row r="794" spans="1:11" ht="12.75">
      <c r="A794"/>
      <c r="B794"/>
      <c r="C794"/>
      <c r="D794"/>
      <c r="E794"/>
      <c r="F794"/>
      <c r="G794"/>
      <c r="H794"/>
      <c r="I794"/>
      <c r="J794"/>
      <c r="K794"/>
    </row>
    <row r="795" spans="1:11" ht="12.75">
      <c r="A795"/>
      <c r="B795"/>
      <c r="C795"/>
      <c r="D795"/>
      <c r="E795"/>
      <c r="F795"/>
      <c r="G795"/>
      <c r="H795"/>
      <c r="I795"/>
      <c r="J795"/>
      <c r="K795"/>
    </row>
    <row r="796" spans="1:11" ht="12.75">
      <c r="A796"/>
      <c r="B796"/>
      <c r="C796"/>
      <c r="D796"/>
      <c r="E796"/>
      <c r="F796"/>
      <c r="G796"/>
      <c r="H796"/>
      <c r="I796"/>
      <c r="J796"/>
      <c r="K796"/>
    </row>
    <row r="797" spans="1:11" ht="12.75">
      <c r="A797"/>
      <c r="B797"/>
      <c r="C797"/>
      <c r="D797"/>
      <c r="E797"/>
      <c r="F797"/>
      <c r="G797"/>
      <c r="H797"/>
      <c r="I797"/>
      <c r="J797"/>
      <c r="K797"/>
    </row>
    <row r="798" spans="1:11" ht="12.75">
      <c r="A798"/>
      <c r="B798"/>
      <c r="C798"/>
      <c r="D798"/>
      <c r="E798"/>
      <c r="F798"/>
      <c r="G798"/>
      <c r="H798"/>
      <c r="I798"/>
      <c r="J798"/>
      <c r="K798"/>
    </row>
    <row r="799" spans="1:11" ht="12.75">
      <c r="A799"/>
      <c r="B799"/>
      <c r="C799"/>
      <c r="D799"/>
      <c r="E799"/>
      <c r="F799"/>
      <c r="G799"/>
      <c r="H799"/>
      <c r="I799"/>
      <c r="J799"/>
      <c r="K799"/>
    </row>
    <row r="800" spans="1:11" ht="12.75">
      <c r="A800"/>
      <c r="B800"/>
      <c r="C800"/>
      <c r="D800"/>
      <c r="E800"/>
      <c r="F800"/>
      <c r="G800"/>
      <c r="H800"/>
      <c r="I800"/>
      <c r="J800"/>
      <c r="K800"/>
    </row>
    <row r="801" spans="1:11" ht="12.75">
      <c r="A801"/>
      <c r="B801"/>
      <c r="C801"/>
      <c r="D801"/>
      <c r="E801"/>
      <c r="F801"/>
      <c r="G801"/>
      <c r="H801"/>
      <c r="I801"/>
      <c r="J801"/>
      <c r="K801"/>
    </row>
    <row r="802" spans="1:11" ht="12.75">
      <c r="A802"/>
      <c r="B802"/>
      <c r="C802"/>
      <c r="D802"/>
      <c r="E802"/>
      <c r="F802"/>
      <c r="G802"/>
      <c r="H802"/>
      <c r="I802"/>
      <c r="J802"/>
      <c r="K802"/>
    </row>
    <row r="803" spans="1:11" ht="12.75">
      <c r="A803"/>
      <c r="B803"/>
      <c r="C803"/>
      <c r="D803"/>
      <c r="E803"/>
      <c r="F803"/>
      <c r="G803"/>
      <c r="H803"/>
      <c r="I803"/>
      <c r="J803"/>
      <c r="K803"/>
    </row>
    <row r="804" spans="1:11" ht="12.75">
      <c r="A804"/>
      <c r="B804"/>
      <c r="C804"/>
      <c r="D804"/>
      <c r="E804"/>
      <c r="F804"/>
      <c r="G804"/>
      <c r="H804"/>
      <c r="I804"/>
      <c r="J804"/>
      <c r="K804"/>
    </row>
    <row r="805" spans="1:11" ht="12.75">
      <c r="A805"/>
      <c r="B805"/>
      <c r="C805"/>
      <c r="D805"/>
      <c r="E805"/>
      <c r="F805"/>
      <c r="G805"/>
      <c r="H805"/>
      <c r="I805"/>
      <c r="J805"/>
      <c r="K805"/>
    </row>
    <row r="806" spans="1:11" ht="12.75">
      <c r="A806"/>
      <c r="B806"/>
      <c r="C806"/>
      <c r="D806"/>
      <c r="E806"/>
      <c r="F806"/>
      <c r="G806"/>
      <c r="H806"/>
      <c r="I806"/>
      <c r="J806"/>
      <c r="K806"/>
    </row>
    <row r="807" spans="1:11" ht="12.75">
      <c r="A807"/>
      <c r="B807"/>
      <c r="C807"/>
      <c r="D807"/>
      <c r="E807"/>
      <c r="F807"/>
      <c r="G807"/>
      <c r="H807"/>
      <c r="I807"/>
      <c r="J807"/>
      <c r="K807"/>
    </row>
    <row r="808" spans="1:11" ht="12.75">
      <c r="A808"/>
      <c r="B808"/>
      <c r="C808"/>
      <c r="D808"/>
      <c r="E808"/>
      <c r="F808"/>
      <c r="G808"/>
      <c r="H808"/>
      <c r="I808"/>
      <c r="J808"/>
      <c r="K808"/>
    </row>
    <row r="809" spans="1:11" ht="12.75">
      <c r="A809"/>
      <c r="B809"/>
      <c r="C809"/>
      <c r="D809"/>
      <c r="E809"/>
      <c r="F809"/>
      <c r="G809"/>
      <c r="H809"/>
      <c r="I809"/>
      <c r="J809"/>
      <c r="K809"/>
    </row>
    <row r="810" spans="1:11" ht="12.75">
      <c r="A810"/>
      <c r="B810"/>
      <c r="C810"/>
      <c r="D810"/>
      <c r="E810"/>
      <c r="F810"/>
      <c r="G810"/>
      <c r="H810"/>
      <c r="I810"/>
      <c r="J810"/>
      <c r="K810"/>
    </row>
    <row r="811" spans="1:11" ht="12.75">
      <c r="A811"/>
      <c r="B811"/>
      <c r="C811"/>
      <c r="D811"/>
      <c r="E811"/>
      <c r="F811"/>
      <c r="G811"/>
      <c r="H811"/>
      <c r="I811"/>
      <c r="J811"/>
      <c r="K811"/>
    </row>
    <row r="812" spans="1:11" ht="12.75">
      <c r="A812"/>
      <c r="B812"/>
      <c r="C812"/>
      <c r="D812"/>
      <c r="E812"/>
      <c r="F812"/>
      <c r="G812"/>
      <c r="H812"/>
      <c r="I812"/>
      <c r="J812"/>
      <c r="K812"/>
    </row>
    <row r="813" spans="1:11" ht="12.75">
      <c r="A813"/>
      <c r="B813"/>
      <c r="C813"/>
      <c r="D813"/>
      <c r="E813"/>
      <c r="F813"/>
      <c r="G813"/>
      <c r="H813"/>
      <c r="I813"/>
      <c r="J813"/>
      <c r="K813"/>
    </row>
    <row r="814" spans="1:11" ht="12.75">
      <c r="A814"/>
      <c r="B814"/>
      <c r="C814"/>
      <c r="D814"/>
      <c r="E814"/>
      <c r="F814"/>
      <c r="G814"/>
      <c r="H814"/>
      <c r="I814"/>
      <c r="J814"/>
      <c r="K814"/>
    </row>
    <row r="815" spans="1:11" ht="12.75">
      <c r="A815"/>
      <c r="B815"/>
      <c r="C815"/>
      <c r="D815"/>
      <c r="E815"/>
      <c r="F815"/>
      <c r="G815"/>
      <c r="H815"/>
      <c r="I815"/>
      <c r="J815"/>
      <c r="K815"/>
    </row>
    <row r="816" spans="1:11" ht="12.75">
      <c r="A816"/>
      <c r="B816"/>
      <c r="C816"/>
      <c r="D816"/>
      <c r="E816"/>
      <c r="F816"/>
      <c r="G816"/>
      <c r="H816"/>
      <c r="I816"/>
      <c r="J816"/>
      <c r="K816"/>
    </row>
    <row r="817" spans="1:11" ht="12.75">
      <c r="A817"/>
      <c r="B817"/>
      <c r="C817"/>
      <c r="D817"/>
      <c r="E817"/>
      <c r="F817"/>
      <c r="G817"/>
      <c r="H817"/>
      <c r="I817"/>
      <c r="J817"/>
      <c r="K817"/>
    </row>
    <row r="818" spans="1:11" ht="12.75">
      <c r="A818"/>
      <c r="B818"/>
      <c r="C818"/>
      <c r="D818"/>
      <c r="E818"/>
      <c r="F818"/>
      <c r="G818"/>
      <c r="H818"/>
      <c r="I818"/>
      <c r="J818"/>
      <c r="K818"/>
    </row>
    <row r="819" spans="1:11" ht="12.75">
      <c r="A819"/>
      <c r="B819"/>
      <c r="C819"/>
      <c r="D819"/>
      <c r="E819"/>
      <c r="F819"/>
      <c r="G819"/>
      <c r="H819"/>
      <c r="I819"/>
      <c r="J819"/>
      <c r="K819"/>
    </row>
    <row r="820" spans="1:11" ht="12.75">
      <c r="A820"/>
      <c r="B820"/>
      <c r="C820"/>
      <c r="D820"/>
      <c r="E820"/>
      <c r="F820"/>
      <c r="G820"/>
      <c r="H820"/>
      <c r="I820"/>
      <c r="J820"/>
      <c r="K820"/>
    </row>
    <row r="821" spans="1:11" ht="12.75">
      <c r="A821"/>
      <c r="B821"/>
      <c r="C821"/>
      <c r="D821"/>
      <c r="E821"/>
      <c r="F821"/>
      <c r="G821"/>
      <c r="H821"/>
      <c r="I821"/>
      <c r="J821"/>
      <c r="K821"/>
    </row>
    <row r="822" spans="1:11" ht="12.75">
      <c r="A822"/>
      <c r="B822"/>
      <c r="C822"/>
      <c r="D822"/>
      <c r="E822"/>
      <c r="F822"/>
      <c r="G822"/>
      <c r="H822"/>
      <c r="I822"/>
      <c r="J822"/>
      <c r="K822"/>
    </row>
    <row r="823" spans="1:11" ht="12.75">
      <c r="A823"/>
      <c r="B823"/>
      <c r="C823"/>
      <c r="D823"/>
      <c r="E823"/>
      <c r="F823"/>
      <c r="G823"/>
      <c r="H823"/>
      <c r="I823"/>
      <c r="J823"/>
      <c r="K823"/>
    </row>
    <row r="824" spans="1:11" ht="12.75">
      <c r="A824"/>
      <c r="B824"/>
      <c r="C824"/>
      <c r="D824"/>
      <c r="E824"/>
      <c r="F824"/>
      <c r="G824"/>
      <c r="H824"/>
      <c r="I824"/>
      <c r="J824"/>
      <c r="K824"/>
    </row>
    <row r="825" spans="1:11" ht="12.75">
      <c r="A825"/>
      <c r="B825"/>
      <c r="C825"/>
      <c r="D825"/>
      <c r="E825"/>
      <c r="F825"/>
      <c r="G825"/>
      <c r="H825"/>
      <c r="I825"/>
      <c r="J825"/>
      <c r="K825"/>
    </row>
    <row r="826" spans="1:11" ht="12.75">
      <c r="A826"/>
      <c r="B826"/>
      <c r="C826"/>
      <c r="D826"/>
      <c r="E826"/>
      <c r="F826"/>
      <c r="G826"/>
      <c r="H826"/>
      <c r="I826"/>
      <c r="J826"/>
      <c r="K826"/>
    </row>
    <row r="827" spans="1:11" ht="12.75">
      <c r="A827"/>
      <c r="B827"/>
      <c r="C827"/>
      <c r="D827"/>
      <c r="E827"/>
      <c r="F827"/>
      <c r="G827"/>
      <c r="H827"/>
      <c r="I827"/>
      <c r="J827"/>
      <c r="K827"/>
    </row>
    <row r="828" spans="1:11" ht="12.75">
      <c r="A828"/>
      <c r="B828"/>
      <c r="C828"/>
      <c r="D828"/>
      <c r="E828"/>
      <c r="F828"/>
      <c r="G828"/>
      <c r="H828"/>
      <c r="I828"/>
      <c r="J828"/>
      <c r="K828"/>
    </row>
    <row r="829" spans="1:11" ht="12.75">
      <c r="A829"/>
      <c r="B829"/>
      <c r="C829"/>
      <c r="D829"/>
      <c r="E829"/>
      <c r="F829"/>
      <c r="G829"/>
      <c r="H829"/>
      <c r="I829"/>
      <c r="J829"/>
      <c r="K829"/>
    </row>
    <row r="830" spans="1:11" ht="12.75">
      <c r="A830"/>
      <c r="B830"/>
      <c r="C830"/>
      <c r="D830"/>
      <c r="E830"/>
      <c r="F830"/>
      <c r="G830"/>
      <c r="H830"/>
      <c r="I830"/>
      <c r="J830"/>
      <c r="K830"/>
    </row>
    <row r="831" spans="1:11" ht="12.75">
      <c r="A831"/>
      <c r="B831"/>
      <c r="C831"/>
      <c r="D831"/>
      <c r="E831"/>
      <c r="F831"/>
      <c r="G831"/>
      <c r="H831"/>
      <c r="I831"/>
      <c r="J831"/>
      <c r="K831"/>
    </row>
    <row r="832" spans="1:11" ht="12.75">
      <c r="A832"/>
      <c r="B832"/>
      <c r="C832"/>
      <c r="D832"/>
      <c r="E832"/>
      <c r="F832"/>
      <c r="G832"/>
      <c r="H832"/>
      <c r="I832"/>
      <c r="J832"/>
      <c r="K832"/>
    </row>
    <row r="833" spans="1:11" ht="12.75">
      <c r="A833"/>
      <c r="B833"/>
      <c r="C833"/>
      <c r="D833"/>
      <c r="E833"/>
      <c r="F833"/>
      <c r="G833"/>
      <c r="H833"/>
      <c r="I833"/>
      <c r="J833"/>
      <c r="K833"/>
    </row>
    <row r="834" spans="1:11" ht="12.75">
      <c r="A834"/>
      <c r="B834"/>
      <c r="C834"/>
      <c r="D834"/>
      <c r="E834"/>
      <c r="F834"/>
      <c r="G834"/>
      <c r="H834"/>
      <c r="I834"/>
      <c r="J834"/>
      <c r="K834"/>
    </row>
    <row r="835" spans="1:11" ht="12.75">
      <c r="A835"/>
      <c r="B835"/>
      <c r="C835"/>
      <c r="D835"/>
      <c r="E835"/>
      <c r="F835"/>
      <c r="G835"/>
      <c r="H835"/>
      <c r="I835"/>
      <c r="J835"/>
      <c r="K835"/>
    </row>
    <row r="836" spans="1:11" ht="12.75">
      <c r="A836"/>
      <c r="B836"/>
      <c r="C836"/>
      <c r="D836"/>
      <c r="E836"/>
      <c r="F836"/>
      <c r="G836"/>
      <c r="H836"/>
      <c r="I836"/>
      <c r="J836"/>
      <c r="K836"/>
    </row>
    <row r="837" spans="1:11" ht="12.75">
      <c r="A837"/>
      <c r="B837"/>
      <c r="C837"/>
      <c r="D837"/>
      <c r="E837"/>
      <c r="F837"/>
      <c r="G837"/>
      <c r="H837"/>
      <c r="I837"/>
      <c r="J837"/>
      <c r="K837"/>
    </row>
    <row r="838" spans="1:11" ht="12.75">
      <c r="A838"/>
      <c r="B838"/>
      <c r="C838"/>
      <c r="D838"/>
      <c r="E838"/>
      <c r="F838"/>
      <c r="G838"/>
      <c r="H838"/>
      <c r="I838"/>
      <c r="J838"/>
      <c r="K838"/>
    </row>
    <row r="839" spans="1:11" ht="12.75">
      <c r="A839"/>
      <c r="B839"/>
      <c r="C839"/>
      <c r="D839"/>
      <c r="E839"/>
      <c r="F839"/>
      <c r="G839"/>
      <c r="H839"/>
      <c r="I839"/>
      <c r="J839"/>
      <c r="K839"/>
    </row>
    <row r="840" spans="1:11" ht="12.75">
      <c r="A840"/>
      <c r="B840"/>
      <c r="C840"/>
      <c r="D840"/>
      <c r="E840"/>
      <c r="F840"/>
      <c r="G840"/>
      <c r="H840"/>
      <c r="I840"/>
      <c r="J840"/>
      <c r="K840"/>
    </row>
    <row r="841" spans="1:11" ht="12.75">
      <c r="A841"/>
      <c r="B841"/>
      <c r="C841"/>
      <c r="D841"/>
      <c r="E841"/>
      <c r="F841"/>
      <c r="G841"/>
      <c r="H841"/>
      <c r="I841"/>
      <c r="J841"/>
      <c r="K841"/>
    </row>
    <row r="842" spans="1:11" ht="12.75">
      <c r="A842"/>
      <c r="B842"/>
      <c r="C842"/>
      <c r="D842"/>
      <c r="E842"/>
      <c r="F842"/>
      <c r="G842"/>
      <c r="H842"/>
      <c r="I842"/>
      <c r="J842"/>
      <c r="K842"/>
    </row>
    <row r="843" spans="1:11" ht="12.75">
      <c r="A843"/>
      <c r="B843"/>
      <c r="C843"/>
      <c r="D843"/>
      <c r="E843"/>
      <c r="F843"/>
      <c r="G843"/>
      <c r="H843"/>
      <c r="I843"/>
      <c r="J843"/>
      <c r="K843"/>
    </row>
    <row r="844" spans="1:11" ht="12.75">
      <c r="A844"/>
      <c r="B844"/>
      <c r="C844"/>
      <c r="D844"/>
      <c r="E844"/>
      <c r="F844"/>
      <c r="G844"/>
      <c r="H844"/>
      <c r="I844"/>
      <c r="J844"/>
      <c r="K844"/>
    </row>
    <row r="845" spans="1:11" ht="12.75">
      <c r="A845"/>
      <c r="B845"/>
      <c r="C845"/>
      <c r="D845"/>
      <c r="E845"/>
      <c r="F845"/>
      <c r="G845"/>
      <c r="H845"/>
      <c r="I845"/>
      <c r="J845"/>
      <c r="K845"/>
    </row>
    <row r="846" spans="1:11" ht="12.75">
      <c r="A846"/>
      <c r="B846"/>
      <c r="C846"/>
      <c r="D846"/>
      <c r="E846"/>
      <c r="F846"/>
      <c r="G846"/>
      <c r="H846"/>
      <c r="I846"/>
      <c r="J846"/>
      <c r="K846"/>
    </row>
    <row r="847" spans="1:11" ht="12.75">
      <c r="A847"/>
      <c r="B847"/>
      <c r="C847"/>
      <c r="D847"/>
      <c r="E847"/>
      <c r="F847"/>
      <c r="G847"/>
      <c r="H847"/>
      <c r="I847"/>
      <c r="J847"/>
      <c r="K847"/>
    </row>
    <row r="848" spans="1:11" ht="12.75">
      <c r="A848"/>
      <c r="B848"/>
      <c r="C848"/>
      <c r="D848"/>
      <c r="E848"/>
      <c r="F848"/>
      <c r="G848"/>
      <c r="H848"/>
      <c r="I848"/>
      <c r="J848"/>
      <c r="K848"/>
    </row>
    <row r="849" spans="1:11" ht="12.75">
      <c r="A849"/>
      <c r="B849"/>
      <c r="C849"/>
      <c r="D849"/>
      <c r="E849"/>
      <c r="F849"/>
      <c r="G849"/>
      <c r="H849"/>
      <c r="I849"/>
      <c r="J849"/>
      <c r="K849"/>
    </row>
    <row r="850" spans="1:11" ht="12.75">
      <c r="A850"/>
      <c r="B850"/>
      <c r="C850"/>
      <c r="D850"/>
      <c r="E850"/>
      <c r="F850"/>
      <c r="G850"/>
      <c r="H850"/>
      <c r="I850"/>
      <c r="J850"/>
      <c r="K850"/>
    </row>
    <row r="851" spans="1:11" ht="12.75">
      <c r="A851"/>
      <c r="B851"/>
      <c r="C851"/>
      <c r="D851"/>
      <c r="E851"/>
      <c r="F851"/>
      <c r="G851"/>
      <c r="H851"/>
      <c r="I851"/>
      <c r="J851"/>
      <c r="K851"/>
    </row>
    <row r="852" spans="1:11" ht="12.75">
      <c r="A852"/>
      <c r="B852"/>
      <c r="C852"/>
      <c r="D852"/>
      <c r="E852"/>
      <c r="F852"/>
      <c r="G852"/>
      <c r="H852"/>
      <c r="I852"/>
      <c r="J852"/>
      <c r="K852"/>
    </row>
    <row r="853" spans="1:11" ht="12.75">
      <c r="A853"/>
      <c r="B853"/>
      <c r="C853"/>
      <c r="D853"/>
      <c r="E853"/>
      <c r="F853"/>
      <c r="G853"/>
      <c r="H853"/>
      <c r="I853"/>
      <c r="J853"/>
      <c r="K853"/>
    </row>
    <row r="854" spans="1:11" ht="12.75">
      <c r="A854"/>
      <c r="B854"/>
      <c r="C854"/>
      <c r="D854"/>
      <c r="E854"/>
      <c r="F854"/>
      <c r="G854"/>
      <c r="H854"/>
      <c r="I854"/>
      <c r="J854"/>
      <c r="K854"/>
    </row>
    <row r="855" spans="1:11" ht="12.75">
      <c r="A855"/>
      <c r="B855"/>
      <c r="C855"/>
      <c r="D855"/>
      <c r="E855"/>
      <c r="F855"/>
      <c r="G855"/>
      <c r="H855"/>
      <c r="I855"/>
      <c r="J855"/>
      <c r="K855"/>
    </row>
    <row r="856" spans="1:11" ht="12.75">
      <c r="A856"/>
      <c r="B856"/>
      <c r="C856"/>
      <c r="D856"/>
      <c r="E856"/>
      <c r="F856"/>
      <c r="G856"/>
      <c r="H856"/>
      <c r="I856"/>
      <c r="J856"/>
      <c r="K856"/>
    </row>
    <row r="857" spans="1:11" ht="12.75">
      <c r="A857"/>
      <c r="B857"/>
      <c r="C857"/>
      <c r="D857"/>
      <c r="E857"/>
      <c r="F857"/>
      <c r="G857"/>
      <c r="H857"/>
      <c r="I857"/>
      <c r="J857"/>
      <c r="K857"/>
    </row>
    <row r="858" spans="1:11" ht="12.75">
      <c r="A858"/>
      <c r="B858"/>
      <c r="C858"/>
      <c r="D858"/>
      <c r="E858"/>
      <c r="F858"/>
      <c r="G858"/>
      <c r="H858"/>
      <c r="I858"/>
      <c r="J858"/>
      <c r="K858"/>
    </row>
    <row r="859" spans="1:11" ht="12.75">
      <c r="A859"/>
      <c r="B859"/>
      <c r="C859"/>
      <c r="D859"/>
      <c r="E859"/>
      <c r="F859"/>
      <c r="G859"/>
      <c r="H859"/>
      <c r="I859"/>
      <c r="J859"/>
      <c r="K859"/>
    </row>
    <row r="860" spans="1:11" ht="12.75">
      <c r="A860"/>
      <c r="B860"/>
      <c r="C860"/>
      <c r="D860"/>
      <c r="E860"/>
      <c r="F860"/>
      <c r="G860"/>
      <c r="H860"/>
      <c r="I860"/>
      <c r="J860"/>
      <c r="K860"/>
    </row>
    <row r="861" spans="1:11" ht="12.75">
      <c r="A861"/>
      <c r="B861"/>
      <c r="C861"/>
      <c r="D861"/>
      <c r="E861"/>
      <c r="F861"/>
      <c r="G861"/>
      <c r="H861"/>
      <c r="I861"/>
      <c r="J861"/>
      <c r="K861"/>
    </row>
    <row r="862" spans="1:11" ht="12.75">
      <c r="A862"/>
      <c r="B862"/>
      <c r="C862"/>
      <c r="D862"/>
      <c r="E862"/>
      <c r="F862"/>
      <c r="G862"/>
      <c r="H862"/>
      <c r="I862"/>
      <c r="J862"/>
      <c r="K862"/>
    </row>
    <row r="863" spans="1:11" ht="12.75">
      <c r="A863"/>
      <c r="B863"/>
      <c r="C863"/>
      <c r="D863"/>
      <c r="E863"/>
      <c r="F863"/>
      <c r="G863"/>
      <c r="H863"/>
      <c r="I863"/>
      <c r="J863"/>
      <c r="K863"/>
    </row>
    <row r="864" spans="1:11" ht="12.75">
      <c r="A864"/>
      <c r="B864"/>
      <c r="C864"/>
      <c r="D864"/>
      <c r="E864"/>
      <c r="F864"/>
      <c r="G864"/>
      <c r="H864"/>
      <c r="I864"/>
      <c r="J864"/>
      <c r="K864"/>
    </row>
    <row r="865" spans="1:11" ht="12.75">
      <c r="A865"/>
      <c r="B865"/>
      <c r="C865"/>
      <c r="D865"/>
      <c r="E865"/>
      <c r="F865"/>
      <c r="G865"/>
      <c r="H865"/>
      <c r="I865"/>
      <c r="J865"/>
      <c r="K865"/>
    </row>
    <row r="866" spans="1:11" ht="12.75">
      <c r="A866"/>
      <c r="B866"/>
      <c r="C866"/>
      <c r="D866"/>
      <c r="E866"/>
      <c r="F866"/>
      <c r="G866"/>
      <c r="H866"/>
      <c r="I866"/>
      <c r="J866"/>
      <c r="K866"/>
    </row>
    <row r="867" spans="1:11" ht="12.75">
      <c r="A867"/>
      <c r="B867"/>
      <c r="C867"/>
      <c r="D867"/>
      <c r="E867"/>
      <c r="F867"/>
      <c r="G867"/>
      <c r="H867"/>
      <c r="I867"/>
      <c r="J867"/>
      <c r="K867"/>
    </row>
    <row r="868" spans="1:11" ht="12.75">
      <c r="A868"/>
      <c r="B868"/>
      <c r="C868"/>
      <c r="D868"/>
      <c r="E868"/>
      <c r="F868"/>
      <c r="G868"/>
      <c r="H868"/>
      <c r="I868"/>
      <c r="J868"/>
      <c r="K868"/>
    </row>
    <row r="869" spans="1:11" ht="12.75">
      <c r="A869"/>
      <c r="B869"/>
      <c r="C869"/>
      <c r="D869"/>
      <c r="E869"/>
      <c r="F869"/>
      <c r="G869"/>
      <c r="H869"/>
      <c r="I869"/>
      <c r="J869"/>
      <c r="K869"/>
    </row>
    <row r="870" spans="1:11" ht="12.75">
      <c r="A870"/>
      <c r="B870"/>
      <c r="C870"/>
      <c r="D870"/>
      <c r="E870"/>
      <c r="F870"/>
      <c r="G870"/>
      <c r="H870"/>
      <c r="I870"/>
      <c r="J870"/>
      <c r="K870"/>
    </row>
    <row r="871" spans="1:11" ht="12.75">
      <c r="A871"/>
      <c r="B871"/>
      <c r="C871"/>
      <c r="D871"/>
      <c r="E871"/>
      <c r="F871"/>
      <c r="G871"/>
      <c r="H871"/>
      <c r="I871"/>
      <c r="J871"/>
      <c r="K871"/>
    </row>
    <row r="872" spans="1:11" ht="12.75">
      <c r="A872"/>
      <c r="B872"/>
      <c r="C872"/>
      <c r="D872"/>
      <c r="E872"/>
      <c r="F872"/>
      <c r="G872"/>
      <c r="H872"/>
      <c r="I872"/>
      <c r="J872"/>
      <c r="K872"/>
    </row>
    <row r="873" spans="1:11" ht="12.75">
      <c r="A873"/>
      <c r="B873"/>
      <c r="C873"/>
      <c r="D873"/>
      <c r="E873"/>
      <c r="F873"/>
      <c r="G873"/>
      <c r="H873"/>
      <c r="I873"/>
      <c r="J873"/>
      <c r="K873"/>
    </row>
    <row r="874" spans="1:11" ht="12.75">
      <c r="A874"/>
      <c r="B874"/>
      <c r="C874"/>
      <c r="D874"/>
      <c r="E874"/>
      <c r="F874"/>
      <c r="G874"/>
      <c r="H874"/>
      <c r="I874"/>
      <c r="J874"/>
      <c r="K874"/>
    </row>
    <row r="875" spans="1:11" ht="12.75">
      <c r="A875"/>
      <c r="B875"/>
      <c r="C875"/>
      <c r="D875"/>
      <c r="E875"/>
      <c r="F875"/>
      <c r="G875"/>
      <c r="H875"/>
      <c r="I875"/>
      <c r="J875"/>
      <c r="K875"/>
    </row>
    <row r="876" spans="1:11" ht="12.75">
      <c r="A876"/>
      <c r="B876"/>
      <c r="C876"/>
      <c r="D876"/>
      <c r="E876"/>
      <c r="F876"/>
      <c r="G876"/>
      <c r="H876"/>
      <c r="I876"/>
      <c r="J876"/>
      <c r="K876"/>
    </row>
    <row r="877" spans="1:11" ht="12.75">
      <c r="A877"/>
      <c r="B877"/>
      <c r="C877"/>
      <c r="D877"/>
      <c r="E877"/>
      <c r="F877"/>
      <c r="G877"/>
      <c r="H877"/>
      <c r="I877"/>
      <c r="J877"/>
      <c r="K877"/>
    </row>
    <row r="878" spans="1:11" ht="12.75">
      <c r="A878"/>
      <c r="B878"/>
      <c r="C878"/>
      <c r="D878"/>
      <c r="E878"/>
      <c r="F878"/>
      <c r="G878"/>
      <c r="H878"/>
      <c r="I878"/>
      <c r="J878"/>
      <c r="K878"/>
    </row>
    <row r="879" spans="1:11" ht="12.75">
      <c r="A879"/>
      <c r="B879"/>
      <c r="C879"/>
      <c r="D879"/>
      <c r="E879"/>
      <c r="F879"/>
      <c r="G879"/>
      <c r="H879"/>
      <c r="I879"/>
      <c r="J879"/>
      <c r="K879"/>
    </row>
    <row r="880" spans="1:11" ht="12.75">
      <c r="A880"/>
      <c r="B880"/>
      <c r="C880"/>
      <c r="D880"/>
      <c r="E880"/>
      <c r="F880"/>
      <c r="G880"/>
      <c r="H880"/>
      <c r="I880"/>
      <c r="J880"/>
      <c r="K880"/>
    </row>
    <row r="881" spans="1:11" ht="12.75">
      <c r="A881"/>
      <c r="B881"/>
      <c r="C881"/>
      <c r="D881"/>
      <c r="E881"/>
      <c r="F881"/>
      <c r="G881"/>
      <c r="H881"/>
      <c r="I881"/>
      <c r="J881"/>
      <c r="K881"/>
    </row>
    <row r="882" spans="1:11" ht="12.75">
      <c r="A882"/>
      <c r="B882"/>
      <c r="C882"/>
      <c r="D882"/>
      <c r="E882"/>
      <c r="F882"/>
      <c r="G882"/>
      <c r="H882"/>
      <c r="I882"/>
      <c r="J882"/>
      <c r="K882"/>
    </row>
    <row r="883" spans="1:11" ht="12.75">
      <c r="A883"/>
      <c r="B883"/>
      <c r="C883"/>
      <c r="D883"/>
      <c r="E883"/>
      <c r="F883"/>
      <c r="G883"/>
      <c r="H883"/>
      <c r="I883"/>
      <c r="J883"/>
      <c r="K883"/>
    </row>
    <row r="884" spans="1:11" ht="12.75">
      <c r="A884"/>
      <c r="B884"/>
      <c r="C884"/>
      <c r="D884"/>
      <c r="E884"/>
      <c r="F884"/>
      <c r="G884"/>
      <c r="H884"/>
      <c r="I884"/>
      <c r="J884"/>
      <c r="K884"/>
    </row>
    <row r="885" spans="1:11" ht="12.75">
      <c r="A885"/>
      <c r="B885"/>
      <c r="C885"/>
      <c r="D885"/>
      <c r="E885"/>
      <c r="F885"/>
      <c r="G885"/>
      <c r="H885"/>
      <c r="I885"/>
      <c r="J885"/>
      <c r="K885"/>
    </row>
    <row r="886" spans="1:11" ht="12.75">
      <c r="A886"/>
      <c r="B886"/>
      <c r="C886"/>
      <c r="D886"/>
      <c r="E886"/>
      <c r="F886"/>
      <c r="G886"/>
      <c r="H886"/>
      <c r="I886"/>
      <c r="J886"/>
      <c r="K886"/>
    </row>
    <row r="887" spans="1:11" ht="12.75">
      <c r="A887"/>
      <c r="B887"/>
      <c r="C887"/>
      <c r="D887"/>
      <c r="E887"/>
      <c r="F887"/>
      <c r="G887"/>
      <c r="H887"/>
      <c r="I887"/>
      <c r="J887"/>
      <c r="K887"/>
    </row>
    <row r="888" spans="1:11" ht="12.75">
      <c r="A888"/>
      <c r="B888"/>
      <c r="C888"/>
      <c r="D888"/>
      <c r="E888"/>
      <c r="F888"/>
      <c r="G888"/>
      <c r="H888"/>
      <c r="I888"/>
      <c r="J888"/>
      <c r="K888"/>
    </row>
    <row r="889" spans="1:11" ht="12.75">
      <c r="A889"/>
      <c r="B889"/>
      <c r="C889"/>
      <c r="D889"/>
      <c r="E889"/>
      <c r="F889"/>
      <c r="G889"/>
      <c r="H889"/>
      <c r="I889"/>
      <c r="J889"/>
      <c r="K889"/>
    </row>
    <row r="890" spans="1:11" ht="12.75">
      <c r="A890"/>
      <c r="B890"/>
      <c r="C890"/>
      <c r="D890"/>
      <c r="E890"/>
      <c r="F890"/>
      <c r="G890"/>
      <c r="H890"/>
      <c r="I890"/>
      <c r="J890"/>
      <c r="K890"/>
    </row>
    <row r="891" spans="1:11" ht="12.75">
      <c r="A891"/>
      <c r="B891"/>
      <c r="C891"/>
      <c r="D891"/>
      <c r="E891"/>
      <c r="F891"/>
      <c r="G891"/>
      <c r="H891"/>
      <c r="I891"/>
      <c r="J891"/>
      <c r="K891"/>
    </row>
    <row r="892" spans="1:11" ht="12.75">
      <c r="A892"/>
      <c r="B892"/>
      <c r="C892"/>
      <c r="D892"/>
      <c r="E892"/>
      <c r="F892"/>
      <c r="G892"/>
      <c r="H892"/>
      <c r="I892"/>
      <c r="J892"/>
      <c r="K892"/>
    </row>
    <row r="893" spans="1:11" ht="12.75">
      <c r="A893"/>
      <c r="B893"/>
      <c r="C893"/>
      <c r="D893"/>
      <c r="E893"/>
      <c r="F893"/>
      <c r="G893"/>
      <c r="H893"/>
      <c r="I893"/>
      <c r="J893"/>
      <c r="K893"/>
    </row>
    <row r="894" spans="1:11" ht="12.75">
      <c r="A894"/>
      <c r="B894"/>
      <c r="C894"/>
      <c r="D894"/>
      <c r="E894"/>
      <c r="F894"/>
      <c r="G894"/>
      <c r="H894"/>
      <c r="I894"/>
      <c r="J894"/>
      <c r="K894"/>
    </row>
    <row r="895" spans="1:11" ht="12.75">
      <c r="A895"/>
      <c r="B895"/>
      <c r="C895"/>
      <c r="D895"/>
      <c r="E895"/>
      <c r="F895"/>
      <c r="G895"/>
      <c r="H895"/>
      <c r="I895"/>
      <c r="J895"/>
      <c r="K895"/>
    </row>
    <row r="896" spans="1:11" ht="12.75">
      <c r="A896"/>
      <c r="B896"/>
      <c r="C896"/>
      <c r="D896"/>
      <c r="E896"/>
      <c r="F896"/>
      <c r="G896"/>
      <c r="H896"/>
      <c r="I896"/>
      <c r="J896"/>
      <c r="K896"/>
    </row>
    <row r="897" spans="1:11" ht="12.75">
      <c r="A897"/>
      <c r="B897"/>
      <c r="C897"/>
      <c r="D897"/>
      <c r="E897"/>
      <c r="F897"/>
      <c r="G897"/>
      <c r="H897"/>
      <c r="I897"/>
      <c r="J897"/>
      <c r="K897"/>
    </row>
    <row r="898" spans="1:11" ht="12.75">
      <c r="A898"/>
      <c r="B898"/>
      <c r="C898"/>
      <c r="D898"/>
      <c r="E898"/>
      <c r="F898"/>
      <c r="G898"/>
      <c r="H898"/>
      <c r="I898"/>
      <c r="J898"/>
      <c r="K898"/>
    </row>
    <row r="899" spans="1:11" ht="12.75">
      <c r="A899"/>
      <c r="B899"/>
      <c r="C899"/>
      <c r="D899"/>
      <c r="E899"/>
      <c r="F899"/>
      <c r="G899"/>
      <c r="H899"/>
      <c r="I899"/>
      <c r="J899"/>
      <c r="K899"/>
    </row>
    <row r="900" spans="1:11" ht="12.75">
      <c r="A900"/>
      <c r="B900"/>
      <c r="C900"/>
      <c r="D900"/>
      <c r="E900"/>
      <c r="F900"/>
      <c r="G900"/>
      <c r="H900"/>
      <c r="I900"/>
      <c r="J900"/>
      <c r="K900"/>
    </row>
    <row r="901" spans="1:11" ht="12.75">
      <c r="A901"/>
      <c r="B901"/>
      <c r="C901"/>
      <c r="D901"/>
      <c r="E901"/>
      <c r="F901"/>
      <c r="G901"/>
      <c r="H901"/>
      <c r="I901"/>
      <c r="J901"/>
      <c r="K901"/>
    </row>
    <row r="902" spans="1:11" ht="12.75">
      <c r="A902"/>
      <c r="B902"/>
      <c r="C902"/>
      <c r="D902"/>
      <c r="E902"/>
      <c r="F902"/>
      <c r="G902"/>
      <c r="H902"/>
      <c r="I902"/>
      <c r="J902"/>
      <c r="K902"/>
    </row>
    <row r="903" spans="1:11" ht="12.75">
      <c r="A903"/>
      <c r="B903"/>
      <c r="C903"/>
      <c r="D903"/>
      <c r="E903"/>
      <c r="F903"/>
      <c r="G903"/>
      <c r="H903"/>
      <c r="I903"/>
      <c r="J903"/>
      <c r="K903"/>
    </row>
    <row r="904" spans="1:11" ht="12.75">
      <c r="A904"/>
      <c r="B904"/>
      <c r="C904"/>
      <c r="D904"/>
      <c r="E904"/>
      <c r="F904"/>
      <c r="G904"/>
      <c r="H904"/>
      <c r="I904"/>
      <c r="J904"/>
      <c r="K904"/>
    </row>
    <row r="905" spans="1:11" ht="12.75">
      <c r="A905"/>
      <c r="B905"/>
      <c r="C905"/>
      <c r="D905"/>
      <c r="E905"/>
      <c r="F905"/>
      <c r="G905"/>
      <c r="H905"/>
      <c r="I905"/>
      <c r="J905"/>
      <c r="K905"/>
    </row>
    <row r="906" spans="1:11" ht="12.75">
      <c r="A906"/>
      <c r="B906"/>
      <c r="C906"/>
      <c r="D906"/>
      <c r="E906"/>
      <c r="F906"/>
      <c r="G906"/>
      <c r="H906"/>
      <c r="I906"/>
      <c r="J906"/>
      <c r="K906"/>
    </row>
    <row r="907" spans="1:11" ht="12.75">
      <c r="A907"/>
      <c r="B907"/>
      <c r="C907"/>
      <c r="D907"/>
      <c r="E907"/>
      <c r="F907"/>
      <c r="G907"/>
      <c r="H907"/>
      <c r="I907"/>
      <c r="J907"/>
      <c r="K907"/>
    </row>
    <row r="908" spans="1:11" ht="12.75">
      <c r="A908"/>
      <c r="B908"/>
      <c r="C908"/>
      <c r="D908"/>
      <c r="E908"/>
      <c r="F908"/>
      <c r="G908"/>
      <c r="H908"/>
      <c r="I908"/>
      <c r="J908"/>
      <c r="K908"/>
    </row>
    <row r="909" spans="1:11" ht="12.75">
      <c r="A909"/>
      <c r="B909"/>
      <c r="C909"/>
      <c r="D909"/>
      <c r="E909"/>
      <c r="F909"/>
      <c r="G909"/>
      <c r="H909"/>
      <c r="I909"/>
      <c r="J909"/>
      <c r="K909"/>
    </row>
    <row r="910" spans="1:11" ht="12.75">
      <c r="A910"/>
      <c r="B910"/>
      <c r="C910"/>
      <c r="D910"/>
      <c r="E910"/>
      <c r="F910"/>
      <c r="G910"/>
      <c r="H910"/>
      <c r="I910"/>
      <c r="J910"/>
      <c r="K910"/>
    </row>
    <row r="911" spans="1:11" ht="12.75">
      <c r="A911"/>
      <c r="B911"/>
      <c r="C911"/>
      <c r="D911"/>
      <c r="E911"/>
      <c r="F911"/>
      <c r="G911"/>
      <c r="H911"/>
      <c r="I911"/>
      <c r="J911"/>
      <c r="K911"/>
    </row>
    <row r="912" spans="1:11" ht="12.75">
      <c r="A912"/>
      <c r="B912"/>
      <c r="C912"/>
      <c r="D912"/>
      <c r="E912"/>
      <c r="F912"/>
      <c r="G912"/>
      <c r="H912"/>
      <c r="I912"/>
      <c r="J912"/>
      <c r="K912"/>
    </row>
    <row r="913" spans="1:11" ht="12.75">
      <c r="A913"/>
      <c r="B913"/>
      <c r="C913"/>
      <c r="D913"/>
      <c r="E913"/>
      <c r="F913"/>
      <c r="G913"/>
      <c r="H913"/>
      <c r="I913"/>
      <c r="J913"/>
      <c r="K913"/>
    </row>
    <row r="914" spans="1:11" ht="12.75">
      <c r="A914"/>
      <c r="B914"/>
      <c r="C914"/>
      <c r="D914"/>
      <c r="E914"/>
      <c r="F914"/>
      <c r="G914"/>
      <c r="H914"/>
      <c r="I914"/>
      <c r="J914"/>
      <c r="K914"/>
    </row>
    <row r="915" spans="1:11" ht="12.75">
      <c r="A915"/>
      <c r="B915"/>
      <c r="C915"/>
      <c r="D915"/>
      <c r="E915"/>
      <c r="F915"/>
      <c r="G915"/>
      <c r="H915"/>
      <c r="I915"/>
      <c r="J915"/>
      <c r="K915"/>
    </row>
    <row r="916" spans="1:11" ht="12.75">
      <c r="A916"/>
      <c r="B916"/>
      <c r="C916"/>
      <c r="D916"/>
      <c r="E916"/>
      <c r="F916"/>
      <c r="G916"/>
      <c r="H916"/>
      <c r="I916"/>
      <c r="J916"/>
      <c r="K916"/>
    </row>
    <row r="917" spans="1:11" ht="12.75">
      <c r="A917"/>
      <c r="B917"/>
      <c r="C917"/>
      <c r="D917"/>
      <c r="E917"/>
      <c r="F917"/>
      <c r="G917"/>
      <c r="H917"/>
      <c r="I917"/>
      <c r="J917"/>
      <c r="K917"/>
    </row>
    <row r="918" spans="1:11" ht="12.75">
      <c r="A918"/>
      <c r="B918"/>
      <c r="C918"/>
      <c r="D918"/>
      <c r="E918"/>
      <c r="F918"/>
      <c r="G918"/>
      <c r="H918"/>
      <c r="I918"/>
      <c r="J918"/>
      <c r="K918"/>
    </row>
    <row r="919" spans="1:11" ht="12.75">
      <c r="A919"/>
      <c r="B919"/>
      <c r="C919"/>
      <c r="D919"/>
      <c r="E919"/>
      <c r="F919"/>
      <c r="G919"/>
      <c r="H919"/>
      <c r="I919"/>
      <c r="J919"/>
      <c r="K919"/>
    </row>
    <row r="920" spans="1:11" ht="12.75">
      <c r="A920"/>
      <c r="B920"/>
      <c r="C920"/>
      <c r="D920"/>
      <c r="E920"/>
      <c r="F920"/>
      <c r="G920"/>
      <c r="H920"/>
      <c r="I920"/>
      <c r="J920"/>
      <c r="K920"/>
    </row>
    <row r="921" spans="1:11" ht="12.75">
      <c r="A921"/>
      <c r="B921"/>
      <c r="C921"/>
      <c r="D921"/>
      <c r="E921"/>
      <c r="F921"/>
      <c r="G921"/>
      <c r="H921"/>
      <c r="I921"/>
      <c r="J921"/>
      <c r="K921"/>
    </row>
    <row r="922" spans="1:11" ht="12.75">
      <c r="A922"/>
      <c r="B922"/>
      <c r="C922"/>
      <c r="D922"/>
      <c r="E922"/>
      <c r="F922"/>
      <c r="G922"/>
      <c r="H922"/>
      <c r="I922"/>
      <c r="J922"/>
      <c r="K922"/>
    </row>
    <row r="923" spans="1:11" ht="12.75">
      <c r="A923"/>
      <c r="B923"/>
      <c r="C923"/>
      <c r="D923"/>
      <c r="E923"/>
      <c r="F923"/>
      <c r="G923"/>
      <c r="H923"/>
      <c r="I923"/>
      <c r="J923"/>
      <c r="K923"/>
    </row>
    <row r="924" spans="1:11" ht="12.75">
      <c r="A924"/>
      <c r="B924"/>
      <c r="C924"/>
      <c r="D924"/>
      <c r="E924"/>
      <c r="F924"/>
      <c r="G924"/>
      <c r="H924"/>
      <c r="I924"/>
      <c r="J924"/>
      <c r="K924"/>
    </row>
    <row r="925" spans="1:11" ht="12.75">
      <c r="A925"/>
      <c r="B925"/>
      <c r="C925"/>
      <c r="D925"/>
      <c r="E925"/>
      <c r="F925"/>
      <c r="G925"/>
      <c r="H925"/>
      <c r="I925"/>
      <c r="J925"/>
      <c r="K925"/>
    </row>
    <row r="926" spans="1:11" ht="12.75">
      <c r="A926"/>
      <c r="B926"/>
      <c r="C926"/>
      <c r="D926"/>
      <c r="E926"/>
      <c r="F926"/>
      <c r="G926"/>
      <c r="H926"/>
      <c r="I926"/>
      <c r="J926"/>
      <c r="K926"/>
    </row>
    <row r="927" spans="1:11" ht="12.75">
      <c r="A927"/>
      <c r="B927"/>
      <c r="C927"/>
      <c r="D927"/>
      <c r="E927"/>
      <c r="F927"/>
      <c r="G927"/>
      <c r="H927"/>
      <c r="I927"/>
      <c r="J927"/>
      <c r="K927"/>
    </row>
    <row r="928" spans="1:11" ht="12.75">
      <c r="A928"/>
      <c r="B928"/>
      <c r="C928"/>
      <c r="D928"/>
      <c r="E928"/>
      <c r="F928"/>
      <c r="G928"/>
      <c r="H928"/>
      <c r="I928"/>
      <c r="J928"/>
      <c r="K928"/>
    </row>
    <row r="929" spans="1:11" ht="12.75">
      <c r="A929"/>
      <c r="B929"/>
      <c r="C929"/>
      <c r="D929"/>
      <c r="E929"/>
      <c r="F929"/>
      <c r="G929"/>
      <c r="H929"/>
      <c r="I929"/>
      <c r="J929"/>
      <c r="K929"/>
    </row>
    <row r="930" spans="1:11" ht="12.75">
      <c r="A930"/>
      <c r="B930"/>
      <c r="C930"/>
      <c r="D930"/>
      <c r="E930"/>
      <c r="F930"/>
      <c r="G930"/>
      <c r="H930"/>
      <c r="I930"/>
      <c r="J930"/>
      <c r="K930"/>
    </row>
    <row r="931" spans="1:11" ht="12.75">
      <c r="A931"/>
      <c r="B931"/>
      <c r="C931"/>
      <c r="D931"/>
      <c r="E931"/>
      <c r="F931"/>
      <c r="G931"/>
      <c r="H931"/>
      <c r="I931"/>
      <c r="J931"/>
      <c r="K931"/>
    </row>
    <row r="932" spans="1:11" ht="12.75">
      <c r="A932"/>
      <c r="B932"/>
      <c r="C932"/>
      <c r="D932"/>
      <c r="E932"/>
      <c r="F932"/>
      <c r="G932"/>
      <c r="H932"/>
      <c r="I932"/>
      <c r="J932"/>
      <c r="K932"/>
    </row>
    <row r="933" spans="1:11" ht="12.75">
      <c r="A933"/>
      <c r="B933"/>
      <c r="C933"/>
      <c r="D933"/>
      <c r="E933"/>
      <c r="F933"/>
      <c r="G933"/>
      <c r="H933"/>
      <c r="I933"/>
      <c r="J933"/>
      <c r="K933"/>
    </row>
    <row r="934" spans="1:11" ht="12.75">
      <c r="A934"/>
      <c r="B934"/>
      <c r="C934"/>
      <c r="D934"/>
      <c r="E934"/>
      <c r="F934"/>
      <c r="G934"/>
      <c r="H934"/>
      <c r="I934"/>
      <c r="J934"/>
      <c r="K934"/>
    </row>
    <row r="935" spans="1:11" ht="12.75">
      <c r="A935"/>
      <c r="B935"/>
      <c r="C935"/>
      <c r="D935"/>
      <c r="E935"/>
      <c r="F935"/>
      <c r="G935"/>
      <c r="H935"/>
      <c r="I935"/>
      <c r="J935"/>
      <c r="K935"/>
    </row>
    <row r="936" spans="1:11" ht="12.75">
      <c r="A936"/>
      <c r="B936"/>
      <c r="C936"/>
      <c r="D936"/>
      <c r="E936"/>
      <c r="F936"/>
      <c r="G936"/>
      <c r="H936"/>
      <c r="I936"/>
      <c r="J936"/>
      <c r="K936"/>
    </row>
    <row r="937" spans="1:11" ht="12.75">
      <c r="A937"/>
      <c r="B937"/>
      <c r="C937"/>
      <c r="D937"/>
      <c r="E937"/>
      <c r="F937"/>
      <c r="G937"/>
      <c r="H937"/>
      <c r="I937"/>
      <c r="J937"/>
      <c r="K937"/>
    </row>
    <row r="938" spans="1:11" ht="12.75">
      <c r="A938"/>
      <c r="B938"/>
      <c r="C938"/>
      <c r="D938"/>
      <c r="E938"/>
      <c r="F938"/>
      <c r="G938"/>
      <c r="H938"/>
      <c r="I938"/>
      <c r="J938"/>
      <c r="K938"/>
    </row>
    <row r="939" spans="1:11" ht="12.75">
      <c r="A939"/>
      <c r="B939"/>
      <c r="C939"/>
      <c r="D939"/>
      <c r="E939"/>
      <c r="F939"/>
      <c r="G939"/>
      <c r="H939"/>
      <c r="I939"/>
      <c r="J939"/>
      <c r="K939"/>
    </row>
    <row r="940" spans="1:11" ht="12.75">
      <c r="A940"/>
      <c r="B940"/>
      <c r="C940"/>
      <c r="D940"/>
      <c r="E940"/>
      <c r="F940"/>
      <c r="G940"/>
      <c r="H940"/>
      <c r="I940"/>
      <c r="J940"/>
      <c r="K940"/>
    </row>
    <row r="941" spans="1:11" ht="12.75">
      <c r="A941"/>
      <c r="B941"/>
      <c r="C941"/>
      <c r="D941"/>
      <c r="E941"/>
      <c r="F941"/>
      <c r="G941"/>
      <c r="H941"/>
      <c r="I941"/>
      <c r="J941"/>
      <c r="K941"/>
    </row>
    <row r="942" spans="1:11" ht="12.75">
      <c r="A942"/>
      <c r="B942"/>
      <c r="C942"/>
      <c r="D942"/>
      <c r="E942"/>
      <c r="F942"/>
      <c r="G942"/>
      <c r="H942"/>
      <c r="I942"/>
      <c r="J942"/>
      <c r="K942"/>
    </row>
    <row r="943" spans="1:11" ht="12.75">
      <c r="A943"/>
      <c r="B943"/>
      <c r="C943"/>
      <c r="D943"/>
      <c r="E943"/>
      <c r="F943"/>
      <c r="G943"/>
      <c r="H943"/>
      <c r="I943"/>
      <c r="J943"/>
      <c r="K943"/>
    </row>
    <row r="944" spans="1:11" ht="12.75">
      <c r="A944"/>
      <c r="B944"/>
      <c r="C944"/>
      <c r="D944"/>
      <c r="E944"/>
      <c r="F944"/>
      <c r="G944"/>
      <c r="H944"/>
      <c r="I944"/>
      <c r="J944"/>
      <c r="K944"/>
    </row>
    <row r="945" spans="1:11" ht="12.75">
      <c r="A945"/>
      <c r="B945"/>
      <c r="C945"/>
      <c r="D945"/>
      <c r="E945"/>
      <c r="F945"/>
      <c r="G945"/>
      <c r="H945"/>
      <c r="I945"/>
      <c r="J945"/>
      <c r="K945"/>
    </row>
    <row r="946" spans="1:11" ht="12.75">
      <c r="A946"/>
      <c r="B946"/>
      <c r="C946"/>
      <c r="D946"/>
      <c r="E946"/>
      <c r="F946"/>
      <c r="G946"/>
      <c r="H946"/>
      <c r="I946"/>
      <c r="J946"/>
      <c r="K946"/>
    </row>
    <row r="947" spans="1:11" ht="12.75">
      <c r="A947"/>
      <c r="B947"/>
      <c r="C947"/>
      <c r="D947"/>
      <c r="E947"/>
      <c r="F947"/>
      <c r="G947"/>
      <c r="H947"/>
      <c r="I947"/>
      <c r="J947"/>
      <c r="K947"/>
    </row>
    <row r="948" spans="1:11" ht="12.75">
      <c r="A948"/>
      <c r="B948"/>
      <c r="C948"/>
      <c r="D948"/>
      <c r="E948"/>
      <c r="F948"/>
      <c r="G948"/>
      <c r="H948"/>
      <c r="I948"/>
      <c r="J948"/>
      <c r="K948"/>
    </row>
    <row r="949" spans="1:11" ht="12.75">
      <c r="A949"/>
      <c r="B949"/>
      <c r="C949"/>
      <c r="D949"/>
      <c r="E949"/>
      <c r="F949"/>
      <c r="G949"/>
      <c r="H949"/>
      <c r="I949"/>
      <c r="J949"/>
      <c r="K949"/>
    </row>
    <row r="950" spans="1:11" ht="12.75">
      <c r="A950"/>
      <c r="B950"/>
      <c r="C950"/>
      <c r="D950"/>
      <c r="E950"/>
      <c r="F950"/>
      <c r="G950"/>
      <c r="H950"/>
      <c r="I950"/>
      <c r="J950"/>
      <c r="K950"/>
    </row>
    <row r="951" spans="1:11" ht="12.75">
      <c r="A951"/>
      <c r="B951"/>
      <c r="C951"/>
      <c r="D951"/>
      <c r="E951"/>
      <c r="F951"/>
      <c r="G951"/>
      <c r="H951"/>
      <c r="I951"/>
      <c r="J951"/>
      <c r="K951"/>
    </row>
    <row r="952" spans="1:11" ht="12.75">
      <c r="A952"/>
      <c r="B952"/>
      <c r="C952"/>
      <c r="D952"/>
      <c r="E952"/>
      <c r="F952"/>
      <c r="G952"/>
      <c r="H952"/>
      <c r="I952"/>
      <c r="J952"/>
      <c r="K952"/>
    </row>
    <row r="953" spans="1:11" ht="12.75">
      <c r="A953"/>
      <c r="B953"/>
      <c r="C953"/>
      <c r="D953"/>
      <c r="E953"/>
      <c r="F953"/>
      <c r="G953"/>
      <c r="H953"/>
      <c r="I953"/>
      <c r="J953"/>
      <c r="K953"/>
    </row>
    <row r="954" spans="1:11" ht="12.75">
      <c r="A954"/>
      <c r="B954"/>
      <c r="C954"/>
      <c r="D954"/>
      <c r="E954"/>
      <c r="F954"/>
      <c r="G954"/>
      <c r="H954"/>
      <c r="I954"/>
      <c r="J954"/>
      <c r="K954"/>
    </row>
    <row r="955" spans="1:11" ht="12.75">
      <c r="A955"/>
      <c r="B955"/>
      <c r="C955"/>
      <c r="D955"/>
      <c r="E955"/>
      <c r="F955"/>
      <c r="G955"/>
      <c r="H955"/>
      <c r="I955"/>
      <c r="J955"/>
      <c r="K955"/>
    </row>
    <row r="956" spans="1:11" ht="12.75">
      <c r="A956"/>
      <c r="B956"/>
      <c r="C956"/>
      <c r="D956"/>
      <c r="E956"/>
      <c r="F956"/>
      <c r="G956"/>
      <c r="H956"/>
      <c r="I956"/>
      <c r="J956"/>
      <c r="K956"/>
    </row>
    <row r="957" spans="1:11" ht="12.75">
      <c r="A957"/>
      <c r="B957"/>
      <c r="C957"/>
      <c r="D957"/>
      <c r="E957"/>
      <c r="F957"/>
      <c r="G957"/>
      <c r="H957"/>
      <c r="I957"/>
      <c r="J957"/>
      <c r="K957"/>
    </row>
    <row r="958" spans="1:11" ht="12.75">
      <c r="A958"/>
      <c r="B958"/>
      <c r="C958"/>
      <c r="D958"/>
      <c r="E958"/>
      <c r="F958"/>
      <c r="G958"/>
      <c r="H958"/>
      <c r="I958"/>
      <c r="J958"/>
      <c r="K958"/>
    </row>
    <row r="959" spans="1:11" ht="12.75">
      <c r="A959"/>
      <c r="B959"/>
      <c r="C959"/>
      <c r="D959"/>
      <c r="E959"/>
      <c r="F959"/>
      <c r="G959"/>
      <c r="H959"/>
      <c r="I959"/>
      <c r="J959"/>
      <c r="K959"/>
    </row>
    <row r="960" spans="1:11" ht="12.75">
      <c r="A960"/>
      <c r="B960"/>
      <c r="C960"/>
      <c r="D960"/>
      <c r="E960"/>
      <c r="F960"/>
      <c r="G960"/>
      <c r="H960"/>
      <c r="I960"/>
      <c r="J960"/>
      <c r="K960"/>
    </row>
    <row r="961" spans="1:11" ht="12.75">
      <c r="A961"/>
      <c r="B961"/>
      <c r="C961"/>
      <c r="D961"/>
      <c r="E961"/>
      <c r="F961"/>
      <c r="G961"/>
      <c r="H961"/>
      <c r="I961"/>
      <c r="J961"/>
      <c r="K961"/>
    </row>
    <row r="962" spans="1:11" ht="12.75">
      <c r="A962"/>
      <c r="B962"/>
      <c r="C962"/>
      <c r="D962"/>
      <c r="E962"/>
      <c r="F962"/>
      <c r="G962"/>
      <c r="H962"/>
      <c r="I962"/>
      <c r="J962"/>
      <c r="K962"/>
    </row>
    <row r="963" spans="1:11" ht="12.75">
      <c r="A963"/>
      <c r="B963"/>
      <c r="C963"/>
      <c r="D963"/>
      <c r="E963"/>
      <c r="F963"/>
      <c r="G963"/>
      <c r="H963"/>
      <c r="I963"/>
      <c r="J963"/>
      <c r="K963"/>
    </row>
    <row r="964" spans="1:11" ht="12.75">
      <c r="A964"/>
      <c r="B964"/>
      <c r="C964"/>
      <c r="D964"/>
      <c r="E964"/>
      <c r="F964"/>
      <c r="G964"/>
      <c r="H964"/>
      <c r="I964"/>
      <c r="J964"/>
      <c r="K964"/>
    </row>
    <row r="965" spans="1:11" ht="12.75">
      <c r="A965"/>
      <c r="B965"/>
      <c r="C965"/>
      <c r="D965"/>
      <c r="E965"/>
      <c r="F965"/>
      <c r="G965"/>
      <c r="H965"/>
      <c r="I965"/>
      <c r="J965"/>
      <c r="K965"/>
    </row>
    <row r="966" spans="1:11" ht="12.75">
      <c r="A966"/>
      <c r="B966"/>
      <c r="C966"/>
      <c r="D966"/>
      <c r="E966"/>
      <c r="F966"/>
      <c r="G966"/>
      <c r="H966"/>
      <c r="I966"/>
      <c r="J966"/>
      <c r="K966"/>
    </row>
    <row r="967" spans="1:11" ht="12.75">
      <c r="A967"/>
      <c r="B967"/>
      <c r="C967"/>
      <c r="D967"/>
      <c r="E967"/>
      <c r="F967"/>
      <c r="G967"/>
      <c r="H967"/>
      <c r="I967"/>
      <c r="J967"/>
      <c r="K967"/>
    </row>
    <row r="968" spans="1:11" ht="12.75">
      <c r="A968"/>
      <c r="B968"/>
      <c r="C968"/>
      <c r="D968"/>
      <c r="E968"/>
      <c r="F968"/>
      <c r="G968"/>
      <c r="H968"/>
      <c r="I968"/>
      <c r="J968"/>
      <c r="K968"/>
    </row>
    <row r="969" spans="1:11" ht="12.75">
      <c r="A969"/>
      <c r="B969"/>
      <c r="C969"/>
      <c r="D969"/>
      <c r="E969"/>
      <c r="F969"/>
      <c r="G969"/>
      <c r="H969"/>
      <c r="I969"/>
      <c r="J969"/>
      <c r="K969"/>
    </row>
    <row r="970" spans="1:11" ht="12.75">
      <c r="A970"/>
      <c r="B970"/>
      <c r="C970"/>
      <c r="D970"/>
      <c r="E970"/>
      <c r="F970"/>
      <c r="G970"/>
      <c r="H970"/>
      <c r="I970"/>
      <c r="J970"/>
      <c r="K970"/>
    </row>
    <row r="971" spans="1:11" ht="12.75">
      <c r="A971"/>
      <c r="B971"/>
      <c r="C971"/>
      <c r="D971"/>
      <c r="E971"/>
      <c r="F971"/>
      <c r="G971"/>
      <c r="H971"/>
      <c r="I971"/>
      <c r="J971"/>
      <c r="K971"/>
    </row>
    <row r="972" spans="1:11" ht="12.75">
      <c r="A972"/>
      <c r="B972"/>
      <c r="C972"/>
      <c r="D972"/>
      <c r="E972"/>
      <c r="F972"/>
      <c r="G972"/>
      <c r="H972"/>
      <c r="I972"/>
      <c r="J972"/>
      <c r="K972"/>
    </row>
    <row r="973" spans="1:11" ht="12.75">
      <c r="A973"/>
      <c r="B973"/>
      <c r="C973"/>
      <c r="D973"/>
      <c r="E973"/>
      <c r="F973"/>
      <c r="G973"/>
      <c r="H973"/>
      <c r="I973"/>
      <c r="J973"/>
      <c r="K973"/>
    </row>
    <row r="974" spans="1:11" ht="12.75">
      <c r="A974"/>
      <c r="B974"/>
      <c r="C974"/>
      <c r="D974"/>
      <c r="E974"/>
      <c r="F974"/>
      <c r="G974"/>
      <c r="H974"/>
      <c r="I974"/>
      <c r="J974"/>
      <c r="K974"/>
    </row>
    <row r="975" spans="1:11" ht="12.75">
      <c r="A975"/>
      <c r="B975"/>
      <c r="C975"/>
      <c r="D975"/>
      <c r="E975"/>
      <c r="F975"/>
      <c r="G975"/>
      <c r="H975"/>
      <c r="I975"/>
      <c r="J975"/>
      <c r="K975"/>
    </row>
    <row r="976" spans="1:11" ht="12.75">
      <c r="A976"/>
      <c r="B976"/>
      <c r="C976"/>
      <c r="D976"/>
      <c r="E976"/>
      <c r="F976"/>
      <c r="G976"/>
      <c r="H976"/>
      <c r="I976"/>
      <c r="J976"/>
      <c r="K976"/>
    </row>
    <row r="977" spans="1:11" ht="12.75">
      <c r="A977"/>
      <c r="B977"/>
      <c r="C977"/>
      <c r="D977"/>
      <c r="E977"/>
      <c r="F977"/>
      <c r="G977"/>
      <c r="H977"/>
      <c r="I977"/>
      <c r="J977"/>
      <c r="K977"/>
    </row>
    <row r="978" spans="1:11" ht="12.75">
      <c r="A978"/>
      <c r="B978"/>
      <c r="C978"/>
      <c r="D978"/>
      <c r="E978"/>
      <c r="F978"/>
      <c r="G978"/>
      <c r="H978"/>
      <c r="I978"/>
      <c r="J978"/>
      <c r="K978"/>
    </row>
    <row r="979" spans="1:11" ht="12.75">
      <c r="A979"/>
      <c r="B979"/>
      <c r="C979"/>
      <c r="D979"/>
      <c r="E979"/>
      <c r="F979"/>
      <c r="G979"/>
      <c r="H979"/>
      <c r="I979"/>
      <c r="J979"/>
      <c r="K979"/>
    </row>
    <row r="980" spans="1:11" ht="12.75">
      <c r="A980"/>
      <c r="B980"/>
      <c r="C980"/>
      <c r="D980"/>
      <c r="E980"/>
      <c r="F980"/>
      <c r="G980"/>
      <c r="H980"/>
      <c r="I980"/>
      <c r="J980"/>
      <c r="K980"/>
    </row>
    <row r="981" spans="1:11" ht="12.75">
      <c r="A981"/>
      <c r="B981"/>
      <c r="C981"/>
      <c r="D981"/>
      <c r="E981"/>
      <c r="F981"/>
      <c r="G981"/>
      <c r="H981"/>
      <c r="I981"/>
      <c r="J981"/>
      <c r="K981"/>
    </row>
    <row r="982" spans="1:11" ht="12.75">
      <c r="A982"/>
      <c r="B982"/>
      <c r="C982"/>
      <c r="D982"/>
      <c r="E982"/>
      <c r="F982"/>
      <c r="G982"/>
      <c r="H982"/>
      <c r="I982"/>
      <c r="J982"/>
      <c r="K982"/>
    </row>
    <row r="983" spans="1:11" ht="12.75">
      <c r="A983"/>
      <c r="B983"/>
      <c r="C983"/>
      <c r="D983"/>
      <c r="E983"/>
      <c r="F983"/>
      <c r="G983"/>
      <c r="H983"/>
      <c r="I983"/>
      <c r="J983"/>
      <c r="K983"/>
    </row>
    <row r="984" spans="1:11" ht="12.75">
      <c r="A984"/>
      <c r="B984"/>
      <c r="C984"/>
      <c r="D984"/>
      <c r="E984"/>
      <c r="F984"/>
      <c r="G984"/>
      <c r="H984"/>
      <c r="I984"/>
      <c r="J984"/>
      <c r="K984"/>
    </row>
    <row r="985" spans="1:11" ht="12.75">
      <c r="A985"/>
      <c r="B985"/>
      <c r="C985"/>
      <c r="D985"/>
      <c r="E985"/>
      <c r="F985"/>
      <c r="G985"/>
      <c r="H985"/>
      <c r="I985"/>
      <c r="J985"/>
      <c r="K985"/>
    </row>
    <row r="986" spans="1:11" ht="12.75">
      <c r="A986"/>
      <c r="B986"/>
      <c r="C986"/>
      <c r="D986"/>
      <c r="E986"/>
      <c r="F986"/>
      <c r="G986"/>
      <c r="H986"/>
      <c r="I986"/>
      <c r="J986"/>
      <c r="K986"/>
    </row>
    <row r="987" spans="1:11" ht="12.75">
      <c r="A987"/>
      <c r="B987"/>
      <c r="C987"/>
      <c r="D987"/>
      <c r="E987"/>
      <c r="F987"/>
      <c r="G987"/>
      <c r="H987"/>
      <c r="I987"/>
      <c r="J987"/>
      <c r="K987"/>
    </row>
    <row r="988" spans="1:11" ht="12.75">
      <c r="A988"/>
      <c r="B988"/>
      <c r="C988"/>
      <c r="D988"/>
      <c r="E988"/>
      <c r="F988"/>
      <c r="G988"/>
      <c r="H988"/>
      <c r="I988"/>
      <c r="J988"/>
      <c r="K988"/>
    </row>
    <row r="989" spans="1:11" ht="12.75">
      <c r="A989"/>
      <c r="B989"/>
      <c r="C989"/>
      <c r="D989"/>
      <c r="E989"/>
      <c r="F989"/>
      <c r="G989"/>
      <c r="H989"/>
      <c r="I989"/>
      <c r="J989"/>
      <c r="K989"/>
    </row>
    <row r="990" spans="1:11" ht="12.75">
      <c r="A990"/>
      <c r="B990"/>
      <c r="C990"/>
      <c r="D990"/>
      <c r="E990"/>
      <c r="F990"/>
      <c r="G990"/>
      <c r="H990"/>
      <c r="I990"/>
      <c r="J990"/>
      <c r="K990"/>
    </row>
    <row r="991" spans="1:11" ht="12.75">
      <c r="A991"/>
      <c r="B991"/>
      <c r="C991"/>
      <c r="D991"/>
      <c r="E991"/>
      <c r="F991"/>
      <c r="G991"/>
      <c r="H991"/>
      <c r="I991"/>
      <c r="J991"/>
      <c r="K991"/>
    </row>
    <row r="992" spans="1:11" ht="12.75">
      <c r="A992"/>
      <c r="B992"/>
      <c r="C992"/>
      <c r="D992"/>
      <c r="E992"/>
      <c r="F992"/>
      <c r="G992"/>
      <c r="H992"/>
      <c r="I992"/>
      <c r="J992"/>
      <c r="K992"/>
    </row>
    <row r="993" spans="1:11" ht="12.75">
      <c r="A993"/>
      <c r="B993"/>
      <c r="C993"/>
      <c r="D993"/>
      <c r="E993"/>
      <c r="F993"/>
      <c r="G993"/>
      <c r="H993"/>
      <c r="I993"/>
      <c r="J993"/>
      <c r="K993"/>
    </row>
    <row r="994" spans="1:11" ht="12.75">
      <c r="A994"/>
      <c r="B994"/>
      <c r="C994"/>
      <c r="D994"/>
      <c r="E994"/>
      <c r="F994"/>
      <c r="G994"/>
      <c r="H994"/>
      <c r="I994"/>
      <c r="J994"/>
      <c r="K994"/>
    </row>
    <row r="995" spans="1:11" ht="12.75">
      <c r="A995"/>
      <c r="B995"/>
      <c r="C995"/>
      <c r="D995"/>
      <c r="E995"/>
      <c r="F995"/>
      <c r="G995"/>
      <c r="H995"/>
      <c r="I995"/>
      <c r="J995"/>
      <c r="K995"/>
    </row>
    <row r="996" spans="1:11" ht="12.75">
      <c r="A996"/>
      <c r="B996"/>
      <c r="C996"/>
      <c r="D996"/>
      <c r="E996"/>
      <c r="F996"/>
      <c r="G996"/>
      <c r="H996"/>
      <c r="I996"/>
      <c r="J996"/>
      <c r="K996"/>
    </row>
    <row r="997" spans="1:11" ht="12.75">
      <c r="A997"/>
      <c r="B997"/>
      <c r="C997"/>
      <c r="D997"/>
      <c r="E997"/>
      <c r="F997"/>
      <c r="G997"/>
      <c r="H997"/>
      <c r="I997"/>
      <c r="J997"/>
      <c r="K997"/>
    </row>
    <row r="998" spans="1:11" ht="12.75">
      <c r="A998"/>
      <c r="B998"/>
      <c r="C998"/>
      <c r="D998"/>
      <c r="E998"/>
      <c r="F998"/>
      <c r="G998"/>
      <c r="H998"/>
      <c r="I998"/>
      <c r="J998"/>
      <c r="K998"/>
    </row>
    <row r="999" spans="1:11" ht="12.75">
      <c r="A999"/>
      <c r="B999"/>
      <c r="C999"/>
      <c r="D999"/>
      <c r="E999"/>
      <c r="F999"/>
      <c r="G999"/>
      <c r="H999"/>
      <c r="I999"/>
      <c r="J999"/>
      <c r="K999"/>
    </row>
    <row r="1000" spans="1:11" ht="12.75">
      <c r="A1000"/>
      <c r="B1000"/>
      <c r="C1000"/>
      <c r="D1000"/>
      <c r="E1000"/>
      <c r="F1000"/>
      <c r="G1000"/>
      <c r="H1000"/>
      <c r="I1000"/>
      <c r="J1000"/>
      <c r="K1000"/>
    </row>
    <row r="1001" spans="1:11" ht="12.75">
      <c r="A1001"/>
      <c r="B1001"/>
      <c r="C1001"/>
      <c r="D1001"/>
      <c r="E1001"/>
      <c r="F1001"/>
      <c r="G1001"/>
      <c r="H1001"/>
      <c r="I1001"/>
      <c r="J1001"/>
      <c r="K1001"/>
    </row>
    <row r="1002" spans="1:11" ht="12.75">
      <c r="A1002"/>
      <c r="B1002"/>
      <c r="C1002"/>
      <c r="D1002"/>
      <c r="E1002"/>
      <c r="F1002"/>
      <c r="G1002"/>
      <c r="H1002"/>
      <c r="I1002"/>
      <c r="J1002"/>
      <c r="K1002"/>
    </row>
    <row r="1003" spans="1:11" ht="12.75">
      <c r="A1003"/>
      <c r="B1003"/>
      <c r="C1003"/>
      <c r="D1003"/>
      <c r="E1003"/>
      <c r="F1003"/>
      <c r="G1003"/>
      <c r="H1003"/>
      <c r="I1003"/>
      <c r="J1003"/>
      <c r="K1003"/>
    </row>
    <row r="1004" spans="1:11" ht="12.75">
      <c r="A1004"/>
      <c r="B1004"/>
      <c r="C1004"/>
      <c r="D1004"/>
      <c r="E1004"/>
      <c r="F1004"/>
      <c r="G1004"/>
      <c r="H1004"/>
      <c r="I1004"/>
      <c r="J1004"/>
      <c r="K1004"/>
    </row>
    <row r="1005" spans="1:11" ht="12.75">
      <c r="A1005"/>
      <c r="B1005"/>
      <c r="C1005"/>
      <c r="D1005"/>
      <c r="E1005"/>
      <c r="F1005"/>
      <c r="G1005"/>
      <c r="H1005"/>
      <c r="I1005"/>
      <c r="J1005"/>
      <c r="K1005"/>
    </row>
    <row r="1006" spans="1:11" ht="12.75">
      <c r="A1006"/>
      <c r="B1006"/>
      <c r="C1006"/>
      <c r="D1006"/>
      <c r="E1006"/>
      <c r="F1006"/>
      <c r="G1006"/>
      <c r="H1006"/>
      <c r="I1006"/>
      <c r="J1006"/>
      <c r="K1006"/>
    </row>
    <row r="1007" spans="1:11" ht="12.75">
      <c r="A1007"/>
      <c r="B1007"/>
      <c r="C1007"/>
      <c r="D1007"/>
      <c r="E1007"/>
      <c r="F1007"/>
      <c r="G1007"/>
      <c r="H1007"/>
      <c r="I1007"/>
      <c r="J1007"/>
      <c r="K1007"/>
    </row>
    <row r="1008" spans="1:11" ht="12.75">
      <c r="A1008"/>
      <c r="B1008"/>
      <c r="C1008"/>
      <c r="D1008"/>
      <c r="E1008"/>
      <c r="F1008"/>
      <c r="G1008"/>
      <c r="H1008"/>
      <c r="I1008"/>
      <c r="J1008"/>
      <c r="K1008"/>
    </row>
    <row r="1009" spans="1:11" ht="12.75">
      <c r="A1009"/>
      <c r="B1009"/>
      <c r="C1009"/>
      <c r="D1009"/>
      <c r="E1009"/>
      <c r="F1009"/>
      <c r="G1009"/>
      <c r="H1009"/>
      <c r="I1009"/>
      <c r="J1009"/>
      <c r="K1009"/>
    </row>
    <row r="1010" spans="1:11" ht="12.75">
      <c r="A1010"/>
      <c r="B1010"/>
      <c r="C1010"/>
      <c r="D1010"/>
      <c r="E1010"/>
      <c r="F1010"/>
      <c r="G1010"/>
      <c r="H1010"/>
      <c r="I1010"/>
      <c r="J1010"/>
      <c r="K1010"/>
    </row>
    <row r="1011" spans="1:11" ht="12.75">
      <c r="A1011"/>
      <c r="B1011"/>
      <c r="C1011"/>
      <c r="D1011"/>
      <c r="E1011"/>
      <c r="F1011"/>
      <c r="G1011"/>
      <c r="H1011"/>
      <c r="I1011"/>
      <c r="J1011"/>
      <c r="K1011"/>
    </row>
    <row r="1012" spans="1:11" ht="12.75">
      <c r="A1012"/>
      <c r="B1012"/>
      <c r="C1012"/>
      <c r="D1012"/>
      <c r="E1012"/>
      <c r="F1012"/>
      <c r="G1012"/>
      <c r="H1012"/>
      <c r="I1012"/>
      <c r="J1012"/>
      <c r="K1012"/>
    </row>
    <row r="1013" spans="1:11" ht="12.75">
      <c r="A1013"/>
      <c r="B1013"/>
      <c r="C1013"/>
      <c r="D1013"/>
      <c r="E1013"/>
      <c r="F1013"/>
      <c r="G1013"/>
      <c r="H1013"/>
      <c r="I1013"/>
      <c r="J1013"/>
      <c r="K1013"/>
    </row>
    <row r="1014" spans="1:11" ht="12.75">
      <c r="A1014"/>
      <c r="B1014"/>
      <c r="C1014"/>
      <c r="D1014"/>
      <c r="E1014"/>
      <c r="F1014"/>
      <c r="G1014"/>
      <c r="H1014"/>
      <c r="I1014"/>
      <c r="J1014"/>
      <c r="K1014"/>
    </row>
    <row r="1015" spans="1:11" ht="12.75">
      <c r="A1015"/>
      <c r="B1015"/>
      <c r="C1015"/>
      <c r="D1015"/>
      <c r="E1015"/>
      <c r="F1015"/>
      <c r="G1015"/>
      <c r="H1015"/>
      <c r="I1015"/>
      <c r="J1015"/>
      <c r="K1015"/>
    </row>
    <row r="1016" spans="1:11" ht="12.75">
      <c r="A1016"/>
      <c r="B1016"/>
      <c r="C1016"/>
      <c r="D1016"/>
      <c r="E1016"/>
      <c r="F1016"/>
      <c r="G1016"/>
      <c r="H1016"/>
      <c r="I1016"/>
      <c r="J1016"/>
      <c r="K1016"/>
    </row>
    <row r="1017" spans="1:11" ht="12.75">
      <c r="A1017"/>
      <c r="B1017"/>
      <c r="C1017"/>
      <c r="D1017"/>
      <c r="E1017"/>
      <c r="F1017"/>
      <c r="G1017"/>
      <c r="H1017"/>
      <c r="I1017"/>
      <c r="J1017"/>
      <c r="K1017"/>
    </row>
    <row r="1018" spans="1:11" ht="12.75">
      <c r="A1018"/>
      <c r="B1018"/>
      <c r="C1018"/>
      <c r="D1018"/>
      <c r="E1018"/>
      <c r="F1018"/>
      <c r="G1018"/>
      <c r="H1018"/>
      <c r="I1018"/>
      <c r="J1018"/>
      <c r="K1018"/>
    </row>
    <row r="1019" spans="1:11" ht="12.75">
      <c r="A1019"/>
      <c r="B1019"/>
      <c r="C1019"/>
      <c r="D1019"/>
      <c r="E1019"/>
      <c r="F1019"/>
      <c r="G1019"/>
      <c r="H1019"/>
      <c r="I1019"/>
      <c r="J1019"/>
      <c r="K1019"/>
    </row>
    <row r="1020" spans="1:11" ht="12.75">
      <c r="A1020"/>
      <c r="B1020"/>
      <c r="C1020"/>
      <c r="D1020"/>
      <c r="E1020"/>
      <c r="F1020"/>
      <c r="G1020"/>
      <c r="H1020"/>
      <c r="I1020"/>
      <c r="J1020"/>
      <c r="K1020"/>
    </row>
    <row r="1021" spans="1:11" ht="12.75">
      <c r="A1021"/>
      <c r="B1021"/>
      <c r="C1021"/>
      <c r="D1021"/>
      <c r="E1021"/>
      <c r="F1021"/>
      <c r="G1021"/>
      <c r="H1021"/>
      <c r="I1021"/>
      <c r="J1021"/>
      <c r="K1021"/>
    </row>
    <row r="1022" spans="1:11" ht="12.75">
      <c r="A1022"/>
      <c r="B1022"/>
      <c r="C1022"/>
      <c r="D1022"/>
      <c r="E1022"/>
      <c r="F1022"/>
      <c r="G1022"/>
      <c r="H1022"/>
      <c r="I1022"/>
      <c r="J1022"/>
      <c r="K1022"/>
    </row>
    <row r="1023" spans="1:11" ht="12.75">
      <c r="A1023"/>
      <c r="B1023"/>
      <c r="C1023"/>
      <c r="D1023"/>
      <c r="E1023"/>
      <c r="F1023"/>
      <c r="G1023"/>
      <c r="H1023"/>
      <c r="I1023"/>
      <c r="J1023"/>
      <c r="K1023"/>
    </row>
    <row r="1024" spans="1:11" ht="12.75">
      <c r="A1024"/>
      <c r="B1024"/>
      <c r="C1024"/>
      <c r="D1024"/>
      <c r="E1024"/>
      <c r="F1024"/>
      <c r="G1024"/>
      <c r="H1024"/>
      <c r="I1024"/>
      <c r="J1024"/>
      <c r="K1024"/>
    </row>
    <row r="1025" spans="1:11" ht="12.75">
      <c r="A1025"/>
      <c r="B1025"/>
      <c r="C1025"/>
      <c r="D1025"/>
      <c r="E1025"/>
      <c r="F1025"/>
      <c r="G1025"/>
      <c r="H1025"/>
      <c r="I1025"/>
      <c r="J1025"/>
      <c r="K1025"/>
    </row>
    <row r="1026" spans="1:11" ht="12.75">
      <c r="A1026"/>
      <c r="B1026"/>
      <c r="C1026"/>
      <c r="D1026"/>
      <c r="E1026"/>
      <c r="F1026"/>
      <c r="G1026"/>
      <c r="H1026"/>
      <c r="I1026"/>
      <c r="J1026"/>
      <c r="K1026"/>
    </row>
    <row r="1027" spans="1:11" ht="12.75">
      <c r="A1027"/>
      <c r="B1027"/>
      <c r="C1027"/>
      <c r="D1027"/>
      <c r="E1027"/>
      <c r="F1027"/>
      <c r="G1027"/>
      <c r="H1027"/>
      <c r="I1027"/>
      <c r="J1027"/>
      <c r="K1027"/>
    </row>
    <row r="1028" spans="1:11" ht="12.75">
      <c r="A1028"/>
      <c r="B1028"/>
      <c r="C1028"/>
      <c r="D1028"/>
      <c r="E1028"/>
      <c r="F1028"/>
      <c r="G1028"/>
      <c r="H1028"/>
      <c r="I1028"/>
      <c r="J1028"/>
      <c r="K1028"/>
    </row>
    <row r="1029" spans="1:11" ht="12.75">
      <c r="A1029"/>
      <c r="B1029"/>
      <c r="C1029"/>
      <c r="D1029"/>
      <c r="E1029"/>
      <c r="F1029"/>
      <c r="G1029"/>
      <c r="H1029"/>
      <c r="I1029"/>
      <c r="J1029"/>
      <c r="K1029"/>
    </row>
    <row r="1030" spans="1:11" ht="12.75">
      <c r="A1030"/>
      <c r="B1030"/>
      <c r="C1030"/>
      <c r="D1030"/>
      <c r="E1030"/>
      <c r="F1030"/>
      <c r="G1030"/>
      <c r="H1030"/>
      <c r="I1030"/>
      <c r="J1030"/>
      <c r="K1030"/>
    </row>
    <row r="1031" spans="1:11" ht="12.75">
      <c r="A1031"/>
      <c r="B1031"/>
      <c r="C1031"/>
      <c r="D1031"/>
      <c r="E1031"/>
      <c r="F1031"/>
      <c r="G1031"/>
      <c r="H1031"/>
      <c r="I1031"/>
      <c r="J1031"/>
      <c r="K1031"/>
    </row>
    <row r="1032" spans="1:11" ht="12.75">
      <c r="A1032"/>
      <c r="B1032"/>
      <c r="C1032"/>
      <c r="D1032"/>
      <c r="E1032"/>
      <c r="F1032"/>
      <c r="G1032"/>
      <c r="H1032"/>
      <c r="I1032"/>
      <c r="J1032"/>
      <c r="K1032"/>
    </row>
    <row r="1033" spans="1:11" ht="12.75">
      <c r="A1033"/>
      <c r="B1033"/>
      <c r="C1033"/>
      <c r="D1033"/>
      <c r="E1033"/>
      <c r="F1033"/>
      <c r="G1033"/>
      <c r="H1033"/>
      <c r="I1033"/>
      <c r="J1033"/>
      <c r="K1033"/>
    </row>
    <row r="1034" spans="1:11" ht="12.75">
      <c r="A1034"/>
      <c r="B1034"/>
      <c r="C1034"/>
      <c r="D1034"/>
      <c r="E1034"/>
      <c r="F1034"/>
      <c r="G1034"/>
      <c r="H1034"/>
      <c r="I1034"/>
      <c r="J1034"/>
      <c r="K1034"/>
    </row>
    <row r="1035" spans="1:11" ht="12.75">
      <c r="A1035"/>
      <c r="B1035"/>
      <c r="C1035"/>
      <c r="D1035"/>
      <c r="E1035"/>
      <c r="F1035"/>
      <c r="G1035"/>
      <c r="H1035"/>
      <c r="I1035"/>
      <c r="J1035"/>
      <c r="K1035"/>
    </row>
    <row r="1036" spans="1:11" ht="12.75">
      <c r="A1036"/>
      <c r="B1036"/>
      <c r="C1036"/>
      <c r="D1036"/>
      <c r="E1036"/>
      <c r="F1036"/>
      <c r="G1036"/>
      <c r="H1036"/>
      <c r="I1036"/>
      <c r="J1036"/>
      <c r="K1036"/>
    </row>
    <row r="1037" spans="1:11" ht="12.75">
      <c r="A1037"/>
      <c r="B1037"/>
      <c r="C1037"/>
      <c r="D1037"/>
      <c r="E1037"/>
      <c r="F1037"/>
      <c r="G1037"/>
      <c r="H1037"/>
      <c r="I1037"/>
      <c r="J1037"/>
      <c r="K1037"/>
    </row>
    <row r="1038" spans="1:11" ht="12.75">
      <c r="A1038"/>
      <c r="B1038"/>
      <c r="C1038"/>
      <c r="D1038"/>
      <c r="E1038"/>
      <c r="F1038"/>
      <c r="G1038"/>
      <c r="H1038"/>
      <c r="I1038"/>
      <c r="J1038"/>
      <c r="K1038"/>
    </row>
    <row r="1039" spans="1:11" ht="12.75">
      <c r="A1039"/>
      <c r="B1039"/>
      <c r="C1039"/>
      <c r="D1039"/>
      <c r="E1039"/>
      <c r="F1039"/>
      <c r="G1039"/>
      <c r="H1039"/>
      <c r="I1039"/>
      <c r="J1039"/>
      <c r="K1039"/>
    </row>
    <row r="1040" spans="1:11" ht="12.75">
      <c r="A1040"/>
      <c r="B1040"/>
      <c r="C1040"/>
      <c r="D1040"/>
      <c r="E1040"/>
      <c r="F1040"/>
      <c r="G1040"/>
      <c r="H1040"/>
      <c r="I1040"/>
      <c r="J1040"/>
      <c r="K1040"/>
    </row>
    <row r="1041" spans="1:11" ht="12.75">
      <c r="A1041"/>
      <c r="B1041"/>
      <c r="C1041"/>
      <c r="D1041"/>
      <c r="E1041"/>
      <c r="F1041"/>
      <c r="G1041"/>
      <c r="H1041"/>
      <c r="I1041"/>
      <c r="J1041"/>
      <c r="K1041"/>
    </row>
    <row r="1042" spans="1:11" ht="12.75">
      <c r="A1042"/>
      <c r="B1042"/>
      <c r="C1042"/>
      <c r="D1042"/>
      <c r="E1042"/>
      <c r="F1042"/>
      <c r="G1042"/>
      <c r="H1042"/>
      <c r="I1042"/>
      <c r="J1042"/>
      <c r="K1042"/>
    </row>
    <row r="1043" spans="1:11" ht="12.75">
      <c r="A1043"/>
      <c r="B1043"/>
      <c r="C1043"/>
      <c r="D1043"/>
      <c r="E1043"/>
      <c r="F1043"/>
      <c r="G1043"/>
      <c r="H1043"/>
      <c r="I1043"/>
      <c r="J1043"/>
      <c r="K1043"/>
    </row>
    <row r="1044" spans="1:11" ht="12.75">
      <c r="A1044"/>
      <c r="B1044"/>
      <c r="C1044"/>
      <c r="D1044"/>
      <c r="E1044"/>
      <c r="F1044"/>
      <c r="G1044"/>
      <c r="H1044"/>
      <c r="I1044"/>
      <c r="J1044"/>
      <c r="K1044"/>
    </row>
    <row r="1045" spans="1:11" ht="12.75">
      <c r="A1045"/>
      <c r="B1045"/>
      <c r="C1045"/>
      <c r="D1045"/>
      <c r="E1045"/>
      <c r="F1045"/>
      <c r="G1045"/>
      <c r="H1045"/>
      <c r="I1045"/>
      <c r="J1045"/>
      <c r="K1045"/>
    </row>
    <row r="1046" spans="1:11" ht="12.75">
      <c r="A1046"/>
      <c r="B1046"/>
      <c r="C1046"/>
      <c r="D1046"/>
      <c r="E1046"/>
      <c r="F1046"/>
      <c r="G1046"/>
      <c r="H1046"/>
      <c r="I1046"/>
      <c r="J1046"/>
      <c r="K1046"/>
    </row>
    <row r="1047" spans="1:11" ht="12.75">
      <c r="A1047"/>
      <c r="B1047"/>
      <c r="C1047"/>
      <c r="D1047"/>
      <c r="E1047"/>
      <c r="F1047"/>
      <c r="G1047"/>
      <c r="H1047"/>
      <c r="I1047"/>
      <c r="J1047"/>
      <c r="K1047"/>
    </row>
    <row r="1048" spans="1:11" ht="12.75">
      <c r="A1048"/>
      <c r="B1048"/>
      <c r="C1048"/>
      <c r="D1048"/>
      <c r="E1048"/>
      <c r="F1048"/>
      <c r="G1048"/>
      <c r="H1048"/>
      <c r="I1048"/>
      <c r="J1048"/>
      <c r="K1048"/>
    </row>
    <row r="1049" spans="1:11" ht="12.75">
      <c r="A1049"/>
      <c r="B1049"/>
      <c r="C1049"/>
      <c r="D1049"/>
      <c r="E1049"/>
      <c r="F1049"/>
      <c r="G1049"/>
      <c r="H1049"/>
      <c r="I1049"/>
      <c r="J1049"/>
      <c r="K1049"/>
    </row>
    <row r="1050" spans="1:11" ht="12.75">
      <c r="A1050"/>
      <c r="B1050"/>
      <c r="C1050"/>
      <c r="D1050"/>
      <c r="E1050"/>
      <c r="F1050"/>
      <c r="G1050"/>
      <c r="H1050"/>
      <c r="I1050"/>
      <c r="J1050"/>
      <c r="K1050"/>
    </row>
    <row r="1051" spans="1:11" ht="12.75">
      <c r="A1051"/>
      <c r="B1051"/>
      <c r="C1051"/>
      <c r="D1051"/>
      <c r="E1051"/>
      <c r="F1051"/>
      <c r="G1051"/>
      <c r="H1051"/>
      <c r="I1051"/>
      <c r="J1051"/>
      <c r="K1051"/>
    </row>
    <row r="1052" spans="1:11" ht="12.75">
      <c r="A1052"/>
      <c r="B1052"/>
      <c r="C1052"/>
      <c r="D1052"/>
      <c r="E1052"/>
      <c r="F1052"/>
      <c r="G1052"/>
      <c r="H1052"/>
      <c r="I1052"/>
      <c r="J1052"/>
      <c r="K1052"/>
    </row>
    <row r="1053" spans="1:11" ht="12.75">
      <c r="A1053"/>
      <c r="B1053"/>
      <c r="C1053"/>
      <c r="D1053"/>
      <c r="E1053"/>
      <c r="F1053"/>
      <c r="G1053"/>
      <c r="H1053"/>
      <c r="I1053"/>
      <c r="J1053"/>
      <c r="K1053"/>
    </row>
    <row r="1054" spans="1:11" ht="12.75">
      <c r="A1054"/>
      <c r="B1054"/>
      <c r="C1054"/>
      <c r="D1054"/>
      <c r="E1054"/>
      <c r="F1054"/>
      <c r="G1054"/>
      <c r="H1054"/>
      <c r="I1054"/>
      <c r="J1054"/>
      <c r="K1054"/>
    </row>
    <row r="1055" spans="1:11" ht="12.75">
      <c r="A1055"/>
      <c r="B1055"/>
      <c r="C1055"/>
      <c r="D1055"/>
      <c r="E1055"/>
      <c r="F1055"/>
      <c r="G1055"/>
      <c r="H1055"/>
      <c r="I1055"/>
      <c r="J1055"/>
      <c r="K1055"/>
    </row>
    <row r="1056" spans="1:11" ht="12.75">
      <c r="A1056"/>
      <c r="B1056"/>
      <c r="C1056"/>
      <c r="D1056"/>
      <c r="E1056"/>
      <c r="F1056"/>
      <c r="G1056"/>
      <c r="H1056"/>
      <c r="I1056"/>
      <c r="J1056"/>
      <c r="K1056"/>
    </row>
    <row r="1057" spans="1:11" ht="12.75">
      <c r="A1057"/>
      <c r="B1057"/>
      <c r="C1057"/>
      <c r="D1057"/>
      <c r="E1057"/>
      <c r="F1057"/>
      <c r="G1057"/>
      <c r="H1057"/>
      <c r="I1057"/>
      <c r="J1057"/>
      <c r="K1057"/>
    </row>
    <row r="1058" spans="1:11" ht="12.75">
      <c r="A1058"/>
      <c r="B1058"/>
      <c r="C1058"/>
      <c r="D1058"/>
      <c r="E1058"/>
      <c r="F1058"/>
      <c r="G1058"/>
      <c r="H1058"/>
      <c r="I1058"/>
      <c r="J1058"/>
      <c r="K1058"/>
    </row>
    <row r="1059" spans="1:11" ht="12.75">
      <c r="A1059"/>
      <c r="B1059"/>
      <c r="C1059"/>
      <c r="D1059"/>
      <c r="E1059"/>
      <c r="F1059"/>
      <c r="G1059"/>
      <c r="H1059"/>
      <c r="I1059"/>
      <c r="J1059"/>
      <c r="K1059"/>
    </row>
    <row r="1060" spans="1:11" ht="12.75">
      <c r="A1060"/>
      <c r="B1060"/>
      <c r="C1060"/>
      <c r="D1060"/>
      <c r="E1060"/>
      <c r="F1060"/>
      <c r="G1060"/>
      <c r="H1060"/>
      <c r="I1060"/>
      <c r="J1060"/>
      <c r="K1060"/>
    </row>
    <row r="1061" spans="1:11" ht="12.75">
      <c r="A1061"/>
      <c r="B1061"/>
      <c r="C1061"/>
      <c r="D1061"/>
      <c r="E1061"/>
      <c r="F1061"/>
      <c r="G1061"/>
      <c r="H1061"/>
      <c r="I1061"/>
      <c r="J1061"/>
      <c r="K1061"/>
    </row>
    <row r="1062" spans="1:11" ht="12.75">
      <c r="A1062"/>
      <c r="B1062"/>
      <c r="C1062"/>
      <c r="D1062"/>
      <c r="E1062"/>
      <c r="F1062"/>
      <c r="G1062"/>
      <c r="H1062"/>
      <c r="I1062"/>
      <c r="J1062"/>
      <c r="K1062"/>
    </row>
    <row r="1063" spans="1:11" ht="12.75">
      <c r="A1063"/>
      <c r="B1063"/>
      <c r="C1063"/>
      <c r="D1063"/>
      <c r="E1063"/>
      <c r="F1063"/>
      <c r="G1063"/>
      <c r="H1063"/>
      <c r="I1063"/>
      <c r="J1063"/>
      <c r="K1063"/>
    </row>
    <row r="1064" spans="1:11" ht="12.75">
      <c r="A1064"/>
      <c r="B1064"/>
      <c r="C1064"/>
      <c r="D1064"/>
      <c r="E1064"/>
      <c r="F1064"/>
      <c r="G1064"/>
      <c r="H1064"/>
      <c r="I1064"/>
      <c r="J1064"/>
      <c r="K1064"/>
    </row>
    <row r="1065" spans="1:11" ht="12.75">
      <c r="A1065"/>
      <c r="B1065"/>
      <c r="C1065"/>
      <c r="D1065"/>
      <c r="E1065"/>
      <c r="F1065"/>
      <c r="G1065"/>
      <c r="H1065"/>
      <c r="I1065"/>
      <c r="J1065"/>
      <c r="K1065"/>
    </row>
    <row r="1066" spans="1:11" ht="12.75">
      <c r="A1066"/>
      <c r="B1066"/>
      <c r="C1066"/>
      <c r="D1066"/>
      <c r="E1066"/>
      <c r="F1066"/>
      <c r="G1066"/>
      <c r="H1066"/>
      <c r="I1066"/>
      <c r="J1066"/>
      <c r="K1066"/>
    </row>
    <row r="1067" spans="1:11" ht="12.75">
      <c r="A1067"/>
      <c r="B1067"/>
      <c r="C1067"/>
      <c r="D1067"/>
      <c r="E1067"/>
      <c r="F1067"/>
      <c r="G1067"/>
      <c r="H1067"/>
      <c r="I1067"/>
      <c r="J1067"/>
      <c r="K1067"/>
    </row>
    <row r="1068" spans="1:11" ht="12.75">
      <c r="A1068"/>
      <c r="B1068"/>
      <c r="C1068"/>
      <c r="D1068"/>
      <c r="E1068"/>
      <c r="F1068"/>
      <c r="G1068"/>
      <c r="H1068"/>
      <c r="I1068"/>
      <c r="J1068"/>
      <c r="K1068"/>
    </row>
    <row r="1069" spans="1:11" ht="12.75">
      <c r="A1069"/>
      <c r="B1069"/>
      <c r="C1069"/>
      <c r="D1069"/>
      <c r="E1069"/>
      <c r="F1069"/>
      <c r="G1069"/>
      <c r="H1069"/>
      <c r="I1069"/>
      <c r="J1069"/>
      <c r="K1069"/>
    </row>
    <row r="1070" spans="1:11" ht="12.75">
      <c r="A1070"/>
      <c r="B1070"/>
      <c r="C1070"/>
      <c r="D1070"/>
      <c r="E1070"/>
      <c r="F1070"/>
      <c r="G1070"/>
      <c r="H1070"/>
      <c r="I1070"/>
      <c r="J1070"/>
      <c r="K1070"/>
    </row>
    <row r="1071" spans="1:11" ht="12.75">
      <c r="A1071"/>
      <c r="B1071"/>
      <c r="C1071"/>
      <c r="D1071"/>
      <c r="E1071"/>
      <c r="F1071"/>
      <c r="G1071"/>
      <c r="H1071"/>
      <c r="I1071"/>
      <c r="J1071"/>
      <c r="K1071"/>
    </row>
    <row r="1072" spans="1:11" ht="12.75">
      <c r="A1072"/>
      <c r="B1072"/>
      <c r="C1072"/>
      <c r="D1072"/>
      <c r="E1072"/>
      <c r="F1072"/>
      <c r="G1072"/>
      <c r="H1072"/>
      <c r="I1072"/>
      <c r="J1072"/>
      <c r="K1072"/>
    </row>
    <row r="1073" spans="1:11" ht="12.75">
      <c r="A1073"/>
      <c r="B1073"/>
      <c r="C1073"/>
      <c r="D1073"/>
      <c r="E1073"/>
      <c r="F1073"/>
      <c r="G1073"/>
      <c r="H1073"/>
      <c r="I1073"/>
      <c r="J1073"/>
      <c r="K1073"/>
    </row>
    <row r="1074" spans="1:11" ht="12.75">
      <c r="A1074"/>
      <c r="B1074"/>
      <c r="C1074"/>
      <c r="D1074"/>
      <c r="E1074"/>
      <c r="F1074"/>
      <c r="G1074"/>
      <c r="H1074"/>
      <c r="I1074"/>
      <c r="J1074"/>
      <c r="K1074"/>
    </row>
    <row r="1075" spans="1:11" ht="12.75">
      <c r="A1075"/>
      <c r="B1075"/>
      <c r="C1075"/>
      <c r="D1075"/>
      <c r="E1075"/>
      <c r="F1075"/>
      <c r="G1075"/>
      <c r="H1075"/>
      <c r="I1075"/>
      <c r="J1075"/>
      <c r="K1075"/>
    </row>
    <row r="1076" spans="1:11" ht="12.75">
      <c r="A1076"/>
      <c r="B1076"/>
      <c r="C1076"/>
      <c r="D1076"/>
      <c r="E1076"/>
      <c r="F1076"/>
      <c r="G1076"/>
      <c r="H1076"/>
      <c r="I1076"/>
      <c r="J1076"/>
      <c r="K1076"/>
    </row>
    <row r="1077" spans="1:11" ht="12.75">
      <c r="A1077"/>
      <c r="B1077"/>
      <c r="C1077"/>
      <c r="D1077"/>
      <c r="E1077"/>
      <c r="F1077"/>
      <c r="G1077"/>
      <c r="H1077"/>
      <c r="I1077"/>
      <c r="J1077"/>
      <c r="K1077"/>
    </row>
    <row r="1078" spans="1:11" ht="12.75">
      <c r="A1078"/>
      <c r="B1078"/>
      <c r="C1078"/>
      <c r="D1078"/>
      <c r="E1078"/>
      <c r="F1078"/>
      <c r="G1078"/>
      <c r="H1078"/>
      <c r="I1078"/>
      <c r="J1078"/>
      <c r="K1078"/>
    </row>
    <row r="1079" spans="1:11" ht="12.75">
      <c r="A1079"/>
      <c r="B1079"/>
      <c r="C1079"/>
      <c r="D1079"/>
      <c r="E1079"/>
      <c r="F1079"/>
      <c r="G1079"/>
      <c r="H1079"/>
      <c r="I1079"/>
      <c r="J1079"/>
      <c r="K1079"/>
    </row>
    <row r="1080" spans="1:11" ht="12.75">
      <c r="A1080"/>
      <c r="B1080"/>
      <c r="C1080"/>
      <c r="D1080"/>
      <c r="E1080"/>
      <c r="F1080"/>
      <c r="G1080"/>
      <c r="H1080"/>
      <c r="I1080"/>
      <c r="J1080"/>
      <c r="K1080"/>
    </row>
    <row r="1081" spans="1:11" ht="12.75">
      <c r="A1081"/>
      <c r="B1081"/>
      <c r="C1081"/>
      <c r="D1081"/>
      <c r="E1081"/>
      <c r="F1081"/>
      <c r="G1081"/>
      <c r="H1081"/>
      <c r="I1081"/>
      <c r="J1081"/>
      <c r="K1081"/>
    </row>
    <row r="1082" spans="1:11" ht="12.75">
      <c r="A1082"/>
      <c r="B1082"/>
      <c r="C1082"/>
      <c r="D1082"/>
      <c r="E1082"/>
      <c r="F1082"/>
      <c r="G1082"/>
      <c r="H1082"/>
      <c r="I1082"/>
      <c r="J1082"/>
      <c r="K1082"/>
    </row>
    <row r="1083" spans="1:11" ht="12.75">
      <c r="A1083"/>
      <c r="B1083"/>
      <c r="C1083"/>
      <c r="D1083"/>
      <c r="E1083"/>
      <c r="F1083"/>
      <c r="G1083"/>
      <c r="H1083"/>
      <c r="I1083"/>
      <c r="J1083"/>
      <c r="K1083"/>
    </row>
    <row r="1084" spans="1:11" ht="12.75">
      <c r="A1084"/>
      <c r="B1084"/>
      <c r="C1084"/>
      <c r="D1084"/>
      <c r="E1084"/>
      <c r="F1084"/>
      <c r="G1084"/>
      <c r="H1084"/>
      <c r="I1084"/>
      <c r="J1084"/>
      <c r="K1084"/>
    </row>
    <row r="1085" spans="1:11" ht="12.75">
      <c r="A1085"/>
      <c r="B1085"/>
      <c r="C1085"/>
      <c r="D1085"/>
      <c r="E1085"/>
      <c r="F1085"/>
      <c r="G1085"/>
      <c r="H1085"/>
      <c r="I1085"/>
      <c r="J1085"/>
      <c r="K1085"/>
    </row>
    <row r="1086" spans="1:11" ht="12.75">
      <c r="A1086"/>
      <c r="B1086"/>
      <c r="C1086"/>
      <c r="D1086"/>
      <c r="E1086"/>
      <c r="F1086"/>
      <c r="G1086"/>
      <c r="H1086"/>
      <c r="I1086"/>
      <c r="J1086"/>
      <c r="K1086"/>
    </row>
    <row r="1087" spans="1:11" ht="12.75">
      <c r="A1087"/>
      <c r="B1087"/>
      <c r="C1087"/>
      <c r="D1087"/>
      <c r="E1087"/>
      <c r="F1087"/>
      <c r="G1087"/>
      <c r="H1087"/>
      <c r="I1087"/>
      <c r="J1087"/>
      <c r="K1087"/>
    </row>
    <row r="1088" spans="1:11" ht="12.75">
      <c r="A1088"/>
      <c r="B1088"/>
      <c r="C1088"/>
      <c r="D1088"/>
      <c r="E1088"/>
      <c r="F1088"/>
      <c r="G1088"/>
      <c r="H1088"/>
      <c r="I1088"/>
      <c r="J1088"/>
      <c r="K1088"/>
    </row>
    <row r="1089" spans="1:11" ht="12.75">
      <c r="A1089"/>
      <c r="B1089"/>
      <c r="C1089"/>
      <c r="D1089"/>
      <c r="E1089"/>
      <c r="F1089"/>
      <c r="G1089"/>
      <c r="H1089"/>
      <c r="I1089"/>
      <c r="J1089"/>
      <c r="K1089"/>
    </row>
    <row r="1090" spans="1:11" ht="12.75">
      <c r="A1090"/>
      <c r="B1090"/>
      <c r="C1090"/>
      <c r="D1090"/>
      <c r="E1090"/>
      <c r="F1090"/>
      <c r="G1090"/>
      <c r="H1090"/>
      <c r="I1090"/>
      <c r="J1090"/>
      <c r="K1090"/>
    </row>
    <row r="1091" spans="1:11" ht="12.75">
      <c r="A1091"/>
      <c r="B1091"/>
      <c r="C1091"/>
      <c r="D1091"/>
      <c r="E1091"/>
      <c r="F1091"/>
      <c r="G1091"/>
      <c r="H1091"/>
      <c r="I1091"/>
      <c r="J1091"/>
      <c r="K1091"/>
    </row>
    <row r="1092" spans="1:11" ht="12.75">
      <c r="A1092"/>
      <c r="B1092"/>
      <c r="C1092"/>
      <c r="D1092"/>
      <c r="E1092"/>
      <c r="F1092"/>
      <c r="G1092"/>
      <c r="H1092"/>
      <c r="I1092"/>
      <c r="J1092"/>
      <c r="K1092"/>
    </row>
    <row r="1093" spans="1:11" ht="12.75">
      <c r="A1093"/>
      <c r="B1093"/>
      <c r="C1093"/>
      <c r="D1093"/>
      <c r="E1093"/>
      <c r="F1093"/>
      <c r="G1093"/>
      <c r="H1093"/>
      <c r="I1093"/>
      <c r="J1093"/>
      <c r="K1093"/>
    </row>
    <row r="1094" spans="1:11" ht="12.75">
      <c r="A1094"/>
      <c r="B1094"/>
      <c r="C1094"/>
      <c r="D1094"/>
      <c r="E1094"/>
      <c r="F1094"/>
      <c r="G1094"/>
      <c r="H1094"/>
      <c r="I1094"/>
      <c r="J1094"/>
      <c r="K1094"/>
    </row>
    <row r="1095" spans="1:11" ht="12.75">
      <c r="A1095"/>
      <c r="B1095"/>
      <c r="C1095"/>
      <c r="D1095"/>
      <c r="E1095"/>
      <c r="F1095"/>
      <c r="G1095"/>
      <c r="H1095"/>
      <c r="I1095"/>
      <c r="J1095"/>
      <c r="K1095"/>
    </row>
    <row r="1096" spans="1:11" ht="12.75">
      <c r="A1096"/>
      <c r="B1096"/>
      <c r="C1096"/>
      <c r="D1096"/>
      <c r="E1096"/>
      <c r="F1096"/>
      <c r="G1096"/>
      <c r="H1096"/>
      <c r="I1096"/>
      <c r="J1096"/>
      <c r="K1096"/>
    </row>
    <row r="1097" spans="1:11" ht="12.75">
      <c r="A1097"/>
      <c r="B1097"/>
      <c r="C1097"/>
      <c r="D1097"/>
      <c r="E1097"/>
      <c r="F1097"/>
      <c r="G1097"/>
      <c r="H1097"/>
      <c r="I1097"/>
      <c r="J1097"/>
      <c r="K1097"/>
    </row>
    <row r="1098" spans="1:11" ht="12.75">
      <c r="A1098"/>
      <c r="B1098"/>
      <c r="C1098"/>
      <c r="D1098"/>
      <c r="E1098"/>
      <c r="F1098"/>
      <c r="G1098"/>
      <c r="H1098"/>
      <c r="I1098"/>
      <c r="J1098"/>
      <c r="K1098"/>
    </row>
    <row r="1099" spans="1:11" ht="12.75">
      <c r="A1099"/>
      <c r="B1099"/>
      <c r="C1099"/>
      <c r="D1099"/>
      <c r="E1099"/>
      <c r="F1099"/>
      <c r="G1099"/>
      <c r="H1099"/>
      <c r="I1099"/>
      <c r="J1099"/>
      <c r="K1099"/>
    </row>
    <row r="1100" spans="1:11" ht="12.75">
      <c r="A1100"/>
      <c r="B1100"/>
      <c r="C1100"/>
      <c r="D1100"/>
      <c r="E1100"/>
      <c r="F1100"/>
      <c r="G1100"/>
      <c r="H1100"/>
      <c r="I1100"/>
      <c r="J1100"/>
      <c r="K1100"/>
    </row>
    <row r="1101" spans="1:11" ht="12.75">
      <c r="A1101"/>
      <c r="B1101"/>
      <c r="C1101"/>
      <c r="D1101"/>
      <c r="E1101"/>
      <c r="F1101"/>
      <c r="G1101"/>
      <c r="H1101"/>
      <c r="I1101"/>
      <c r="J1101"/>
      <c r="K1101"/>
    </row>
    <row r="1102" spans="1:11" ht="12.75">
      <c r="A1102"/>
      <c r="B1102"/>
      <c r="C1102"/>
      <c r="D1102"/>
      <c r="E1102"/>
      <c r="F1102"/>
      <c r="G1102"/>
      <c r="H1102"/>
      <c r="I1102"/>
      <c r="J1102"/>
      <c r="K1102"/>
    </row>
    <row r="1103" spans="1:11" ht="12.75">
      <c r="A1103"/>
      <c r="B1103"/>
      <c r="C1103"/>
      <c r="D1103"/>
      <c r="E1103"/>
      <c r="F1103"/>
      <c r="G1103"/>
      <c r="H1103"/>
      <c r="I1103"/>
      <c r="J1103"/>
      <c r="K1103"/>
    </row>
    <row r="1104" spans="1:11" ht="12.75">
      <c r="A1104"/>
      <c r="B1104"/>
      <c r="C1104"/>
      <c r="D1104"/>
      <c r="E1104"/>
      <c r="F1104"/>
      <c r="G1104"/>
      <c r="H1104"/>
      <c r="I1104"/>
      <c r="J1104"/>
      <c r="K1104"/>
    </row>
    <row r="1105" spans="1:11" ht="12.75">
      <c r="A1105"/>
      <c r="B1105"/>
      <c r="C1105"/>
      <c r="D1105"/>
      <c r="E1105"/>
      <c r="F1105"/>
      <c r="G1105"/>
      <c r="H1105"/>
      <c r="I1105"/>
      <c r="J1105"/>
      <c r="K1105"/>
    </row>
    <row r="1106" spans="1:11" ht="12.75">
      <c r="A1106"/>
      <c r="B1106"/>
      <c r="C1106"/>
      <c r="D1106"/>
      <c r="E1106"/>
      <c r="F1106"/>
      <c r="G1106"/>
      <c r="H1106"/>
      <c r="I1106"/>
      <c r="J1106"/>
      <c r="K1106"/>
    </row>
    <row r="1107" spans="1:11" ht="12.75">
      <c r="A1107"/>
      <c r="B1107"/>
      <c r="C1107"/>
      <c r="D1107"/>
      <c r="E1107"/>
      <c r="F1107"/>
      <c r="G1107"/>
      <c r="H1107"/>
      <c r="I1107"/>
      <c r="J1107"/>
      <c r="K1107"/>
    </row>
    <row r="1108" spans="1:11" ht="12.75">
      <c r="A1108"/>
      <c r="B1108"/>
      <c r="C1108"/>
      <c r="D1108"/>
      <c r="E1108"/>
      <c r="F1108"/>
      <c r="G1108"/>
      <c r="H1108"/>
      <c r="I1108"/>
      <c r="J1108"/>
      <c r="K1108"/>
    </row>
    <row r="1109" spans="1:11" ht="12.75">
      <c r="A1109"/>
      <c r="B1109"/>
      <c r="C1109"/>
      <c r="D1109"/>
      <c r="E1109"/>
      <c r="F1109"/>
      <c r="G1109"/>
      <c r="H1109"/>
      <c r="I1109"/>
      <c r="J1109"/>
      <c r="K1109"/>
    </row>
    <row r="1110" spans="1:11" ht="12.75">
      <c r="A1110"/>
      <c r="B1110"/>
      <c r="C1110"/>
      <c r="D1110"/>
      <c r="E1110"/>
      <c r="F1110"/>
      <c r="G1110"/>
      <c r="H1110"/>
      <c r="I1110"/>
      <c r="J1110"/>
      <c r="K1110"/>
    </row>
    <row r="1111" spans="1:11" ht="12.75">
      <c r="A1111"/>
      <c r="B1111"/>
      <c r="C1111"/>
      <c r="D1111"/>
      <c r="E1111"/>
      <c r="F1111"/>
      <c r="G1111"/>
      <c r="H1111"/>
      <c r="I1111"/>
      <c r="J1111"/>
      <c r="K1111"/>
    </row>
    <row r="1112" spans="1:11" ht="12.75">
      <c r="A1112"/>
      <c r="B1112"/>
      <c r="C1112"/>
      <c r="D1112"/>
      <c r="E1112"/>
      <c r="F1112"/>
      <c r="G1112"/>
      <c r="H1112"/>
      <c r="I1112"/>
      <c r="J1112"/>
      <c r="K1112"/>
    </row>
    <row r="1113" spans="1:11" ht="12.75">
      <c r="A1113"/>
      <c r="B1113"/>
      <c r="C1113"/>
      <c r="D1113"/>
      <c r="E1113"/>
      <c r="F1113"/>
      <c r="G1113"/>
      <c r="H1113"/>
      <c r="I1113"/>
      <c r="J1113"/>
      <c r="K1113"/>
    </row>
    <row r="1114" spans="1:11" ht="12.75">
      <c r="A1114"/>
      <c r="B1114"/>
      <c r="C1114"/>
      <c r="D1114"/>
      <c r="E1114"/>
      <c r="F1114"/>
      <c r="G1114"/>
      <c r="H1114"/>
      <c r="I1114"/>
      <c r="J1114"/>
      <c r="K1114"/>
    </row>
    <row r="1115" spans="1:11" ht="12.75">
      <c r="A1115"/>
      <c r="B1115"/>
      <c r="C1115"/>
      <c r="D1115"/>
      <c r="E1115"/>
      <c r="F1115"/>
      <c r="G1115"/>
      <c r="H1115"/>
      <c r="I1115"/>
      <c r="J1115"/>
      <c r="K1115"/>
    </row>
    <row r="1116" spans="1:11" ht="12.75">
      <c r="A1116"/>
      <c r="B1116"/>
      <c r="C1116"/>
      <c r="D1116"/>
      <c r="E1116"/>
      <c r="F1116"/>
      <c r="G1116"/>
      <c r="H1116"/>
      <c r="I1116"/>
      <c r="J1116"/>
      <c r="K1116"/>
    </row>
    <row r="1117" spans="1:11" ht="12.75">
      <c r="A1117"/>
      <c r="B1117"/>
      <c r="C1117"/>
      <c r="D1117"/>
      <c r="E1117"/>
      <c r="F1117"/>
      <c r="G1117"/>
      <c r="H1117"/>
      <c r="I1117"/>
      <c r="J1117"/>
      <c r="K1117"/>
    </row>
    <row r="1118" spans="1:11" ht="12.75">
      <c r="A1118"/>
      <c r="B1118"/>
      <c r="C1118"/>
      <c r="D1118"/>
      <c r="E1118"/>
      <c r="F1118"/>
      <c r="G1118"/>
      <c r="H1118"/>
      <c r="I1118"/>
      <c r="J1118"/>
      <c r="K1118"/>
    </row>
    <row r="1119" spans="1:11" ht="12.75">
      <c r="A1119"/>
      <c r="B1119"/>
      <c r="C1119"/>
      <c r="D1119"/>
      <c r="E1119"/>
      <c r="F1119"/>
      <c r="G1119"/>
      <c r="H1119"/>
      <c r="I1119"/>
      <c r="J1119"/>
      <c r="K1119"/>
    </row>
    <row r="1120" spans="1:11" ht="12.75">
      <c r="A1120"/>
      <c r="B1120"/>
      <c r="C1120"/>
      <c r="D1120"/>
      <c r="E1120"/>
      <c r="F1120"/>
      <c r="G1120"/>
      <c r="H1120"/>
      <c r="I1120"/>
      <c r="J1120"/>
      <c r="K1120"/>
    </row>
    <row r="1121" spans="1:11" ht="12.75">
      <c r="A1121"/>
      <c r="B1121"/>
      <c r="C1121"/>
      <c r="D1121"/>
      <c r="E1121"/>
      <c r="F1121"/>
      <c r="G1121"/>
      <c r="H1121"/>
      <c r="I1121"/>
      <c r="J1121"/>
      <c r="K1121"/>
    </row>
    <row r="1122" spans="1:11" ht="12.75">
      <c r="A1122"/>
      <c r="B1122"/>
      <c r="C1122"/>
      <c r="D1122"/>
      <c r="E1122"/>
      <c r="F1122"/>
      <c r="G1122"/>
      <c r="H1122"/>
      <c r="I1122"/>
      <c r="J1122"/>
      <c r="K1122"/>
    </row>
    <row r="1123" spans="1:11" ht="12.75">
      <c r="A1123"/>
      <c r="B1123"/>
      <c r="C1123"/>
      <c r="D1123"/>
      <c r="E1123"/>
      <c r="F1123"/>
      <c r="G1123"/>
      <c r="H1123"/>
      <c r="I1123"/>
      <c r="J1123"/>
      <c r="K1123"/>
    </row>
    <row r="1124" spans="1:11" ht="12.75">
      <c r="A1124"/>
      <c r="B1124"/>
      <c r="C1124"/>
      <c r="D1124"/>
      <c r="E1124"/>
      <c r="F1124"/>
      <c r="G1124"/>
      <c r="H1124"/>
      <c r="I1124"/>
      <c r="J1124"/>
      <c r="K1124"/>
    </row>
    <row r="1125" spans="1:11" ht="12.75">
      <c r="A1125"/>
      <c r="B1125"/>
      <c r="C1125"/>
      <c r="D1125"/>
      <c r="E1125"/>
      <c r="F1125"/>
      <c r="G1125"/>
      <c r="H1125"/>
      <c r="I1125"/>
      <c r="J1125"/>
      <c r="K1125"/>
    </row>
    <row r="1126" spans="1:11" ht="12.75">
      <c r="A1126"/>
      <c r="B1126"/>
      <c r="C1126"/>
      <c r="D1126"/>
      <c r="E1126"/>
      <c r="F1126"/>
      <c r="G1126"/>
      <c r="H1126"/>
      <c r="I1126"/>
      <c r="J1126"/>
      <c r="K1126"/>
    </row>
    <row r="1127" spans="1:11" ht="12.75">
      <c r="A1127"/>
      <c r="B1127"/>
      <c r="C1127"/>
      <c r="D1127"/>
      <c r="E1127"/>
      <c r="F1127"/>
      <c r="G1127"/>
      <c r="H1127"/>
      <c r="I1127"/>
      <c r="J1127"/>
      <c r="K1127"/>
    </row>
    <row r="1128" spans="1:11" ht="12.75">
      <c r="A1128"/>
      <c r="B1128"/>
      <c r="C1128"/>
      <c r="D1128"/>
      <c r="E1128"/>
      <c r="F1128"/>
      <c r="G1128"/>
      <c r="H1128"/>
      <c r="I1128"/>
      <c r="J1128"/>
      <c r="K1128"/>
    </row>
    <row r="1129" spans="1:11" ht="12.75">
      <c r="A1129"/>
      <c r="B1129"/>
      <c r="C1129"/>
      <c r="D1129"/>
      <c r="E1129"/>
      <c r="F1129"/>
      <c r="G1129"/>
      <c r="H1129"/>
      <c r="I1129"/>
      <c r="J1129"/>
      <c r="K1129"/>
    </row>
    <row r="1130" spans="1:11" ht="12.75">
      <c r="A1130"/>
      <c r="B1130"/>
      <c r="C1130"/>
      <c r="D1130"/>
      <c r="E1130"/>
      <c r="F1130"/>
      <c r="G1130"/>
      <c r="H1130"/>
      <c r="I1130"/>
      <c r="J1130"/>
      <c r="K1130"/>
    </row>
    <row r="1131" spans="1:11" ht="12.75">
      <c r="A1131"/>
      <c r="B1131"/>
      <c r="C1131"/>
      <c r="D1131"/>
      <c r="E1131"/>
      <c r="F1131"/>
      <c r="G1131"/>
      <c r="H1131"/>
      <c r="I1131"/>
      <c r="J1131"/>
      <c r="K1131"/>
    </row>
    <row r="1132" spans="1:11" ht="12.75">
      <c r="A1132"/>
      <c r="B1132"/>
      <c r="C1132"/>
      <c r="D1132"/>
      <c r="E1132"/>
      <c r="F1132"/>
      <c r="G1132"/>
      <c r="H1132"/>
      <c r="I1132"/>
      <c r="J1132"/>
      <c r="K1132"/>
    </row>
    <row r="1133" spans="1:11" ht="12.75">
      <c r="A1133"/>
      <c r="B1133"/>
      <c r="C1133"/>
      <c r="D1133"/>
      <c r="E1133"/>
      <c r="F1133"/>
      <c r="G1133"/>
      <c r="H1133"/>
      <c r="I1133"/>
      <c r="J1133"/>
      <c r="K1133"/>
    </row>
    <row r="1134" spans="1:11" ht="12.75">
      <c r="A1134"/>
      <c r="B1134"/>
      <c r="C1134"/>
      <c r="D1134"/>
      <c r="E1134"/>
      <c r="F1134"/>
      <c r="G1134"/>
      <c r="H1134"/>
      <c r="I1134"/>
      <c r="J1134"/>
      <c r="K1134"/>
    </row>
    <row r="1135" spans="1:11" ht="12.75">
      <c r="A1135"/>
      <c r="B1135"/>
      <c r="C1135"/>
      <c r="D1135"/>
      <c r="E1135"/>
      <c r="F1135"/>
      <c r="G1135"/>
      <c r="H1135"/>
      <c r="I1135"/>
      <c r="J1135"/>
      <c r="K1135"/>
    </row>
    <row r="1136" spans="1:11" ht="12.75">
      <c r="A1136"/>
      <c r="B1136"/>
      <c r="C1136"/>
      <c r="D1136"/>
      <c r="E1136"/>
      <c r="F1136"/>
      <c r="G1136"/>
      <c r="H1136"/>
      <c r="I1136"/>
      <c r="J1136"/>
      <c r="K1136"/>
    </row>
    <row r="1137" spans="1:11" ht="12.75">
      <c r="A1137"/>
      <c r="B1137"/>
      <c r="C1137"/>
      <c r="D1137"/>
      <c r="E1137"/>
      <c r="F1137"/>
      <c r="G1137"/>
      <c r="H1137"/>
      <c r="I1137"/>
      <c r="J1137"/>
      <c r="K1137"/>
    </row>
    <row r="1138" spans="1:11" ht="12.75">
      <c r="A1138"/>
      <c r="B1138"/>
      <c r="C1138"/>
      <c r="D1138"/>
      <c r="E1138"/>
      <c r="F1138"/>
      <c r="G1138"/>
      <c r="H1138"/>
      <c r="I1138"/>
      <c r="J1138"/>
      <c r="K1138"/>
    </row>
    <row r="1139" spans="1:11" ht="12.75">
      <c r="A1139"/>
      <c r="B1139"/>
      <c r="C1139"/>
      <c r="D1139"/>
      <c r="E1139"/>
      <c r="F1139"/>
      <c r="G1139"/>
      <c r="H1139"/>
      <c r="I1139"/>
      <c r="J1139"/>
      <c r="K1139"/>
    </row>
    <row r="1140" spans="1:11" ht="12.75">
      <c r="A1140"/>
      <c r="B1140"/>
      <c r="C1140"/>
      <c r="D1140"/>
      <c r="E1140"/>
      <c r="F1140"/>
      <c r="G1140"/>
      <c r="H1140"/>
      <c r="I1140"/>
      <c r="J1140"/>
      <c r="K1140"/>
    </row>
    <row r="1141" spans="1:11" ht="12.75">
      <c r="A1141"/>
      <c r="B1141"/>
      <c r="C1141"/>
      <c r="D1141"/>
      <c r="E1141"/>
      <c r="F1141"/>
      <c r="G1141"/>
      <c r="H1141"/>
      <c r="I1141"/>
      <c r="J1141"/>
      <c r="K1141"/>
    </row>
    <row r="1142" spans="1:11" ht="12.75">
      <c r="A1142"/>
      <c r="B1142"/>
      <c r="C1142"/>
      <c r="D1142"/>
      <c r="E1142"/>
      <c r="F1142"/>
      <c r="G1142"/>
      <c r="H1142"/>
      <c r="I1142"/>
      <c r="J1142"/>
      <c r="K1142"/>
    </row>
    <row r="1143" spans="1:11" ht="12.75">
      <c r="A1143"/>
      <c r="B1143"/>
      <c r="C1143"/>
      <c r="D1143"/>
      <c r="E1143"/>
      <c r="F1143"/>
      <c r="G1143"/>
      <c r="H1143"/>
      <c r="I1143"/>
      <c r="J1143"/>
      <c r="K1143"/>
    </row>
    <row r="1144" spans="1:11" ht="12.75">
      <c r="A1144"/>
      <c r="B1144"/>
      <c r="C1144"/>
      <c r="D1144"/>
      <c r="E1144"/>
      <c r="F1144"/>
      <c r="G1144"/>
      <c r="H1144"/>
      <c r="I1144"/>
      <c r="J1144"/>
      <c r="K1144"/>
    </row>
    <row r="1145" spans="1:11" ht="12.75">
      <c r="A1145"/>
      <c r="B1145"/>
      <c r="C1145"/>
      <c r="D1145"/>
      <c r="E1145"/>
      <c r="F1145"/>
      <c r="G1145"/>
      <c r="H1145"/>
      <c r="I1145"/>
      <c r="J1145"/>
      <c r="K1145"/>
    </row>
    <row r="1146" spans="1:11" ht="12.75">
      <c r="A1146"/>
      <c r="B1146"/>
      <c r="C1146"/>
      <c r="D1146"/>
      <c r="E1146"/>
      <c r="F1146"/>
      <c r="G1146"/>
      <c r="H1146"/>
      <c r="I1146"/>
      <c r="J1146"/>
      <c r="K1146"/>
    </row>
    <row r="1147" spans="1:11" ht="12.75">
      <c r="A1147"/>
      <c r="B1147"/>
      <c r="C1147"/>
      <c r="D1147"/>
      <c r="E1147"/>
      <c r="F1147"/>
      <c r="G1147"/>
      <c r="H1147"/>
      <c r="I1147"/>
      <c r="J1147"/>
      <c r="K1147"/>
    </row>
    <row r="1148" spans="1:11" ht="12.75">
      <c r="A1148"/>
      <c r="B1148"/>
      <c r="C1148"/>
      <c r="D1148"/>
      <c r="E1148"/>
      <c r="F1148"/>
      <c r="G1148"/>
      <c r="H1148"/>
      <c r="I1148"/>
      <c r="J1148"/>
      <c r="K1148"/>
    </row>
    <row r="1149" spans="1:11" ht="12.75">
      <c r="A1149"/>
      <c r="B1149"/>
      <c r="C1149"/>
      <c r="D1149"/>
      <c r="E1149"/>
      <c r="F1149"/>
      <c r="G1149"/>
      <c r="H1149"/>
      <c r="I1149"/>
      <c r="J1149"/>
      <c r="K1149"/>
    </row>
    <row r="1150" spans="1:11" ht="12.75">
      <c r="A1150"/>
      <c r="B1150"/>
      <c r="C1150"/>
      <c r="D1150"/>
      <c r="E1150"/>
      <c r="F1150"/>
      <c r="G1150"/>
      <c r="H1150"/>
      <c r="I1150"/>
      <c r="J1150"/>
      <c r="K1150"/>
    </row>
    <row r="1151" spans="1:11" ht="12.75">
      <c r="A1151"/>
      <c r="B1151"/>
      <c r="C1151"/>
      <c r="D1151"/>
      <c r="E1151"/>
      <c r="F1151"/>
      <c r="G1151"/>
      <c r="H1151"/>
      <c r="I1151"/>
      <c r="J1151"/>
      <c r="K1151"/>
    </row>
    <row r="1152" spans="1:11" ht="12.75">
      <c r="A1152"/>
      <c r="B1152"/>
      <c r="C1152"/>
      <c r="D1152"/>
      <c r="E1152"/>
      <c r="F1152"/>
      <c r="G1152"/>
      <c r="H1152"/>
      <c r="I1152"/>
      <c r="J1152"/>
      <c r="K1152"/>
    </row>
    <row r="1153" spans="1:11" ht="12.75">
      <c r="A1153"/>
      <c r="B1153"/>
      <c r="C1153"/>
      <c r="D1153"/>
      <c r="E1153"/>
      <c r="F1153"/>
      <c r="G1153"/>
      <c r="H1153"/>
      <c r="I1153"/>
      <c r="J1153"/>
      <c r="K1153"/>
    </row>
    <row r="1154" spans="1:11" ht="12.75">
      <c r="A1154"/>
      <c r="B1154"/>
      <c r="C1154"/>
      <c r="D1154"/>
      <c r="E1154"/>
      <c r="F1154"/>
      <c r="G1154"/>
      <c r="H1154"/>
      <c r="I1154"/>
      <c r="J1154"/>
      <c r="K1154"/>
    </row>
    <row r="1155" spans="1:11" ht="12.75">
      <c r="A1155"/>
      <c r="B1155"/>
      <c r="C1155"/>
      <c r="D1155"/>
      <c r="E1155"/>
      <c r="F1155"/>
      <c r="G1155"/>
      <c r="H1155"/>
      <c r="I1155"/>
      <c r="J1155"/>
      <c r="K1155"/>
    </row>
    <row r="1156" spans="1:11" ht="12.75">
      <c r="A1156"/>
      <c r="B1156"/>
      <c r="C1156"/>
      <c r="D1156"/>
      <c r="E1156"/>
      <c r="F1156"/>
      <c r="G1156"/>
      <c r="H1156"/>
      <c r="I1156"/>
      <c r="J1156"/>
      <c r="K1156"/>
    </row>
    <row r="1157" spans="1:11" ht="12.75">
      <c r="A1157"/>
      <c r="B1157"/>
      <c r="C1157"/>
      <c r="D1157"/>
      <c r="E1157"/>
      <c r="F1157"/>
      <c r="G1157"/>
      <c r="H1157"/>
      <c r="I1157"/>
      <c r="J1157"/>
      <c r="K1157"/>
    </row>
    <row r="1158" spans="1:11" ht="12.75">
      <c r="A1158"/>
      <c r="B1158"/>
      <c r="C1158"/>
      <c r="D1158"/>
      <c r="E1158"/>
      <c r="F1158"/>
      <c r="G1158"/>
      <c r="H1158"/>
      <c r="I1158"/>
      <c r="J1158"/>
      <c r="K1158"/>
    </row>
    <row r="1159" spans="1:11" ht="12.75">
      <c r="A1159"/>
      <c r="B1159"/>
      <c r="C1159"/>
      <c r="D1159"/>
      <c r="E1159"/>
      <c r="F1159"/>
      <c r="G1159"/>
      <c r="H1159"/>
      <c r="I1159"/>
      <c r="J1159"/>
      <c r="K1159"/>
    </row>
    <row r="1160" spans="1:11" ht="12.75">
      <c r="A1160"/>
      <c r="B1160"/>
      <c r="C1160"/>
      <c r="D1160"/>
      <c r="E1160"/>
      <c r="F1160"/>
      <c r="G1160"/>
      <c r="H1160"/>
      <c r="I1160"/>
      <c r="J1160"/>
      <c r="K1160"/>
    </row>
    <row r="1161" spans="1:11" ht="12.75">
      <c r="A1161"/>
      <c r="B1161"/>
      <c r="C1161"/>
      <c r="D1161"/>
      <c r="E1161"/>
      <c r="F1161"/>
      <c r="G1161"/>
      <c r="H1161"/>
      <c r="I1161"/>
      <c r="J1161"/>
      <c r="K1161"/>
    </row>
    <row r="1162" spans="1:11" ht="12.75">
      <c r="A1162"/>
      <c r="B1162"/>
      <c r="C1162"/>
      <c r="D1162"/>
      <c r="E1162"/>
      <c r="F1162"/>
      <c r="G1162"/>
      <c r="H1162"/>
      <c r="I1162"/>
      <c r="J1162"/>
      <c r="K1162"/>
    </row>
    <row r="1163" spans="1:11" ht="12.75">
      <c r="A1163"/>
      <c r="B1163"/>
      <c r="C1163"/>
      <c r="D1163"/>
      <c r="E1163"/>
      <c r="F1163"/>
      <c r="G1163"/>
      <c r="H1163"/>
      <c r="I1163"/>
      <c r="J1163"/>
      <c r="K1163"/>
    </row>
    <row r="1164" spans="1:11" ht="12.75">
      <c r="A1164"/>
      <c r="B1164"/>
      <c r="C1164"/>
      <c r="D1164"/>
      <c r="E1164"/>
      <c r="F1164"/>
      <c r="G1164"/>
      <c r="H1164"/>
      <c r="I1164"/>
      <c r="J1164"/>
      <c r="K1164"/>
    </row>
    <row r="1165" spans="1:11" ht="12.75">
      <c r="A1165"/>
      <c r="B1165"/>
      <c r="C1165"/>
      <c r="D1165"/>
      <c r="E1165"/>
      <c r="F1165"/>
      <c r="G1165"/>
      <c r="H1165"/>
      <c r="I1165"/>
      <c r="J1165"/>
      <c r="K1165"/>
    </row>
    <row r="1166" spans="1:11" ht="12.75">
      <c r="A1166"/>
      <c r="B1166"/>
      <c r="C1166"/>
      <c r="D1166"/>
      <c r="E1166"/>
      <c r="F1166"/>
      <c r="G1166"/>
      <c r="H1166"/>
      <c r="I1166"/>
      <c r="J1166"/>
      <c r="K1166"/>
    </row>
    <row r="1167" spans="1:11" ht="12.75">
      <c r="A1167"/>
      <c r="B1167"/>
      <c r="C1167"/>
      <c r="D1167"/>
      <c r="E1167"/>
      <c r="F1167"/>
      <c r="G1167"/>
      <c r="H1167"/>
      <c r="I1167"/>
      <c r="J1167"/>
      <c r="K1167"/>
    </row>
    <row r="1168" spans="1:11" ht="12.75">
      <c r="A1168"/>
      <c r="B1168"/>
      <c r="C1168"/>
      <c r="D1168"/>
      <c r="E1168"/>
      <c r="F1168"/>
      <c r="G1168"/>
      <c r="H1168"/>
      <c r="I1168"/>
      <c r="J1168"/>
      <c r="K1168"/>
    </row>
    <row r="1169" spans="1:11" ht="12.75">
      <c r="A1169"/>
      <c r="B1169"/>
      <c r="C1169"/>
      <c r="D1169"/>
      <c r="E1169"/>
      <c r="F1169"/>
      <c r="G1169"/>
      <c r="H1169"/>
      <c r="I1169"/>
      <c r="J1169"/>
      <c r="K1169"/>
    </row>
    <row r="1170" spans="1:11" ht="12.75">
      <c r="A1170"/>
      <c r="B1170"/>
      <c r="C1170"/>
      <c r="D1170"/>
      <c r="E1170"/>
      <c r="F1170"/>
      <c r="G1170"/>
      <c r="H1170"/>
      <c r="I1170"/>
      <c r="J1170"/>
      <c r="K1170"/>
    </row>
    <row r="1171" spans="1:11" ht="12.75">
      <c r="A1171"/>
      <c r="B1171"/>
      <c r="C1171"/>
      <c r="D1171"/>
      <c r="E1171"/>
      <c r="F1171"/>
      <c r="G1171"/>
      <c r="H1171"/>
      <c r="I1171"/>
      <c r="J1171"/>
      <c r="K1171"/>
    </row>
    <row r="1172" spans="1:11" ht="12.75">
      <c r="A1172"/>
      <c r="B1172"/>
      <c r="C1172"/>
      <c r="D1172"/>
      <c r="E1172"/>
      <c r="F1172"/>
      <c r="G1172"/>
      <c r="H1172"/>
      <c r="I1172"/>
      <c r="J1172"/>
      <c r="K1172"/>
    </row>
    <row r="1173" spans="1:11" ht="12.75">
      <c r="A1173"/>
      <c r="B1173"/>
      <c r="C1173"/>
      <c r="D1173"/>
      <c r="E1173"/>
      <c r="F1173"/>
      <c r="G1173"/>
      <c r="H1173"/>
      <c r="I1173"/>
      <c r="J1173"/>
      <c r="K1173"/>
    </row>
    <row r="1174" spans="1:11" ht="12.75">
      <c r="A1174"/>
      <c r="B1174"/>
      <c r="C1174"/>
      <c r="D1174"/>
      <c r="E1174"/>
      <c r="F1174"/>
      <c r="G1174"/>
      <c r="H1174"/>
      <c r="I1174"/>
      <c r="J1174"/>
      <c r="K1174"/>
    </row>
    <row r="1175" spans="1:11" ht="12.75">
      <c r="A1175"/>
      <c r="B1175"/>
      <c r="C1175"/>
      <c r="D1175"/>
      <c r="E1175"/>
      <c r="F1175"/>
      <c r="G1175"/>
      <c r="H1175"/>
      <c r="I1175"/>
      <c r="J1175"/>
      <c r="K1175"/>
    </row>
    <row r="1176" spans="1:11" ht="12.75">
      <c r="A1176"/>
      <c r="B1176"/>
      <c r="C1176"/>
      <c r="D1176"/>
      <c r="E1176"/>
      <c r="F1176"/>
      <c r="G1176"/>
      <c r="H1176"/>
      <c r="I1176"/>
      <c r="J1176"/>
      <c r="K1176"/>
    </row>
    <row r="1177" spans="1:11" ht="12.75">
      <c r="A1177"/>
      <c r="B1177"/>
      <c r="C1177"/>
      <c r="D1177"/>
      <c r="E1177"/>
      <c r="F1177"/>
      <c r="G1177"/>
      <c r="H1177"/>
      <c r="I1177"/>
      <c r="J1177"/>
      <c r="K1177"/>
    </row>
    <row r="1178" spans="1:11" ht="12.75">
      <c r="A1178"/>
      <c r="B1178"/>
      <c r="C1178"/>
      <c r="D1178"/>
      <c r="E1178"/>
      <c r="F1178"/>
      <c r="G1178"/>
      <c r="H1178"/>
      <c r="I1178"/>
      <c r="J1178"/>
      <c r="K1178"/>
    </row>
    <row r="1179" spans="1:11" ht="12.75">
      <c r="A1179"/>
      <c r="B1179"/>
      <c r="C1179"/>
      <c r="D1179"/>
      <c r="E1179"/>
      <c r="F1179"/>
      <c r="G1179"/>
      <c r="H1179"/>
      <c r="I1179"/>
      <c r="J1179"/>
      <c r="K1179"/>
    </row>
    <row r="1180" spans="1:11" ht="12.75">
      <c r="A1180"/>
      <c r="B1180"/>
      <c r="C1180"/>
      <c r="D1180"/>
      <c r="E1180"/>
      <c r="F1180"/>
      <c r="G1180"/>
      <c r="H1180"/>
      <c r="I1180"/>
      <c r="J1180"/>
      <c r="K1180"/>
    </row>
    <row r="1181" spans="1:11" ht="12.75">
      <c r="A1181"/>
      <c r="B1181"/>
      <c r="C1181"/>
      <c r="D1181"/>
      <c r="E1181"/>
      <c r="F1181"/>
      <c r="G1181"/>
      <c r="H1181"/>
      <c r="I1181"/>
      <c r="J1181"/>
      <c r="K1181"/>
    </row>
    <row r="1182" spans="1:11" ht="12.75">
      <c r="A1182"/>
      <c r="B1182"/>
      <c r="C1182"/>
      <c r="D1182"/>
      <c r="E1182"/>
      <c r="F1182"/>
      <c r="G1182"/>
      <c r="H1182"/>
      <c r="I1182"/>
      <c r="J1182"/>
      <c r="K1182"/>
    </row>
    <row r="1183" spans="1:11" ht="12.75">
      <c r="A1183"/>
      <c r="B1183"/>
      <c r="C1183"/>
      <c r="D1183"/>
      <c r="E1183"/>
      <c r="F1183"/>
      <c r="G1183"/>
      <c r="H1183"/>
      <c r="I1183"/>
      <c r="J1183"/>
      <c r="K1183"/>
    </row>
    <row r="1184" spans="1:11" ht="12.75">
      <c r="A1184"/>
      <c r="B1184"/>
      <c r="C1184"/>
      <c r="D1184"/>
      <c r="E1184"/>
      <c r="F1184"/>
      <c r="G1184"/>
      <c r="H1184"/>
      <c r="I1184"/>
      <c r="J1184"/>
      <c r="K1184"/>
    </row>
    <row r="1185" spans="1:11" ht="12.75">
      <c r="A1185"/>
      <c r="B1185"/>
      <c r="C1185"/>
      <c r="D1185"/>
      <c r="E1185"/>
      <c r="F1185"/>
      <c r="G1185"/>
      <c r="H1185"/>
      <c r="I1185"/>
      <c r="J1185"/>
      <c r="K1185"/>
    </row>
    <row r="1186" spans="1:11" ht="12.75">
      <c r="A1186"/>
      <c r="B1186"/>
      <c r="C1186"/>
      <c r="D1186"/>
      <c r="E1186"/>
      <c r="F1186"/>
      <c r="G1186"/>
      <c r="H1186"/>
      <c r="I1186"/>
      <c r="J1186"/>
      <c r="K1186"/>
    </row>
    <row r="1187" spans="1:11" ht="12.75">
      <c r="A1187"/>
      <c r="B1187"/>
      <c r="C1187"/>
      <c r="D1187"/>
      <c r="E1187"/>
      <c r="F1187"/>
      <c r="G1187"/>
      <c r="H1187"/>
      <c r="I1187"/>
      <c r="J1187"/>
      <c r="K1187"/>
    </row>
    <row r="1188" spans="1:11" ht="12.75">
      <c r="A1188"/>
      <c r="B1188"/>
      <c r="C1188"/>
      <c r="D1188"/>
      <c r="E1188"/>
      <c r="F1188"/>
      <c r="G1188"/>
      <c r="H1188"/>
      <c r="I1188"/>
      <c r="J1188"/>
      <c r="K1188"/>
    </row>
    <row r="1189" spans="1:11" ht="12.75">
      <c r="A1189"/>
      <c r="B1189"/>
      <c r="C1189"/>
      <c r="D1189"/>
      <c r="E1189"/>
      <c r="F1189"/>
      <c r="G1189"/>
      <c r="H1189"/>
      <c r="I1189"/>
      <c r="J1189"/>
      <c r="K1189"/>
    </row>
    <row r="1190" spans="1:11" ht="12.75">
      <c r="A1190"/>
      <c r="B1190"/>
      <c r="C1190"/>
      <c r="D1190"/>
      <c r="E1190"/>
      <c r="F1190"/>
      <c r="G1190"/>
      <c r="H1190"/>
      <c r="I1190"/>
      <c r="J1190"/>
      <c r="K1190"/>
    </row>
    <row r="1191" spans="1:11" ht="12.75">
      <c r="A1191"/>
      <c r="B1191"/>
      <c r="C1191"/>
      <c r="D1191"/>
      <c r="E1191"/>
      <c r="F1191"/>
      <c r="G1191"/>
      <c r="H1191"/>
      <c r="I1191"/>
      <c r="J1191"/>
      <c r="K1191"/>
    </row>
    <row r="1192" spans="1:11" ht="12.75">
      <c r="A1192"/>
      <c r="B1192"/>
      <c r="C1192"/>
      <c r="D1192"/>
      <c r="E1192"/>
      <c r="F1192"/>
      <c r="G1192"/>
      <c r="H1192"/>
      <c r="I1192"/>
      <c r="J1192"/>
      <c r="K1192"/>
    </row>
    <row r="1193" spans="1:11" ht="12.75">
      <c r="A1193"/>
      <c r="B1193"/>
      <c r="C1193"/>
      <c r="D1193"/>
      <c r="E1193"/>
      <c r="F1193"/>
      <c r="G1193"/>
      <c r="H1193"/>
      <c r="I1193"/>
      <c r="J1193"/>
      <c r="K1193"/>
    </row>
    <row r="1194" spans="1:11" ht="12.75">
      <c r="A1194"/>
      <c r="B1194"/>
      <c r="C1194"/>
      <c r="D1194"/>
      <c r="E1194"/>
      <c r="F1194"/>
      <c r="G1194"/>
      <c r="H1194"/>
      <c r="I1194"/>
      <c r="J1194"/>
      <c r="K1194"/>
    </row>
    <row r="1195" spans="1:11" ht="12.75">
      <c r="A1195"/>
      <c r="B1195"/>
      <c r="C1195"/>
      <c r="D1195"/>
      <c r="E1195"/>
      <c r="F1195"/>
      <c r="G1195"/>
      <c r="H1195"/>
      <c r="I1195"/>
      <c r="J1195"/>
      <c r="K1195"/>
    </row>
    <row r="1196" spans="1:11" ht="12.75">
      <c r="A1196"/>
      <c r="B1196"/>
      <c r="C1196"/>
      <c r="D1196"/>
      <c r="E1196"/>
      <c r="F1196"/>
      <c r="G1196"/>
      <c r="H1196"/>
      <c r="I1196"/>
      <c r="J1196"/>
      <c r="K1196"/>
    </row>
    <row r="1197" spans="1:11" ht="12.75">
      <c r="A1197"/>
      <c r="B1197"/>
      <c r="C1197"/>
      <c r="D1197"/>
      <c r="E1197"/>
      <c r="F1197"/>
      <c r="G1197"/>
      <c r="H1197"/>
      <c r="I1197"/>
      <c r="J1197"/>
      <c r="K1197"/>
    </row>
    <row r="1198" spans="1:11" ht="12.75">
      <c r="A1198"/>
      <c r="B1198"/>
      <c r="C1198"/>
      <c r="D1198"/>
      <c r="E1198"/>
      <c r="F1198"/>
      <c r="G1198"/>
      <c r="H1198"/>
      <c r="I1198"/>
      <c r="J1198"/>
      <c r="K1198"/>
    </row>
    <row r="1199" spans="1:11" ht="12.75">
      <c r="A1199"/>
      <c r="B1199"/>
      <c r="C1199"/>
      <c r="D1199"/>
      <c r="E1199"/>
      <c r="F1199"/>
      <c r="G1199"/>
      <c r="H1199"/>
      <c r="I1199"/>
      <c r="J1199"/>
      <c r="K1199"/>
    </row>
    <row r="1200" spans="1:11" ht="12.75">
      <c r="A1200"/>
      <c r="B1200"/>
      <c r="C1200"/>
      <c r="D1200"/>
      <c r="E1200"/>
      <c r="F1200"/>
      <c r="G1200"/>
      <c r="H1200"/>
      <c r="I1200"/>
      <c r="J1200"/>
      <c r="K1200"/>
    </row>
    <row r="1201" spans="1:11" ht="12.75">
      <c r="A1201"/>
      <c r="B1201"/>
      <c r="C1201"/>
      <c r="D1201"/>
      <c r="E1201"/>
      <c r="F1201"/>
      <c r="G1201"/>
      <c r="H1201"/>
      <c r="I1201"/>
      <c r="J1201"/>
      <c r="K1201"/>
    </row>
    <row r="1202" spans="1:11" ht="12.75">
      <c r="A1202"/>
      <c r="B1202"/>
      <c r="C1202"/>
      <c r="D1202"/>
      <c r="E1202"/>
      <c r="F1202"/>
      <c r="G1202"/>
      <c r="H1202"/>
      <c r="I1202"/>
      <c r="J1202"/>
      <c r="K1202"/>
    </row>
    <row r="1203" spans="1:11" ht="12.75">
      <c r="A1203"/>
      <c r="B1203"/>
      <c r="C1203"/>
      <c r="D1203"/>
      <c r="E1203"/>
      <c r="F1203"/>
      <c r="G1203"/>
      <c r="H1203"/>
      <c r="I1203"/>
      <c r="J1203"/>
      <c r="K1203"/>
    </row>
    <row r="1204" spans="1:11" ht="12.75">
      <c r="A1204"/>
      <c r="B1204"/>
      <c r="C1204"/>
      <c r="D1204"/>
      <c r="E1204"/>
      <c r="F1204"/>
      <c r="G1204"/>
      <c r="H1204"/>
      <c r="I1204"/>
      <c r="J1204"/>
      <c r="K1204"/>
    </row>
    <row r="1205" spans="1:11" ht="12.75">
      <c r="A1205"/>
      <c r="B1205"/>
      <c r="C1205"/>
      <c r="D1205"/>
      <c r="E1205"/>
      <c r="F1205"/>
      <c r="G1205"/>
      <c r="H1205"/>
      <c r="I1205"/>
      <c r="J1205"/>
      <c r="K1205"/>
    </row>
    <row r="1206" spans="1:11" ht="12.75">
      <c r="A1206"/>
      <c r="B1206"/>
      <c r="C1206"/>
      <c r="D1206"/>
      <c r="E1206"/>
      <c r="F1206"/>
      <c r="G1206"/>
      <c r="H1206"/>
      <c r="I1206"/>
      <c r="J1206"/>
      <c r="K1206"/>
    </row>
    <row r="1207" spans="1:11" ht="12.75">
      <c r="A1207"/>
      <c r="B1207"/>
      <c r="C1207"/>
      <c r="D1207"/>
      <c r="E1207"/>
      <c r="F1207"/>
      <c r="G1207"/>
      <c r="H1207"/>
      <c r="I1207"/>
      <c r="J1207"/>
      <c r="K1207"/>
    </row>
    <row r="1208" spans="1:11" ht="12.75">
      <c r="A1208"/>
      <c r="B1208"/>
      <c r="C1208"/>
      <c r="D1208"/>
      <c r="E1208"/>
      <c r="F1208"/>
      <c r="G1208"/>
      <c r="H1208"/>
      <c r="I1208"/>
      <c r="J1208"/>
      <c r="K1208"/>
    </row>
    <row r="1209" spans="1:11" ht="12.75">
      <c r="A1209"/>
      <c r="B1209"/>
      <c r="C1209"/>
      <c r="D1209"/>
      <c r="E1209"/>
      <c r="F1209"/>
      <c r="G1209"/>
      <c r="H1209"/>
      <c r="I1209"/>
      <c r="J1209"/>
      <c r="K1209"/>
    </row>
    <row r="1210" spans="1:11" ht="12.75">
      <c r="A1210"/>
      <c r="B1210"/>
      <c r="C1210"/>
      <c r="D1210"/>
      <c r="E1210"/>
      <c r="F1210"/>
      <c r="G1210"/>
      <c r="H1210"/>
      <c r="I1210"/>
      <c r="J1210"/>
      <c r="K1210"/>
    </row>
    <row r="1211" spans="1:11" ht="12.75">
      <c r="A1211"/>
      <c r="B1211"/>
      <c r="C1211"/>
      <c r="D1211"/>
      <c r="E1211"/>
      <c r="F1211"/>
      <c r="G1211"/>
      <c r="H1211"/>
      <c r="I1211"/>
      <c r="J1211"/>
      <c r="K1211"/>
    </row>
    <row r="1212" spans="1:11" ht="12.75">
      <c r="A1212"/>
      <c r="B1212"/>
      <c r="C1212"/>
      <c r="D1212"/>
      <c r="E1212"/>
      <c r="F1212"/>
      <c r="G1212"/>
      <c r="H1212"/>
      <c r="I1212"/>
      <c r="J1212"/>
      <c r="K1212"/>
    </row>
    <row r="1213" spans="1:11" ht="12.75">
      <c r="A1213"/>
      <c r="B1213"/>
      <c r="C1213"/>
      <c r="D1213"/>
      <c r="E1213"/>
      <c r="F1213"/>
      <c r="G1213"/>
      <c r="H1213"/>
      <c r="I1213"/>
      <c r="J1213"/>
      <c r="K1213"/>
    </row>
    <row r="1214" spans="1:11" ht="12.75">
      <c r="A1214"/>
      <c r="B1214"/>
      <c r="C1214"/>
      <c r="D1214"/>
      <c r="E1214"/>
      <c r="F1214"/>
      <c r="G1214"/>
      <c r="H1214"/>
      <c r="I1214"/>
      <c r="J1214"/>
      <c r="K1214"/>
    </row>
    <row r="1215" spans="1:11" ht="12.75">
      <c r="A1215"/>
      <c r="B1215"/>
      <c r="C1215"/>
      <c r="D1215"/>
      <c r="E1215"/>
      <c r="F1215"/>
      <c r="G1215"/>
      <c r="H1215"/>
      <c r="I1215"/>
      <c r="J1215"/>
      <c r="K1215"/>
    </row>
    <row r="1216" spans="1:11" ht="12.75">
      <c r="A1216"/>
      <c r="B1216"/>
      <c r="C1216"/>
      <c r="D1216"/>
      <c r="E1216"/>
      <c r="F1216"/>
      <c r="G1216"/>
      <c r="H1216"/>
      <c r="I1216"/>
      <c r="J1216"/>
      <c r="K1216"/>
    </row>
    <row r="1217" spans="1:11" ht="12.75">
      <c r="A1217"/>
      <c r="B1217"/>
      <c r="C1217"/>
      <c r="D1217"/>
      <c r="E1217"/>
      <c r="F1217"/>
      <c r="G1217"/>
      <c r="H1217"/>
      <c r="I1217"/>
      <c r="J1217"/>
      <c r="K1217"/>
    </row>
    <row r="1218" spans="1:11" ht="12.75">
      <c r="A1218"/>
      <c r="B1218"/>
      <c r="C1218"/>
      <c r="D1218"/>
      <c r="E1218"/>
      <c r="F1218"/>
      <c r="G1218"/>
      <c r="H1218"/>
      <c r="I1218"/>
      <c r="J1218"/>
      <c r="K1218"/>
    </row>
    <row r="1219" spans="1:11" ht="12.75">
      <c r="A1219"/>
      <c r="B1219"/>
      <c r="C1219"/>
      <c r="D1219"/>
      <c r="E1219"/>
      <c r="F1219"/>
      <c r="G1219"/>
      <c r="H1219"/>
      <c r="I1219"/>
      <c r="J1219"/>
      <c r="K1219"/>
    </row>
    <row r="1220" spans="1:11" ht="12.75">
      <c r="A1220"/>
      <c r="B1220"/>
      <c r="C1220"/>
      <c r="D1220"/>
      <c r="E1220"/>
      <c r="F1220"/>
      <c r="G1220"/>
      <c r="H1220"/>
      <c r="I1220"/>
      <c r="J1220"/>
      <c r="K1220"/>
    </row>
    <row r="1221" spans="1:11" ht="12.75">
      <c r="A1221"/>
      <c r="B1221"/>
      <c r="C1221"/>
      <c r="D1221"/>
      <c r="E1221"/>
      <c r="F1221"/>
      <c r="G1221"/>
      <c r="H1221"/>
      <c r="I1221"/>
      <c r="J1221"/>
      <c r="K1221"/>
    </row>
    <row r="1222" spans="1:11" ht="12.75">
      <c r="A1222"/>
      <c r="B1222"/>
      <c r="C1222"/>
      <c r="D1222"/>
      <c r="E1222"/>
      <c r="F1222"/>
      <c r="G1222"/>
      <c r="H1222"/>
      <c r="I1222"/>
      <c r="J1222"/>
      <c r="K1222"/>
    </row>
    <row r="1223" spans="1:11" ht="12.75">
      <c r="A1223"/>
      <c r="B1223"/>
      <c r="C1223"/>
      <c r="D1223"/>
      <c r="E1223"/>
      <c r="F1223"/>
      <c r="G1223"/>
      <c r="H1223"/>
      <c r="I1223"/>
      <c r="J1223"/>
      <c r="K1223"/>
    </row>
    <row r="1224" spans="1:11" ht="12.75">
      <c r="A1224"/>
      <c r="B1224"/>
      <c r="C1224"/>
      <c r="D1224"/>
      <c r="E1224"/>
      <c r="F1224"/>
      <c r="G1224"/>
      <c r="H1224"/>
      <c r="I1224"/>
      <c r="J1224"/>
      <c r="K1224"/>
    </row>
    <row r="1225" spans="1:11" ht="12.75">
      <c r="A1225"/>
      <c r="B1225"/>
      <c r="C1225"/>
      <c r="D1225"/>
      <c r="E1225"/>
      <c r="F1225"/>
      <c r="G1225"/>
      <c r="H1225"/>
      <c r="I1225"/>
      <c r="J1225"/>
      <c r="K1225"/>
    </row>
    <row r="1226" spans="1:11" ht="12.75">
      <c r="A1226"/>
      <c r="B1226"/>
      <c r="C1226"/>
      <c r="D1226"/>
      <c r="E1226"/>
      <c r="F1226"/>
      <c r="G1226"/>
      <c r="H1226"/>
      <c r="I1226"/>
      <c r="J1226"/>
      <c r="K1226"/>
    </row>
    <row r="1227" spans="1:11" ht="12.75">
      <c r="A1227"/>
      <c r="B1227"/>
      <c r="C1227"/>
      <c r="D1227"/>
      <c r="E1227"/>
      <c r="F1227"/>
      <c r="G1227"/>
      <c r="H1227"/>
      <c r="I1227"/>
      <c r="J1227"/>
      <c r="K1227"/>
    </row>
    <row r="1228" spans="1:11" ht="12.75">
      <c r="A1228"/>
      <c r="B1228"/>
      <c r="C1228"/>
      <c r="D1228"/>
      <c r="E1228"/>
      <c r="F1228"/>
      <c r="G1228"/>
      <c r="H1228"/>
      <c r="I1228"/>
      <c r="J1228"/>
      <c r="K1228"/>
    </row>
    <row r="1229" spans="1:11" ht="12.75">
      <c r="A1229"/>
      <c r="B1229"/>
      <c r="C1229"/>
      <c r="D1229"/>
      <c r="E1229"/>
      <c r="F1229"/>
      <c r="G1229"/>
      <c r="H1229"/>
      <c r="I1229"/>
      <c r="J1229"/>
      <c r="K1229"/>
    </row>
    <row r="1230" spans="1:11" ht="12.75">
      <c r="A1230"/>
      <c r="B1230"/>
      <c r="C1230"/>
      <c r="D1230"/>
      <c r="E1230"/>
      <c r="F1230"/>
      <c r="G1230"/>
      <c r="H1230"/>
      <c r="I1230"/>
      <c r="J1230"/>
      <c r="K1230"/>
    </row>
    <row r="1231" spans="1:11" ht="12.75">
      <c r="A1231"/>
      <c r="B1231"/>
      <c r="C1231"/>
      <c r="D1231"/>
      <c r="E1231"/>
      <c r="F1231"/>
      <c r="G1231"/>
      <c r="H1231"/>
      <c r="I1231"/>
      <c r="J1231"/>
      <c r="K1231"/>
    </row>
    <row r="1232" spans="1:11" ht="12.75">
      <c r="A1232"/>
      <c r="B1232"/>
      <c r="C1232"/>
      <c r="D1232"/>
      <c r="E1232"/>
      <c r="F1232"/>
      <c r="G1232"/>
      <c r="H1232"/>
      <c r="I1232"/>
      <c r="J1232"/>
      <c r="K1232"/>
    </row>
    <row r="1233" spans="1:11" ht="12.75">
      <c r="A1233"/>
      <c r="B1233"/>
      <c r="C1233"/>
      <c r="D1233"/>
      <c r="E1233"/>
      <c r="F1233"/>
      <c r="G1233"/>
      <c r="H1233"/>
      <c r="I1233"/>
      <c r="J1233"/>
      <c r="K1233"/>
    </row>
    <row r="1234" spans="1:11" ht="12.75">
      <c r="A1234"/>
      <c r="B1234"/>
      <c r="C1234"/>
      <c r="D1234"/>
      <c r="E1234"/>
      <c r="F1234"/>
      <c r="G1234"/>
      <c r="H1234"/>
      <c r="I1234"/>
      <c r="J1234"/>
      <c r="K1234"/>
    </row>
    <row r="1235" spans="1:11" ht="12.75">
      <c r="A1235"/>
      <c r="B1235"/>
      <c r="C1235"/>
      <c r="D1235"/>
      <c r="E1235"/>
      <c r="F1235"/>
      <c r="G1235"/>
      <c r="H1235"/>
      <c r="I1235"/>
      <c r="J1235"/>
      <c r="K1235"/>
    </row>
    <row r="1236" spans="1:11" ht="12.75">
      <c r="A1236"/>
      <c r="B1236"/>
      <c r="C1236"/>
      <c r="D1236"/>
      <c r="E1236"/>
      <c r="F1236"/>
      <c r="G1236"/>
      <c r="H1236"/>
      <c r="I1236"/>
      <c r="J1236"/>
      <c r="K1236"/>
    </row>
    <row r="1237" spans="1:11" ht="12.75">
      <c r="A1237"/>
      <c r="B1237"/>
      <c r="C1237"/>
      <c r="D1237"/>
      <c r="E1237"/>
      <c r="F1237"/>
      <c r="G1237"/>
      <c r="H1237"/>
      <c r="I1237"/>
      <c r="J1237"/>
      <c r="K1237"/>
    </row>
    <row r="1238" spans="1:11" ht="12.75">
      <c r="A1238"/>
      <c r="B1238"/>
      <c r="C1238"/>
      <c r="D1238"/>
      <c r="E1238"/>
      <c r="F1238"/>
      <c r="G1238"/>
      <c r="H1238"/>
      <c r="I1238"/>
      <c r="J1238"/>
      <c r="K1238"/>
    </row>
    <row r="1239" spans="1:11" ht="12.75">
      <c r="A1239"/>
      <c r="B1239"/>
      <c r="C1239"/>
      <c r="D1239"/>
      <c r="E1239"/>
      <c r="F1239"/>
      <c r="G1239"/>
      <c r="H1239"/>
      <c r="I1239"/>
      <c r="J1239"/>
      <c r="K1239"/>
    </row>
    <row r="1240" spans="1:11" ht="12.75">
      <c r="A1240"/>
      <c r="B1240"/>
      <c r="C1240"/>
      <c r="D1240"/>
      <c r="E1240"/>
      <c r="F1240"/>
      <c r="G1240"/>
      <c r="H1240"/>
      <c r="I1240"/>
      <c r="J1240"/>
      <c r="K1240"/>
    </row>
    <row r="1241" spans="1:11" ht="12.75">
      <c r="A1241"/>
      <c r="B1241"/>
      <c r="C1241"/>
      <c r="D1241"/>
      <c r="E1241"/>
      <c r="F1241"/>
      <c r="G1241"/>
      <c r="H1241"/>
      <c r="I1241"/>
      <c r="J1241"/>
      <c r="K1241"/>
    </row>
    <row r="1242" spans="1:11" ht="12.75">
      <c r="A1242"/>
      <c r="B1242"/>
      <c r="C1242"/>
      <c r="D1242"/>
      <c r="E1242"/>
      <c r="F1242"/>
      <c r="G1242"/>
      <c r="H1242"/>
      <c r="I1242"/>
      <c r="J1242"/>
      <c r="K1242"/>
    </row>
    <row r="1243" spans="1:11" ht="12.75">
      <c r="A1243"/>
      <c r="B1243"/>
      <c r="C1243"/>
      <c r="D1243"/>
      <c r="E1243"/>
      <c r="F1243"/>
      <c r="G1243"/>
      <c r="H1243"/>
      <c r="I1243"/>
      <c r="J1243"/>
      <c r="K1243"/>
    </row>
    <row r="1244" spans="1:11" ht="12.75">
      <c r="A1244"/>
      <c r="B1244"/>
      <c r="C1244"/>
      <c r="D1244"/>
      <c r="E1244"/>
      <c r="F1244"/>
      <c r="G1244"/>
      <c r="H1244"/>
      <c r="I1244"/>
      <c r="J1244"/>
      <c r="K1244"/>
    </row>
    <row r="1245" spans="1:11" ht="12.75">
      <c r="A1245"/>
      <c r="B1245"/>
      <c r="C1245"/>
      <c r="D1245"/>
      <c r="E1245"/>
      <c r="F1245"/>
      <c r="G1245"/>
      <c r="H1245"/>
      <c r="I1245"/>
      <c r="J1245"/>
      <c r="K1245"/>
    </row>
    <row r="1246" spans="1:11" ht="12.75">
      <c r="A1246"/>
      <c r="B1246"/>
      <c r="C1246"/>
      <c r="D1246"/>
      <c r="E1246"/>
      <c r="F1246"/>
      <c r="G1246"/>
      <c r="H1246"/>
      <c r="I1246"/>
      <c r="J1246"/>
      <c r="K1246"/>
    </row>
    <row r="1247" spans="1:11" ht="12.75">
      <c r="A1247"/>
      <c r="B1247"/>
      <c r="C1247"/>
      <c r="D1247"/>
      <c r="E1247"/>
      <c r="F1247"/>
      <c r="G1247"/>
      <c r="H1247"/>
      <c r="I1247"/>
      <c r="J1247"/>
      <c r="K1247"/>
    </row>
    <row r="1248" spans="1:11" ht="12.75">
      <c r="A1248"/>
      <c r="B1248"/>
      <c r="C1248"/>
      <c r="D1248"/>
      <c r="E1248"/>
      <c r="F1248"/>
      <c r="G1248"/>
      <c r="H1248"/>
      <c r="I1248"/>
      <c r="J1248"/>
      <c r="K1248"/>
    </row>
    <row r="1249" spans="1:11" ht="12.75">
      <c r="A1249"/>
      <c r="B1249"/>
      <c r="C1249"/>
      <c r="D1249"/>
      <c r="E1249"/>
      <c r="F1249"/>
      <c r="G1249"/>
      <c r="H1249"/>
      <c r="I1249"/>
      <c r="J1249"/>
      <c r="K1249"/>
    </row>
    <row r="1250" spans="1:11" ht="12.75">
      <c r="A1250"/>
      <c r="B1250"/>
      <c r="C1250"/>
      <c r="D1250"/>
      <c r="E1250"/>
      <c r="F1250"/>
      <c r="G1250"/>
      <c r="H1250"/>
      <c r="I1250"/>
      <c r="J1250"/>
      <c r="K1250"/>
    </row>
    <row r="1251" spans="1:11" ht="12.75">
      <c r="A1251"/>
      <c r="B1251"/>
      <c r="C1251"/>
      <c r="D1251"/>
      <c r="E1251"/>
      <c r="F1251"/>
      <c r="G1251"/>
      <c r="H1251"/>
      <c r="I1251"/>
      <c r="J1251"/>
      <c r="K1251"/>
    </row>
    <row r="1252" spans="1:11" ht="12.75">
      <c r="A1252"/>
      <c r="B1252"/>
      <c r="C1252"/>
      <c r="D1252"/>
      <c r="E1252"/>
      <c r="F1252"/>
      <c r="G1252"/>
      <c r="H1252"/>
      <c r="I1252"/>
      <c r="J1252"/>
      <c r="K1252"/>
    </row>
    <row r="1253" spans="1:11" ht="12.75">
      <c r="A1253"/>
      <c r="B1253"/>
      <c r="C1253"/>
      <c r="D1253"/>
      <c r="E1253"/>
      <c r="F1253"/>
      <c r="G1253"/>
      <c r="H1253"/>
      <c r="I1253"/>
      <c r="J1253"/>
      <c r="K1253"/>
    </row>
    <row r="1254" spans="1:11" ht="12.75">
      <c r="A1254"/>
      <c r="B1254"/>
      <c r="C1254"/>
      <c r="D1254"/>
      <c r="E1254"/>
      <c r="F1254"/>
      <c r="G1254"/>
      <c r="H1254"/>
      <c r="I1254"/>
      <c r="J1254"/>
      <c r="K1254"/>
    </row>
    <row r="1255" spans="1:11" ht="12.75">
      <c r="A1255"/>
      <c r="B1255"/>
      <c r="C1255"/>
      <c r="D1255"/>
      <c r="E1255"/>
      <c r="F1255"/>
      <c r="G1255"/>
      <c r="H1255"/>
      <c r="I1255"/>
      <c r="J1255"/>
      <c r="K1255"/>
    </row>
    <row r="1256" spans="1:11" ht="12.75">
      <c r="A1256"/>
      <c r="B1256"/>
      <c r="C1256"/>
      <c r="D1256"/>
      <c r="E1256"/>
      <c r="F1256"/>
      <c r="G1256"/>
      <c r="H1256"/>
      <c r="I1256"/>
      <c r="J1256"/>
      <c r="K1256"/>
    </row>
    <row r="1257" spans="1:11" ht="12.75">
      <c r="A1257"/>
      <c r="B1257"/>
      <c r="C1257"/>
      <c r="D1257"/>
      <c r="E1257"/>
      <c r="F1257"/>
      <c r="G1257"/>
      <c r="H1257"/>
      <c r="I1257"/>
      <c r="J1257"/>
      <c r="K1257"/>
    </row>
    <row r="1258" spans="1:11" ht="12.75">
      <c r="A1258"/>
      <c r="B1258"/>
      <c r="C1258"/>
      <c r="D1258"/>
      <c r="E1258"/>
      <c r="F1258"/>
      <c r="G1258"/>
      <c r="H1258"/>
      <c r="I1258"/>
      <c r="J1258"/>
      <c r="K1258"/>
    </row>
    <row r="1259" spans="1:11" ht="12.75">
      <c r="A1259"/>
      <c r="B1259"/>
      <c r="C1259"/>
      <c r="D1259"/>
      <c r="E1259"/>
      <c r="F1259"/>
      <c r="G1259"/>
      <c r="H1259"/>
      <c r="I1259"/>
      <c r="J1259"/>
      <c r="K1259"/>
    </row>
    <row r="1260" spans="1:11" ht="12.75">
      <c r="A1260"/>
      <c r="B1260"/>
      <c r="C1260"/>
      <c r="D1260"/>
      <c r="E1260"/>
      <c r="F1260"/>
      <c r="G1260"/>
      <c r="H1260"/>
      <c r="I1260"/>
      <c r="J1260"/>
      <c r="K1260"/>
    </row>
    <row r="1261" spans="1:11" ht="12.75">
      <c r="A1261"/>
      <c r="B1261"/>
      <c r="C1261"/>
      <c r="D1261"/>
      <c r="E1261"/>
      <c r="F1261"/>
      <c r="G1261"/>
      <c r="H1261"/>
      <c r="I1261"/>
      <c r="J1261"/>
      <c r="K1261"/>
    </row>
    <row r="1262" spans="1:11" ht="12.75">
      <c r="A1262"/>
      <c r="B1262"/>
      <c r="C1262"/>
      <c r="D1262"/>
      <c r="E1262"/>
      <c r="F1262"/>
      <c r="G1262"/>
      <c r="H1262"/>
      <c r="I1262"/>
      <c r="J1262"/>
      <c r="K1262"/>
    </row>
    <row r="1263" spans="1:11" ht="12.75">
      <c r="A1263"/>
      <c r="B1263"/>
      <c r="C1263"/>
      <c r="D1263"/>
      <c r="E1263"/>
      <c r="F1263"/>
      <c r="G1263"/>
      <c r="H1263"/>
      <c r="I1263"/>
      <c r="J1263"/>
      <c r="K1263"/>
    </row>
    <row r="1264" spans="1:11" ht="12.75">
      <c r="A1264"/>
      <c r="B1264"/>
      <c r="C1264"/>
      <c r="D1264"/>
      <c r="E1264"/>
      <c r="F1264"/>
      <c r="G1264"/>
      <c r="H1264"/>
      <c r="I1264"/>
      <c r="J1264"/>
      <c r="K1264"/>
    </row>
    <row r="1265" spans="1:11" ht="12.75">
      <c r="A1265"/>
      <c r="B1265"/>
      <c r="C1265"/>
      <c r="D1265"/>
      <c r="E1265"/>
      <c r="F1265"/>
      <c r="G1265"/>
      <c r="H1265"/>
      <c r="I1265"/>
      <c r="J1265"/>
      <c r="K1265"/>
    </row>
    <row r="1266" spans="1:11" ht="12.75">
      <c r="A1266"/>
      <c r="B1266"/>
      <c r="C1266"/>
      <c r="D1266"/>
      <c r="E1266"/>
      <c r="F1266"/>
      <c r="G1266"/>
      <c r="H1266"/>
      <c r="I1266"/>
      <c r="J1266"/>
      <c r="K1266"/>
    </row>
    <row r="1267" spans="1:11" ht="12.75">
      <c r="A1267"/>
      <c r="B1267"/>
      <c r="C1267"/>
      <c r="D1267"/>
      <c r="E1267"/>
      <c r="F1267"/>
      <c r="G1267"/>
      <c r="H1267"/>
      <c r="I1267"/>
      <c r="J1267"/>
      <c r="K1267"/>
    </row>
    <row r="1268" spans="1:11" ht="12.75">
      <c r="A1268"/>
      <c r="B1268"/>
      <c r="C1268"/>
      <c r="D1268"/>
      <c r="E1268"/>
      <c r="F1268"/>
      <c r="G1268"/>
      <c r="H1268"/>
      <c r="I1268"/>
      <c r="J1268"/>
      <c r="K1268"/>
    </row>
    <row r="1269" spans="1:11" ht="12.75">
      <c r="A1269"/>
      <c r="B1269"/>
      <c r="C1269"/>
      <c r="D1269"/>
      <c r="E1269"/>
      <c r="F1269"/>
      <c r="G1269"/>
      <c r="H1269"/>
      <c r="I1269"/>
      <c r="J1269"/>
      <c r="K1269"/>
    </row>
    <row r="1270" spans="1:11" ht="12.75">
      <c r="A1270"/>
      <c r="B1270"/>
      <c r="C1270"/>
      <c r="D1270"/>
      <c r="E1270"/>
      <c r="F1270"/>
      <c r="G1270"/>
      <c r="H1270"/>
      <c r="I1270"/>
      <c r="J1270"/>
      <c r="K1270"/>
    </row>
    <row r="1271" spans="1:11" ht="12.75">
      <c r="A1271"/>
      <c r="B1271"/>
      <c r="C1271"/>
      <c r="D1271"/>
      <c r="E1271"/>
      <c r="F1271"/>
      <c r="G1271"/>
      <c r="H1271"/>
      <c r="I1271"/>
      <c r="J1271"/>
      <c r="K1271"/>
    </row>
    <row r="1272" spans="1:11" ht="12.75">
      <c r="A1272"/>
      <c r="B1272"/>
      <c r="C1272"/>
      <c r="D1272"/>
      <c r="E1272"/>
      <c r="F1272"/>
      <c r="G1272"/>
      <c r="H1272"/>
      <c r="I1272"/>
      <c r="J1272"/>
      <c r="K1272"/>
    </row>
    <row r="1273" spans="1:11" ht="12.75">
      <c r="A1273"/>
      <c r="B1273"/>
      <c r="C1273"/>
      <c r="D1273"/>
      <c r="E1273"/>
      <c r="F1273"/>
      <c r="G1273"/>
      <c r="H1273"/>
      <c r="I1273"/>
      <c r="J1273"/>
      <c r="K1273"/>
    </row>
    <row r="1274" spans="1:11" ht="12.75">
      <c r="A1274"/>
      <c r="B1274"/>
      <c r="C1274"/>
      <c r="D1274"/>
      <c r="E1274"/>
      <c r="F1274"/>
      <c r="G1274"/>
      <c r="H1274"/>
      <c r="I1274"/>
      <c r="J1274"/>
      <c r="K1274"/>
    </row>
    <row r="1275" spans="1:11" ht="12.75">
      <c r="A1275"/>
      <c r="B1275"/>
      <c r="C1275"/>
      <c r="D1275"/>
      <c r="E1275"/>
      <c r="F1275"/>
      <c r="G1275"/>
      <c r="H1275"/>
      <c r="I1275"/>
      <c r="J1275"/>
      <c r="K1275"/>
    </row>
    <row r="1276" spans="1:11" ht="12.75">
      <c r="A1276"/>
      <c r="B1276"/>
      <c r="C1276"/>
      <c r="D1276"/>
      <c r="E1276"/>
      <c r="F1276"/>
      <c r="G1276"/>
      <c r="H1276"/>
      <c r="I1276"/>
      <c r="J1276"/>
      <c r="K1276"/>
    </row>
    <row r="1277" spans="1:11" ht="12.75">
      <c r="A1277"/>
      <c r="B1277"/>
      <c r="C1277"/>
      <c r="D1277"/>
      <c r="E1277"/>
      <c r="F1277"/>
      <c r="G1277"/>
      <c r="H1277"/>
      <c r="I1277"/>
      <c r="J1277"/>
      <c r="K1277"/>
    </row>
    <row r="1278" spans="1:11" ht="12.75">
      <c r="A1278"/>
      <c r="B1278"/>
      <c r="C1278"/>
      <c r="D1278"/>
      <c r="E1278"/>
      <c r="F1278"/>
      <c r="G1278"/>
      <c r="H1278"/>
      <c r="I1278"/>
      <c r="J1278"/>
      <c r="K1278"/>
    </row>
    <row r="1279" spans="1:11" ht="12.75">
      <c r="A1279"/>
      <c r="B1279"/>
      <c r="C1279"/>
      <c r="D1279"/>
      <c r="E1279"/>
      <c r="F1279"/>
      <c r="G1279"/>
      <c r="H1279"/>
      <c r="I1279"/>
      <c r="J1279"/>
      <c r="K1279"/>
    </row>
    <row r="1280" spans="1:11" ht="12.75">
      <c r="A1280"/>
      <c r="B1280"/>
      <c r="C1280"/>
      <c r="D1280"/>
      <c r="E1280"/>
      <c r="F1280"/>
      <c r="G1280"/>
      <c r="H1280"/>
      <c r="I1280"/>
      <c r="J1280"/>
      <c r="K1280"/>
    </row>
    <row r="1281" spans="1:11" ht="12.75">
      <c r="A1281"/>
      <c r="B1281"/>
      <c r="C1281"/>
      <c r="D1281"/>
      <c r="E1281"/>
      <c r="F1281"/>
      <c r="G1281"/>
      <c r="H1281"/>
      <c r="I1281"/>
      <c r="J1281"/>
      <c r="K1281"/>
    </row>
    <row r="1282" spans="1:11" ht="12.75">
      <c r="A1282"/>
      <c r="B1282"/>
      <c r="C1282"/>
      <c r="D1282"/>
      <c r="E1282"/>
      <c r="F1282"/>
      <c r="G1282"/>
      <c r="H1282"/>
      <c r="I1282"/>
      <c r="J1282"/>
      <c r="K1282"/>
    </row>
    <row r="1283" spans="1:11" ht="12.75">
      <c r="A1283"/>
      <c r="B1283"/>
      <c r="C1283"/>
      <c r="D1283"/>
      <c r="E1283"/>
      <c r="F1283"/>
      <c r="G1283"/>
      <c r="H1283"/>
      <c r="I1283"/>
      <c r="J1283"/>
      <c r="K1283"/>
    </row>
    <row r="1284" spans="1:11" ht="12.75">
      <c r="A1284"/>
      <c r="B1284"/>
      <c r="C1284"/>
      <c r="D1284"/>
      <c r="E1284"/>
      <c r="F1284"/>
      <c r="G1284"/>
      <c r="H1284"/>
      <c r="I1284"/>
      <c r="J1284"/>
      <c r="K1284"/>
    </row>
    <row r="1285" spans="1:11" ht="12.75">
      <c r="A1285"/>
      <c r="B1285"/>
      <c r="C1285"/>
      <c r="D1285"/>
      <c r="E1285"/>
      <c r="F1285"/>
      <c r="G1285"/>
      <c r="H1285"/>
      <c r="I1285"/>
      <c r="J1285"/>
      <c r="K1285"/>
    </row>
    <row r="1286" spans="1:11" ht="12.75">
      <c r="A1286"/>
      <c r="B1286"/>
      <c r="C1286"/>
      <c r="D1286"/>
      <c r="E1286"/>
      <c r="F1286"/>
      <c r="G1286"/>
      <c r="H1286"/>
      <c r="I1286"/>
      <c r="J1286"/>
      <c r="K1286"/>
    </row>
    <row r="1287" spans="1:11" ht="12.75">
      <c r="A1287"/>
      <c r="B1287"/>
      <c r="C1287"/>
      <c r="D1287"/>
      <c r="E1287"/>
      <c r="F1287"/>
      <c r="G1287"/>
      <c r="H1287"/>
      <c r="I1287"/>
      <c r="J1287"/>
      <c r="K1287"/>
    </row>
    <row r="1288" spans="1:11" ht="12.75">
      <c r="A1288"/>
      <c r="B1288"/>
      <c r="C1288"/>
      <c r="D1288"/>
      <c r="E1288"/>
      <c r="F1288"/>
      <c r="G1288"/>
      <c r="H1288"/>
      <c r="I1288"/>
      <c r="J1288"/>
      <c r="K1288"/>
    </row>
    <row r="1289" spans="1:11" ht="12.75">
      <c r="A1289"/>
      <c r="B1289"/>
      <c r="C1289"/>
      <c r="D1289"/>
      <c r="E1289"/>
      <c r="F1289"/>
      <c r="G1289"/>
      <c r="H1289"/>
      <c r="I1289"/>
      <c r="J1289"/>
      <c r="K1289"/>
    </row>
    <row r="1290" spans="1:11" ht="12.75">
      <c r="A1290"/>
      <c r="B1290"/>
      <c r="C1290"/>
      <c r="D1290"/>
      <c r="E1290"/>
      <c r="F1290"/>
      <c r="G1290"/>
      <c r="H1290"/>
      <c r="I1290"/>
      <c r="J1290"/>
      <c r="K1290"/>
    </row>
    <row r="1291" spans="1:11" ht="12.75">
      <c r="A1291"/>
      <c r="B1291"/>
      <c r="C1291"/>
      <c r="D1291"/>
      <c r="E1291"/>
      <c r="F1291"/>
      <c r="G1291"/>
      <c r="H1291"/>
      <c r="I1291"/>
      <c r="J1291"/>
      <c r="K1291"/>
    </row>
    <row r="1292" spans="1:11" ht="12.75">
      <c r="A1292"/>
      <c r="B1292"/>
      <c r="C1292"/>
      <c r="D1292"/>
      <c r="E1292"/>
      <c r="F1292"/>
      <c r="G1292"/>
      <c r="H1292"/>
      <c r="I1292"/>
      <c r="J1292"/>
      <c r="K1292"/>
    </row>
    <row r="1293" spans="1:11" ht="12.75">
      <c r="A1293"/>
      <c r="B1293"/>
      <c r="C1293"/>
      <c r="D1293"/>
      <c r="E1293"/>
      <c r="F1293"/>
      <c r="G1293"/>
      <c r="H1293"/>
      <c r="I1293"/>
      <c r="J1293"/>
      <c r="K1293"/>
    </row>
    <row r="1294" spans="1:11" ht="12.75">
      <c r="A1294"/>
      <c r="B1294"/>
      <c r="C1294"/>
      <c r="D1294"/>
      <c r="E1294"/>
      <c r="F1294"/>
      <c r="G1294"/>
      <c r="H1294"/>
      <c r="I1294"/>
      <c r="J1294"/>
      <c r="K1294"/>
    </row>
    <row r="1295" spans="1:11" ht="12.75">
      <c r="A1295"/>
      <c r="B1295"/>
      <c r="C1295"/>
      <c r="D1295"/>
      <c r="E1295"/>
      <c r="F1295"/>
      <c r="G1295"/>
      <c r="H1295"/>
      <c r="I1295"/>
      <c r="J1295"/>
      <c r="K1295"/>
    </row>
    <row r="1296" spans="1:11" ht="12.75">
      <c r="A1296"/>
      <c r="B1296"/>
      <c r="C1296"/>
      <c r="D1296"/>
      <c r="E1296"/>
      <c r="F1296"/>
      <c r="G1296"/>
      <c r="H1296"/>
      <c r="I1296"/>
      <c r="J1296"/>
      <c r="K1296"/>
    </row>
    <row r="1297" spans="1:11" ht="12.75">
      <c r="A1297"/>
      <c r="B1297"/>
      <c r="C1297"/>
      <c r="D1297"/>
      <c r="E1297"/>
      <c r="F1297"/>
      <c r="G1297"/>
      <c r="H1297"/>
      <c r="I1297"/>
      <c r="J1297"/>
      <c r="K1297"/>
    </row>
    <row r="1298" spans="1:11" ht="12.75">
      <c r="A1298"/>
      <c r="B1298"/>
      <c r="C1298"/>
      <c r="D1298"/>
      <c r="E1298"/>
      <c r="F1298"/>
      <c r="G1298"/>
      <c r="H1298"/>
      <c r="I1298"/>
      <c r="J1298"/>
      <c r="K1298"/>
    </row>
    <row r="1299" spans="1:11" ht="12.75">
      <c r="A1299"/>
      <c r="B1299"/>
      <c r="C1299"/>
      <c r="D1299"/>
      <c r="E1299"/>
      <c r="F1299"/>
      <c r="G1299"/>
      <c r="H1299"/>
      <c r="I1299"/>
      <c r="J1299"/>
      <c r="K1299"/>
    </row>
    <row r="1300" spans="1:11" ht="12.75">
      <c r="A1300"/>
      <c r="B1300"/>
      <c r="C1300"/>
      <c r="D1300"/>
      <c r="E1300"/>
      <c r="F1300"/>
      <c r="G1300"/>
      <c r="H1300"/>
      <c r="I1300"/>
      <c r="J1300"/>
      <c r="K1300"/>
    </row>
    <row r="1301" spans="1:11" ht="12.75">
      <c r="A1301"/>
      <c r="B1301"/>
      <c r="C1301"/>
      <c r="D1301"/>
      <c r="E1301"/>
      <c r="F1301"/>
      <c r="G1301"/>
      <c r="H1301"/>
      <c r="I1301"/>
      <c r="J1301"/>
      <c r="K1301"/>
    </row>
    <row r="1302" spans="1:11" ht="12.75">
      <c r="A1302"/>
      <c r="B1302"/>
      <c r="C1302"/>
      <c r="D1302"/>
      <c r="E1302"/>
      <c r="F1302"/>
      <c r="G1302"/>
      <c r="H1302"/>
      <c r="I1302"/>
      <c r="J1302"/>
      <c r="K1302"/>
    </row>
    <row r="1303" spans="1:11" ht="12.75">
      <c r="A1303"/>
      <c r="B1303"/>
      <c r="C1303"/>
      <c r="D1303"/>
      <c r="E1303"/>
      <c r="F1303"/>
      <c r="G1303"/>
      <c r="H1303"/>
      <c r="I1303"/>
      <c r="J1303"/>
      <c r="K1303"/>
    </row>
    <row r="1304" spans="1:11" ht="12.75">
      <c r="A1304"/>
      <c r="B1304"/>
      <c r="C1304"/>
      <c r="D1304"/>
      <c r="E1304"/>
      <c r="F1304"/>
      <c r="G1304"/>
      <c r="H1304"/>
      <c r="I1304"/>
      <c r="J1304"/>
      <c r="K1304"/>
    </row>
    <row r="1305" spans="1:11" ht="12.75">
      <c r="A1305"/>
      <c r="B1305"/>
      <c r="C1305"/>
      <c r="D1305"/>
      <c r="E1305"/>
      <c r="F1305"/>
      <c r="G1305"/>
      <c r="H1305"/>
      <c r="I1305"/>
      <c r="J1305"/>
      <c r="K1305"/>
    </row>
    <row r="1306" spans="1:11" ht="12.75">
      <c r="A1306"/>
      <c r="B1306"/>
      <c r="C1306"/>
      <c r="D1306"/>
      <c r="E1306"/>
      <c r="F1306"/>
      <c r="G1306"/>
      <c r="H1306"/>
      <c r="I1306"/>
      <c r="J1306"/>
      <c r="K1306"/>
    </row>
    <row r="1307" spans="1:11" ht="12.75">
      <c r="A1307"/>
      <c r="B1307"/>
      <c r="C1307"/>
      <c r="D1307"/>
      <c r="E1307"/>
      <c r="F1307"/>
      <c r="G1307"/>
      <c r="H1307"/>
      <c r="I1307"/>
      <c r="J1307"/>
      <c r="K1307"/>
    </row>
    <row r="1308" spans="1:11" ht="12.75">
      <c r="A1308"/>
      <c r="B1308"/>
      <c r="C1308"/>
      <c r="D1308"/>
      <c r="E1308"/>
      <c r="F1308"/>
      <c r="G1308"/>
      <c r="H1308"/>
      <c r="I1308"/>
      <c r="J1308"/>
      <c r="K1308"/>
    </row>
    <row r="1309" spans="1:11" ht="12.75">
      <c r="A1309"/>
      <c r="B1309"/>
      <c r="C1309"/>
      <c r="D1309"/>
      <c r="E1309"/>
      <c r="F1309"/>
      <c r="G1309"/>
      <c r="H1309"/>
      <c r="I1309"/>
      <c r="J1309"/>
      <c r="K1309"/>
    </row>
    <row r="1310" spans="1:11" ht="12.75">
      <c r="A1310"/>
      <c r="B1310"/>
      <c r="C1310"/>
      <c r="D1310"/>
      <c r="E1310"/>
      <c r="F1310"/>
      <c r="G1310"/>
      <c r="H1310"/>
      <c r="I1310"/>
      <c r="J1310"/>
      <c r="K1310"/>
    </row>
    <row r="1311" spans="1:11" ht="12.75">
      <c r="A1311"/>
      <c r="B1311"/>
      <c r="C1311"/>
      <c r="D1311"/>
      <c r="E1311"/>
      <c r="F1311"/>
      <c r="G1311"/>
      <c r="H1311"/>
      <c r="I1311"/>
      <c r="J1311"/>
      <c r="K1311"/>
    </row>
    <row r="1312" spans="1:11" ht="12.75">
      <c r="A1312"/>
      <c r="B1312"/>
      <c r="C1312"/>
      <c r="D1312"/>
      <c r="E1312"/>
      <c r="F1312"/>
      <c r="G1312"/>
      <c r="H1312"/>
      <c r="I1312"/>
      <c r="J1312"/>
      <c r="K1312"/>
    </row>
    <row r="1313" spans="1:11" ht="12.75">
      <c r="A1313"/>
      <c r="B1313"/>
      <c r="C1313"/>
      <c r="D1313"/>
      <c r="E1313"/>
      <c r="F1313"/>
      <c r="G1313"/>
      <c r="H1313"/>
      <c r="I1313"/>
      <c r="J1313"/>
      <c r="K1313"/>
    </row>
    <row r="1314" spans="1:11" ht="12.75">
      <c r="A1314"/>
      <c r="B1314"/>
      <c r="C1314"/>
      <c r="D1314"/>
      <c r="E1314"/>
      <c r="F1314"/>
      <c r="G1314"/>
      <c r="H1314"/>
      <c r="I1314"/>
      <c r="J1314"/>
      <c r="K1314"/>
    </row>
    <row r="1315" spans="1:11" ht="12.75">
      <c r="A1315"/>
      <c r="B1315"/>
      <c r="C1315"/>
      <c r="D1315"/>
      <c r="E1315"/>
      <c r="F1315"/>
      <c r="G1315"/>
      <c r="H1315"/>
      <c r="I1315"/>
      <c r="J1315"/>
      <c r="K1315"/>
    </row>
    <row r="1316" spans="1:11" ht="12.75">
      <c r="A1316"/>
      <c r="B1316"/>
      <c r="C1316"/>
      <c r="D1316"/>
      <c r="E1316"/>
      <c r="F1316"/>
      <c r="G1316"/>
      <c r="H1316"/>
      <c r="I1316"/>
      <c r="J1316"/>
      <c r="K1316"/>
    </row>
    <row r="1317" spans="1:11" ht="12.75">
      <c r="A1317"/>
      <c r="B1317"/>
      <c r="C1317"/>
      <c r="D1317"/>
      <c r="E1317"/>
      <c r="F1317"/>
      <c r="G1317"/>
      <c r="H1317"/>
      <c r="I1317"/>
      <c r="J1317"/>
      <c r="K1317"/>
    </row>
    <row r="1318" spans="1:11" ht="12.75">
      <c r="A1318"/>
      <c r="B1318"/>
      <c r="C1318"/>
      <c r="D1318"/>
      <c r="E1318"/>
      <c r="F1318"/>
      <c r="G1318"/>
      <c r="H1318"/>
      <c r="I1318"/>
      <c r="J1318"/>
      <c r="K1318"/>
    </row>
    <row r="1319" spans="1:11" ht="12.75">
      <c r="A1319"/>
      <c r="B1319"/>
      <c r="C1319"/>
      <c r="D1319"/>
      <c r="E1319"/>
      <c r="F1319"/>
      <c r="G1319"/>
      <c r="H1319"/>
      <c r="I1319"/>
      <c r="J1319"/>
      <c r="K1319"/>
    </row>
    <row r="1320" spans="1:11" ht="12.75">
      <c r="A1320"/>
      <c r="B1320"/>
      <c r="C1320"/>
      <c r="D1320"/>
      <c r="E1320"/>
      <c r="F1320"/>
      <c r="G1320"/>
      <c r="H1320"/>
      <c r="I1320"/>
      <c r="J1320"/>
      <c r="K1320"/>
    </row>
    <row r="1321" spans="1:11" ht="12.75">
      <c r="A1321"/>
      <c r="B1321"/>
      <c r="C1321"/>
      <c r="D1321"/>
      <c r="E1321"/>
      <c r="F1321"/>
      <c r="G1321"/>
      <c r="H1321"/>
      <c r="I1321"/>
      <c r="J1321"/>
      <c r="K1321"/>
    </row>
    <row r="1322" spans="1:11" ht="12.75">
      <c r="A1322"/>
      <c r="B1322"/>
      <c r="C1322"/>
      <c r="D1322"/>
      <c r="E1322"/>
      <c r="F1322"/>
      <c r="G1322"/>
      <c r="H1322"/>
      <c r="I1322"/>
      <c r="J1322"/>
      <c r="K1322"/>
    </row>
    <row r="1323" spans="1:11" ht="12.75">
      <c r="A1323"/>
      <c r="B1323"/>
      <c r="C1323"/>
      <c r="D1323"/>
      <c r="E1323"/>
      <c r="F1323"/>
      <c r="G1323"/>
      <c r="H1323"/>
      <c r="I1323"/>
      <c r="J1323"/>
      <c r="K1323"/>
    </row>
    <row r="1324" spans="1:11" ht="12.75">
      <c r="A1324"/>
      <c r="B1324"/>
      <c r="C1324"/>
      <c r="D1324"/>
      <c r="E1324"/>
      <c r="F1324"/>
      <c r="G1324"/>
      <c r="H1324"/>
      <c r="I1324"/>
      <c r="J1324"/>
      <c r="K1324"/>
    </row>
    <row r="1325" spans="1:11" ht="12.75">
      <c r="A1325"/>
      <c r="B1325"/>
      <c r="C1325"/>
      <c r="D1325"/>
      <c r="E1325"/>
      <c r="F1325"/>
      <c r="G1325"/>
      <c r="H1325"/>
      <c r="I1325"/>
      <c r="J1325"/>
      <c r="K1325"/>
    </row>
    <row r="1326" spans="1:11" ht="12.75">
      <c r="A1326"/>
      <c r="B1326"/>
      <c r="C1326"/>
      <c r="D1326"/>
      <c r="E1326"/>
      <c r="F1326"/>
      <c r="G1326"/>
      <c r="H1326"/>
      <c r="I1326"/>
      <c r="J1326"/>
      <c r="K1326"/>
    </row>
    <row r="1327" spans="1:11" ht="12.75">
      <c r="A1327"/>
      <c r="B1327"/>
      <c r="C1327"/>
      <c r="D1327"/>
      <c r="E1327"/>
      <c r="F1327"/>
      <c r="G1327"/>
      <c r="H1327"/>
      <c r="I1327"/>
      <c r="J1327"/>
      <c r="K1327"/>
    </row>
    <row r="1328" spans="1:11" ht="12.75">
      <c r="A1328"/>
      <c r="B1328"/>
      <c r="C1328"/>
      <c r="D1328"/>
      <c r="E1328"/>
      <c r="F1328"/>
      <c r="G1328"/>
      <c r="H1328"/>
      <c r="I1328"/>
      <c r="J1328"/>
      <c r="K1328"/>
    </row>
    <row r="1329" spans="1:11" ht="12.75">
      <c r="A1329"/>
      <c r="B1329"/>
      <c r="C1329"/>
      <c r="D1329"/>
      <c r="E1329"/>
      <c r="F1329"/>
      <c r="G1329"/>
      <c r="H1329"/>
      <c r="I1329"/>
      <c r="J1329"/>
      <c r="K1329"/>
    </row>
    <row r="1330" spans="1:11" ht="12.75">
      <c r="A1330"/>
      <c r="B1330"/>
      <c r="C1330"/>
      <c r="D1330"/>
      <c r="E1330"/>
      <c r="F1330"/>
      <c r="G1330"/>
      <c r="H1330"/>
      <c r="I1330"/>
      <c r="J1330"/>
      <c r="K1330"/>
    </row>
    <row r="1331" spans="1:11" ht="12.75">
      <c r="A1331"/>
      <c r="B1331"/>
      <c r="C1331"/>
      <c r="D1331"/>
      <c r="E1331"/>
      <c r="F1331"/>
      <c r="G1331"/>
      <c r="H1331"/>
      <c r="I1331"/>
      <c r="J1331"/>
      <c r="K1331"/>
    </row>
    <row r="1332" spans="1:11" ht="12.75">
      <c r="A1332"/>
      <c r="B1332"/>
      <c r="C1332"/>
      <c r="D1332"/>
      <c r="E1332"/>
      <c r="F1332"/>
      <c r="G1332"/>
      <c r="H1332"/>
      <c r="I1332"/>
      <c r="J1332"/>
      <c r="K1332"/>
    </row>
    <row r="1333" spans="1:11" ht="12.75">
      <c r="A1333"/>
      <c r="B1333"/>
      <c r="C1333"/>
      <c r="D1333"/>
      <c r="E1333"/>
      <c r="F1333"/>
      <c r="G1333"/>
      <c r="H1333"/>
      <c r="I1333"/>
      <c r="J1333"/>
      <c r="K1333"/>
    </row>
    <row r="1334" spans="1:11" ht="12.75">
      <c r="A1334"/>
      <c r="B1334"/>
      <c r="C1334"/>
      <c r="D1334"/>
      <c r="E1334"/>
      <c r="F1334"/>
      <c r="G1334"/>
      <c r="H1334"/>
      <c r="I1334"/>
      <c r="J1334"/>
      <c r="K1334"/>
    </row>
    <row r="1335" spans="1:11" ht="12.75">
      <c r="A1335"/>
      <c r="B1335"/>
      <c r="C1335"/>
      <c r="D1335"/>
      <c r="E1335"/>
      <c r="F1335"/>
      <c r="G1335"/>
      <c r="H1335"/>
      <c r="I1335"/>
      <c r="J1335"/>
      <c r="K1335"/>
    </row>
    <row r="1336" spans="1:11" ht="12.75">
      <c r="A1336"/>
      <c r="B1336"/>
      <c r="C1336"/>
      <c r="D1336"/>
      <c r="E1336"/>
      <c r="F1336"/>
      <c r="G1336"/>
      <c r="H1336"/>
      <c r="I1336"/>
      <c r="J1336"/>
      <c r="K1336"/>
    </row>
    <row r="1337" spans="1:11" ht="12.75">
      <c r="A1337"/>
      <c r="B1337"/>
      <c r="C1337"/>
      <c r="D1337"/>
      <c r="E1337"/>
      <c r="F1337"/>
      <c r="G1337"/>
      <c r="H1337"/>
      <c r="I1337"/>
      <c r="J1337"/>
      <c r="K1337"/>
    </row>
    <row r="1338" spans="1:11" ht="12.75">
      <c r="A1338"/>
      <c r="B1338"/>
      <c r="C1338"/>
      <c r="D1338"/>
      <c r="E1338"/>
      <c r="F1338"/>
      <c r="G1338"/>
      <c r="H1338"/>
      <c r="I1338"/>
      <c r="J1338"/>
      <c r="K1338"/>
    </row>
    <row r="1339" spans="1:11" ht="12.75">
      <c r="A1339"/>
      <c r="B1339"/>
      <c r="C1339"/>
      <c r="D1339"/>
      <c r="E1339"/>
      <c r="F1339"/>
      <c r="G1339"/>
      <c r="H1339"/>
      <c r="I1339"/>
      <c r="J1339"/>
      <c r="K1339"/>
    </row>
    <row r="1340" spans="1:11" ht="12.75">
      <c r="A1340"/>
      <c r="B1340"/>
      <c r="C1340"/>
      <c r="D1340"/>
      <c r="E1340"/>
      <c r="F1340"/>
      <c r="G1340"/>
      <c r="H1340"/>
      <c r="I1340"/>
      <c r="J1340"/>
      <c r="K1340"/>
    </row>
    <row r="1341" spans="1:11" ht="12.75">
      <c r="A1341"/>
      <c r="B1341"/>
      <c r="C1341"/>
      <c r="D1341"/>
      <c r="E1341"/>
      <c r="F1341"/>
      <c r="G1341"/>
      <c r="H1341"/>
      <c r="I1341"/>
      <c r="J1341"/>
      <c r="K1341"/>
    </row>
    <row r="1342" spans="1:11" ht="12.75">
      <c r="A1342"/>
      <c r="B1342"/>
      <c r="C1342"/>
      <c r="D1342"/>
      <c r="E1342"/>
      <c r="F1342"/>
      <c r="G1342"/>
      <c r="H1342"/>
      <c r="I1342"/>
      <c r="J1342"/>
      <c r="K1342"/>
    </row>
    <row r="1343" spans="1:11" ht="12.75">
      <c r="A1343"/>
      <c r="B1343"/>
      <c r="C1343"/>
      <c r="D1343"/>
      <c r="E1343"/>
      <c r="F1343"/>
      <c r="G1343"/>
      <c r="H1343"/>
      <c r="I1343"/>
      <c r="J1343"/>
      <c r="K1343"/>
    </row>
    <row r="1344" spans="1:11" ht="12.75">
      <c r="A1344"/>
      <c r="B1344"/>
      <c r="C1344"/>
      <c r="D1344"/>
      <c r="E1344"/>
      <c r="F1344"/>
      <c r="G1344"/>
      <c r="H1344"/>
      <c r="I1344"/>
      <c r="J1344"/>
      <c r="K1344"/>
    </row>
    <row r="1345" spans="1:11" ht="12.75">
      <c r="A1345"/>
      <c r="B1345"/>
      <c r="C1345"/>
      <c r="D1345"/>
      <c r="E1345"/>
      <c r="F1345"/>
      <c r="G1345"/>
      <c r="H1345"/>
      <c r="I1345"/>
      <c r="J1345"/>
      <c r="K1345"/>
    </row>
    <row r="1346" spans="1:11" ht="12.75">
      <c r="A1346"/>
      <c r="B1346"/>
      <c r="C1346"/>
      <c r="D1346"/>
      <c r="E1346"/>
      <c r="F1346"/>
      <c r="G1346"/>
      <c r="H1346"/>
      <c r="I1346"/>
      <c r="J1346"/>
      <c r="K1346"/>
    </row>
    <row r="1347" spans="1:11" ht="12.75">
      <c r="A1347"/>
      <c r="B1347"/>
      <c r="C1347"/>
      <c r="D1347"/>
      <c r="E1347"/>
      <c r="F1347"/>
      <c r="G1347"/>
      <c r="H1347"/>
      <c r="I1347"/>
      <c r="J1347"/>
      <c r="K1347"/>
    </row>
    <row r="1348" spans="1:11" ht="12.75">
      <c r="A1348"/>
      <c r="B1348"/>
      <c r="C1348"/>
      <c r="D1348"/>
      <c r="E1348"/>
      <c r="F1348"/>
      <c r="G1348"/>
      <c r="H1348"/>
      <c r="I1348"/>
      <c r="J1348"/>
      <c r="K1348"/>
    </row>
    <row r="1349" spans="1:11" ht="12.75">
      <c r="A1349"/>
      <c r="B1349"/>
      <c r="C1349"/>
      <c r="D1349"/>
      <c r="E1349"/>
      <c r="F1349"/>
      <c r="G1349"/>
      <c r="H1349"/>
      <c r="I1349"/>
      <c r="J1349"/>
      <c r="K1349"/>
    </row>
    <row r="1350" spans="1:11" ht="12.75">
      <c r="A1350"/>
      <c r="B1350"/>
      <c r="C1350"/>
      <c r="D1350"/>
      <c r="E1350"/>
      <c r="F1350"/>
      <c r="G1350"/>
      <c r="H1350"/>
      <c r="I1350"/>
      <c r="J1350"/>
      <c r="K1350"/>
    </row>
    <row r="1351" spans="1:11" ht="12.75">
      <c r="A1351"/>
      <c r="B1351"/>
      <c r="C1351"/>
      <c r="D1351"/>
      <c r="E1351"/>
      <c r="F1351"/>
      <c r="G1351"/>
      <c r="H1351"/>
      <c r="I1351"/>
      <c r="J1351"/>
      <c r="K1351"/>
    </row>
    <row r="1352" spans="1:11" ht="12.75">
      <c r="A1352"/>
      <c r="B1352"/>
      <c r="C1352"/>
      <c r="D1352"/>
      <c r="E1352"/>
      <c r="F1352"/>
      <c r="G1352"/>
      <c r="H1352"/>
      <c r="I1352"/>
      <c r="J1352"/>
      <c r="K1352"/>
    </row>
    <row r="1353" spans="1:11" ht="12.75">
      <c r="A1353"/>
      <c r="B1353"/>
      <c r="C1353"/>
      <c r="D1353"/>
      <c r="E1353"/>
      <c r="F1353"/>
      <c r="G1353"/>
      <c r="H1353"/>
      <c r="I1353"/>
      <c r="J1353"/>
      <c r="K1353"/>
    </row>
    <row r="1354" spans="1:11" ht="12.75">
      <c r="A1354"/>
      <c r="B1354"/>
      <c r="C1354"/>
      <c r="D1354"/>
      <c r="E1354"/>
      <c r="F1354"/>
      <c r="G1354"/>
      <c r="H1354"/>
      <c r="I1354"/>
      <c r="J1354"/>
      <c r="K1354"/>
    </row>
    <row r="1355" spans="1:11" ht="12.75">
      <c r="A1355"/>
      <c r="B1355"/>
      <c r="C1355"/>
      <c r="D1355"/>
      <c r="E1355"/>
      <c r="F1355"/>
      <c r="G1355"/>
      <c r="H1355"/>
      <c r="I1355"/>
      <c r="J1355"/>
      <c r="K1355"/>
    </row>
    <row r="1356" spans="1:11" ht="12.75">
      <c r="A1356"/>
      <c r="B1356"/>
      <c r="C1356"/>
      <c r="D1356"/>
      <c r="E1356"/>
      <c r="F1356"/>
      <c r="G1356"/>
      <c r="H1356"/>
      <c r="I1356"/>
      <c r="J1356"/>
      <c r="K1356"/>
    </row>
    <row r="1357" spans="1:11" ht="12.75">
      <c r="A1357"/>
      <c r="B1357"/>
      <c r="C1357"/>
      <c r="D1357"/>
      <c r="E1357"/>
      <c r="F1357"/>
      <c r="G1357"/>
      <c r="H1357"/>
      <c r="I1357"/>
      <c r="J1357"/>
      <c r="K1357"/>
    </row>
    <row r="1358" spans="1:11" ht="12.75">
      <c r="A1358"/>
      <c r="B1358"/>
      <c r="C1358"/>
      <c r="D1358"/>
      <c r="E1358"/>
      <c r="F1358"/>
      <c r="G1358"/>
      <c r="H1358"/>
      <c r="I1358"/>
      <c r="J1358"/>
      <c r="K1358"/>
    </row>
    <row r="1359" spans="1:11" ht="12.75">
      <c r="A1359"/>
      <c r="B1359"/>
      <c r="C1359"/>
      <c r="D1359"/>
      <c r="E1359"/>
      <c r="F1359"/>
      <c r="G1359"/>
      <c r="H1359"/>
      <c r="I1359"/>
      <c r="J1359"/>
      <c r="K1359"/>
    </row>
    <row r="1360" spans="1:11" ht="12.75">
      <c r="A1360"/>
      <c r="B1360"/>
      <c r="C1360"/>
      <c r="D1360"/>
      <c r="E1360"/>
      <c r="F1360"/>
      <c r="G1360"/>
      <c r="H1360"/>
      <c r="I1360"/>
      <c r="J1360"/>
      <c r="K1360"/>
    </row>
    <row r="1361" spans="1:11" ht="12.75">
      <c r="A1361"/>
      <c r="B1361"/>
      <c r="C1361"/>
      <c r="D1361"/>
      <c r="E1361"/>
      <c r="F1361"/>
      <c r="G1361"/>
      <c r="H1361"/>
      <c r="I1361"/>
      <c r="J1361"/>
      <c r="K1361"/>
    </row>
    <row r="1362" spans="1:11" ht="12.75">
      <c r="A1362"/>
      <c r="B1362"/>
      <c r="C1362"/>
      <c r="D1362"/>
      <c r="E1362"/>
      <c r="F1362"/>
      <c r="G1362"/>
      <c r="H1362"/>
      <c r="I1362"/>
      <c r="J1362"/>
      <c r="K1362"/>
    </row>
    <row r="1363" spans="1:11" ht="12.75">
      <c r="A1363"/>
      <c r="B1363"/>
      <c r="C1363"/>
      <c r="D1363"/>
      <c r="E1363"/>
      <c r="F1363"/>
      <c r="G1363"/>
      <c r="H1363"/>
      <c r="I1363"/>
      <c r="J1363"/>
      <c r="K1363"/>
    </row>
    <row r="1364" spans="1:11" ht="12.75">
      <c r="A1364"/>
      <c r="B1364"/>
      <c r="C1364"/>
      <c r="D1364"/>
      <c r="E1364"/>
      <c r="F1364"/>
      <c r="G1364"/>
      <c r="H1364"/>
      <c r="I1364"/>
      <c r="J1364"/>
      <c r="K1364"/>
    </row>
    <row r="1365" spans="1:11" ht="12.75">
      <c r="A1365"/>
      <c r="B1365"/>
      <c r="C1365"/>
      <c r="D1365"/>
      <c r="E1365"/>
      <c r="F1365"/>
      <c r="G1365"/>
      <c r="H1365"/>
      <c r="I1365"/>
      <c r="J1365"/>
      <c r="K1365"/>
    </row>
    <row r="1366" spans="1:11" ht="12.75">
      <c r="A1366"/>
      <c r="B1366"/>
      <c r="C1366"/>
      <c r="D1366"/>
      <c r="E1366"/>
      <c r="F1366"/>
      <c r="G1366"/>
      <c r="H1366"/>
      <c r="I1366"/>
      <c r="J1366"/>
      <c r="K1366"/>
    </row>
    <row r="1367" spans="1:11" ht="12.75">
      <c r="A1367"/>
      <c r="B1367"/>
      <c r="C1367"/>
      <c r="D1367"/>
      <c r="E1367"/>
      <c r="F1367"/>
      <c r="G1367"/>
      <c r="H1367"/>
      <c r="I1367"/>
      <c r="J1367"/>
      <c r="K1367"/>
    </row>
    <row r="1368" spans="1:11" ht="12.75">
      <c r="A1368"/>
      <c r="B1368"/>
      <c r="C1368"/>
      <c r="D1368"/>
      <c r="E1368"/>
      <c r="F1368"/>
      <c r="G1368"/>
      <c r="H1368"/>
      <c r="I1368"/>
      <c r="J1368"/>
      <c r="K1368"/>
    </row>
    <row r="1369" spans="1:11" ht="12.75">
      <c r="A1369"/>
      <c r="B1369"/>
      <c r="C1369"/>
      <c r="D1369"/>
      <c r="E1369"/>
      <c r="F1369"/>
      <c r="G1369"/>
      <c r="H1369"/>
      <c r="I1369"/>
      <c r="J1369"/>
      <c r="K1369"/>
    </row>
    <row r="1370" spans="1:11" ht="12.75">
      <c r="A1370"/>
      <c r="B1370"/>
      <c r="C1370"/>
      <c r="D1370"/>
      <c r="E1370"/>
      <c r="F1370"/>
      <c r="G1370"/>
      <c r="H1370"/>
      <c r="I1370"/>
      <c r="J1370"/>
      <c r="K1370"/>
    </row>
    <row r="1371" spans="1:11" ht="12.75">
      <c r="A1371"/>
      <c r="B1371"/>
      <c r="C1371"/>
      <c r="D1371"/>
      <c r="E1371"/>
      <c r="F1371"/>
      <c r="G1371"/>
      <c r="H1371"/>
      <c r="I1371"/>
      <c r="J1371"/>
      <c r="K1371"/>
    </row>
    <row r="1372" spans="1:11" ht="12.75">
      <c r="A1372"/>
      <c r="B1372"/>
      <c r="C1372"/>
      <c r="D1372"/>
      <c r="E1372"/>
      <c r="F1372"/>
      <c r="G1372"/>
      <c r="H1372"/>
      <c r="I1372"/>
      <c r="J1372"/>
      <c r="K1372"/>
    </row>
    <row r="1373" spans="1:11" ht="12.75">
      <c r="A1373"/>
      <c r="B1373"/>
      <c r="C1373"/>
      <c r="D1373"/>
      <c r="E1373"/>
      <c r="F1373"/>
      <c r="G1373"/>
      <c r="H1373"/>
      <c r="I1373"/>
      <c r="J1373"/>
      <c r="K1373"/>
    </row>
    <row r="1374" spans="1:11" ht="12.75">
      <c r="A1374"/>
      <c r="B1374"/>
      <c r="C1374"/>
      <c r="D1374"/>
      <c r="E1374"/>
      <c r="F1374"/>
      <c r="G1374"/>
      <c r="H1374"/>
      <c r="I1374"/>
      <c r="J1374"/>
      <c r="K1374"/>
    </row>
    <row r="1375" spans="1:11" ht="12.75">
      <c r="A1375"/>
      <c r="B1375"/>
      <c r="C1375"/>
      <c r="D1375"/>
      <c r="E1375"/>
      <c r="F1375"/>
      <c r="G1375"/>
      <c r="H1375"/>
      <c r="I1375"/>
      <c r="J1375"/>
      <c r="K1375"/>
    </row>
    <row r="1376" spans="1:11" ht="12.75">
      <c r="A1376"/>
      <c r="B1376"/>
      <c r="C1376"/>
      <c r="D1376"/>
      <c r="E1376"/>
      <c r="F1376"/>
      <c r="G1376"/>
      <c r="H1376"/>
      <c r="I1376"/>
      <c r="J1376"/>
      <c r="K1376"/>
    </row>
    <row r="1377" spans="1:11" ht="12.75">
      <c r="A1377"/>
      <c r="B1377"/>
      <c r="C1377"/>
      <c r="D1377"/>
      <c r="E1377"/>
      <c r="F1377"/>
      <c r="G1377"/>
      <c r="H1377"/>
      <c r="I1377"/>
      <c r="J1377"/>
      <c r="K1377"/>
    </row>
    <row r="1378" spans="1:11" ht="12.75">
      <c r="A1378"/>
      <c r="B1378"/>
      <c r="C1378"/>
      <c r="D1378"/>
      <c r="E1378"/>
      <c r="F1378"/>
      <c r="G1378"/>
      <c r="H1378"/>
      <c r="I1378"/>
      <c r="J1378"/>
      <c r="K1378"/>
    </row>
    <row r="1379" spans="1:11" ht="12.75">
      <c r="A1379"/>
      <c r="B1379"/>
      <c r="C1379"/>
      <c r="D1379"/>
      <c r="E1379"/>
      <c r="F1379"/>
      <c r="G1379"/>
      <c r="H1379"/>
      <c r="I1379"/>
      <c r="J1379"/>
      <c r="K1379"/>
    </row>
    <row r="1380" spans="1:11" ht="12.75">
      <c r="A1380"/>
      <c r="B1380"/>
      <c r="C1380"/>
      <c r="D1380"/>
      <c r="E1380"/>
      <c r="F1380"/>
      <c r="G1380"/>
      <c r="H1380"/>
      <c r="I1380"/>
      <c r="J1380"/>
      <c r="K1380"/>
    </row>
    <row r="1381" spans="1:11" ht="12.75">
      <c r="A1381"/>
      <c r="B1381"/>
      <c r="C1381"/>
      <c r="D1381"/>
      <c r="E1381"/>
      <c r="F1381"/>
      <c r="G1381"/>
      <c r="H1381"/>
      <c r="I1381"/>
      <c r="J1381"/>
      <c r="K1381"/>
    </row>
    <row r="1382" spans="1:11" ht="12.75">
      <c r="A1382"/>
      <c r="B1382"/>
      <c r="C1382"/>
      <c r="D1382"/>
      <c r="E1382"/>
      <c r="F1382"/>
      <c r="G1382"/>
      <c r="H1382"/>
      <c r="I1382"/>
      <c r="J1382"/>
      <c r="K1382"/>
    </row>
    <row r="1383" spans="1:11" ht="12.75">
      <c r="A1383"/>
      <c r="B1383"/>
      <c r="C1383"/>
      <c r="D1383"/>
      <c r="E1383"/>
      <c r="F1383"/>
      <c r="G1383"/>
      <c r="H1383"/>
      <c r="I1383"/>
      <c r="J1383"/>
      <c r="K1383"/>
    </row>
    <row r="1384" spans="1:11" ht="12.75">
      <c r="A1384"/>
      <c r="B1384"/>
      <c r="C1384"/>
      <c r="D1384"/>
      <c r="E1384"/>
      <c r="F1384"/>
      <c r="G1384"/>
      <c r="H1384"/>
      <c r="I1384"/>
      <c r="J1384"/>
      <c r="K1384"/>
    </row>
    <row r="1385" spans="1:11" ht="12.75">
      <c r="A1385"/>
      <c r="B1385"/>
      <c r="C1385"/>
      <c r="D1385"/>
      <c r="E1385"/>
      <c r="F1385"/>
      <c r="G1385"/>
      <c r="H1385"/>
      <c r="I1385"/>
      <c r="J1385"/>
      <c r="K1385"/>
    </row>
    <row r="1386" spans="1:11" ht="12.75">
      <c r="A1386"/>
      <c r="B1386"/>
      <c r="C1386"/>
      <c r="D1386"/>
      <c r="E1386"/>
      <c r="F1386"/>
      <c r="G1386"/>
      <c r="H1386"/>
      <c r="I1386"/>
      <c r="J1386"/>
      <c r="K1386"/>
    </row>
    <row r="1387" spans="1:11" ht="12.75">
      <c r="A1387"/>
      <c r="B1387"/>
      <c r="C1387"/>
      <c r="D1387"/>
      <c r="E1387"/>
      <c r="F1387"/>
      <c r="G1387"/>
      <c r="H1387"/>
      <c r="I1387"/>
      <c r="J1387"/>
      <c r="K1387"/>
    </row>
    <row r="1388" spans="1:11" ht="12.75">
      <c r="A1388"/>
      <c r="B1388"/>
      <c r="C1388"/>
      <c r="D1388"/>
      <c r="E1388"/>
      <c r="F1388"/>
      <c r="G1388"/>
      <c r="H1388"/>
      <c r="I1388"/>
      <c r="J1388"/>
      <c r="K1388"/>
    </row>
    <row r="1389" spans="1:11" ht="12.75">
      <c r="A1389"/>
      <c r="B1389"/>
      <c r="C1389"/>
      <c r="D1389"/>
      <c r="E1389"/>
      <c r="F1389"/>
      <c r="G1389"/>
      <c r="H1389"/>
      <c r="I1389"/>
      <c r="J1389"/>
      <c r="K1389"/>
    </row>
    <row r="1390" spans="1:11" ht="12.75">
      <c r="A1390"/>
      <c r="B1390"/>
      <c r="C1390"/>
      <c r="D1390"/>
      <c r="E1390"/>
      <c r="F1390"/>
      <c r="G1390"/>
      <c r="H1390"/>
      <c r="I1390"/>
      <c r="J1390"/>
      <c r="K1390"/>
    </row>
    <row r="1391" spans="1:11" ht="12.75">
      <c r="A1391"/>
      <c r="B1391"/>
      <c r="C1391"/>
      <c r="D1391"/>
      <c r="E1391"/>
      <c r="F1391"/>
      <c r="G1391"/>
      <c r="H1391"/>
      <c r="I1391"/>
      <c r="J1391"/>
      <c r="K1391"/>
    </row>
    <row r="1392" spans="1:11" ht="12.75">
      <c r="A1392"/>
      <c r="B1392"/>
      <c r="C1392"/>
      <c r="D1392"/>
      <c r="E1392"/>
      <c r="F1392"/>
      <c r="G1392"/>
      <c r="H1392"/>
      <c r="I1392"/>
      <c r="J1392"/>
      <c r="K1392"/>
    </row>
    <row r="1393" spans="1:11" ht="12.75">
      <c r="A1393"/>
      <c r="B1393"/>
      <c r="C1393"/>
      <c r="D1393"/>
      <c r="E1393"/>
      <c r="F1393"/>
      <c r="G1393"/>
      <c r="H1393"/>
      <c r="I1393"/>
      <c r="J1393"/>
      <c r="K1393"/>
    </row>
    <row r="1394" spans="1:11" ht="12.75">
      <c r="A1394"/>
      <c r="B1394"/>
      <c r="C1394"/>
      <c r="D1394"/>
      <c r="E1394"/>
      <c r="F1394"/>
      <c r="G1394"/>
      <c r="H1394"/>
      <c r="I1394"/>
      <c r="J1394"/>
      <c r="K1394"/>
    </row>
    <row r="1395" spans="1:11" ht="12.75">
      <c r="A1395"/>
      <c r="B1395"/>
      <c r="C1395"/>
      <c r="D1395"/>
      <c r="E1395"/>
      <c r="F1395"/>
      <c r="G1395"/>
      <c r="H1395"/>
      <c r="I1395"/>
      <c r="J1395"/>
      <c r="K1395"/>
    </row>
    <row r="1396" spans="1:11" ht="12.75">
      <c r="A1396"/>
      <c r="B1396"/>
      <c r="C1396"/>
      <c r="D1396"/>
      <c r="E1396"/>
      <c r="F1396"/>
      <c r="G1396"/>
      <c r="H1396"/>
      <c r="I1396"/>
      <c r="J1396"/>
      <c r="K1396"/>
    </row>
    <row r="1397" spans="1:11" ht="12.75">
      <c r="A1397"/>
      <c r="B1397"/>
      <c r="C1397"/>
      <c r="D1397"/>
      <c r="E1397"/>
      <c r="F1397"/>
      <c r="G1397"/>
      <c r="H1397"/>
      <c r="I1397"/>
      <c r="J1397"/>
      <c r="K1397"/>
    </row>
    <row r="1398" spans="1:11" ht="12.75">
      <c r="A1398"/>
      <c r="B1398"/>
      <c r="C1398"/>
      <c r="D1398"/>
      <c r="E1398"/>
      <c r="F1398"/>
      <c r="G1398"/>
      <c r="H1398"/>
      <c r="I1398"/>
      <c r="J1398"/>
      <c r="K1398"/>
    </row>
    <row r="1399" spans="1:11" ht="12.75">
      <c r="A1399"/>
      <c r="B1399"/>
      <c r="C1399"/>
      <c r="D1399"/>
      <c r="E1399"/>
      <c r="F1399"/>
      <c r="G1399"/>
      <c r="H1399"/>
      <c r="I1399"/>
      <c r="J1399"/>
      <c r="K1399"/>
    </row>
    <row r="1400" spans="1:11" ht="12.75">
      <c r="A1400"/>
      <c r="B1400"/>
      <c r="C1400"/>
      <c r="D1400"/>
      <c r="E1400"/>
      <c r="F1400"/>
      <c r="G1400"/>
      <c r="H1400"/>
      <c r="I1400"/>
      <c r="J1400"/>
      <c r="K1400"/>
    </row>
    <row r="1401" spans="1:11" ht="12.75">
      <c r="A1401"/>
      <c r="B1401"/>
      <c r="C1401"/>
      <c r="D1401"/>
      <c r="E1401"/>
      <c r="F1401"/>
      <c r="G1401"/>
      <c r="H1401"/>
      <c r="I1401"/>
      <c r="J1401"/>
      <c r="K1401"/>
    </row>
    <row r="1402" spans="1:11" ht="12.75">
      <c r="A1402"/>
      <c r="B1402"/>
      <c r="C1402"/>
      <c r="D1402"/>
      <c r="E1402"/>
      <c r="F1402"/>
      <c r="G1402"/>
      <c r="H1402"/>
      <c r="I1402"/>
      <c r="J1402"/>
      <c r="K1402"/>
    </row>
    <row r="1403" spans="1:11" ht="12.75">
      <c r="A1403"/>
      <c r="B1403"/>
      <c r="C1403"/>
      <c r="D1403"/>
      <c r="E1403"/>
      <c r="F1403"/>
      <c r="G1403"/>
      <c r="H1403"/>
      <c r="I1403"/>
      <c r="J1403"/>
      <c r="K1403"/>
    </row>
    <row r="1404" spans="1:11" ht="12.75">
      <c r="A1404"/>
      <c r="B1404"/>
      <c r="C1404"/>
      <c r="D1404"/>
      <c r="E1404"/>
      <c r="F1404"/>
      <c r="G1404"/>
      <c r="H1404"/>
      <c r="I1404"/>
      <c r="J1404"/>
      <c r="K1404"/>
    </row>
    <row r="1405" spans="1:11" ht="12.75">
      <c r="A1405"/>
      <c r="B1405"/>
      <c r="C1405"/>
      <c r="D1405"/>
      <c r="E1405"/>
      <c r="F1405"/>
      <c r="G1405"/>
      <c r="H1405"/>
      <c r="I1405"/>
      <c r="J1405"/>
      <c r="K1405"/>
    </row>
    <row r="1406" spans="1:11" ht="12.75">
      <c r="A1406"/>
      <c r="B1406"/>
      <c r="C1406"/>
      <c r="D1406"/>
      <c r="E1406"/>
      <c r="F1406"/>
      <c r="G1406"/>
      <c r="H1406"/>
      <c r="I1406"/>
      <c r="J1406"/>
      <c r="K1406"/>
    </row>
    <row r="1407" spans="1:11" ht="12.75">
      <c r="A1407"/>
      <c r="B1407"/>
      <c r="C1407"/>
      <c r="D1407"/>
      <c r="E1407"/>
      <c r="F1407"/>
      <c r="G1407"/>
      <c r="H1407"/>
      <c r="I1407"/>
      <c r="J1407"/>
      <c r="K1407"/>
    </row>
    <row r="1408" spans="1:11" ht="12.75">
      <c r="A1408"/>
      <c r="B1408"/>
      <c r="C1408"/>
      <c r="D1408"/>
      <c r="E1408"/>
      <c r="F1408"/>
      <c r="G1408"/>
      <c r="H1408"/>
      <c r="I1408"/>
      <c r="J1408"/>
      <c r="K1408"/>
    </row>
    <row r="1409" spans="1:11" ht="12.75">
      <c r="A1409"/>
      <c r="B1409"/>
      <c r="C1409"/>
      <c r="D1409"/>
      <c r="E1409"/>
      <c r="F1409"/>
      <c r="G1409"/>
      <c r="H1409"/>
      <c r="I1409"/>
      <c r="J1409"/>
      <c r="K1409"/>
    </row>
    <row r="1410" spans="1:11" ht="12.75">
      <c r="A1410"/>
      <c r="B1410"/>
      <c r="C1410"/>
      <c r="D1410"/>
      <c r="E1410"/>
      <c r="F1410"/>
      <c r="G1410"/>
      <c r="H1410"/>
      <c r="I1410"/>
      <c r="J1410"/>
      <c r="K1410"/>
    </row>
    <row r="1411" spans="1:11" ht="12.75">
      <c r="A1411"/>
      <c r="B1411"/>
      <c r="C1411"/>
      <c r="D1411"/>
      <c r="E1411"/>
      <c r="F1411"/>
      <c r="G1411"/>
      <c r="H1411"/>
      <c r="I1411"/>
      <c r="J1411"/>
      <c r="K1411"/>
    </row>
    <row r="1412" spans="1:11" ht="12.75">
      <c r="A1412"/>
      <c r="B1412"/>
      <c r="C1412"/>
      <c r="D1412"/>
      <c r="E1412"/>
      <c r="F1412"/>
      <c r="G1412"/>
      <c r="H1412"/>
      <c r="I1412"/>
      <c r="J1412"/>
      <c r="K1412"/>
    </row>
    <row r="1413" spans="1:11" ht="12.75">
      <c r="A1413"/>
      <c r="B1413"/>
      <c r="C1413"/>
      <c r="D1413"/>
      <c r="E1413"/>
      <c r="F1413"/>
      <c r="G1413"/>
      <c r="H1413"/>
      <c r="I1413"/>
      <c r="J1413"/>
      <c r="K1413"/>
    </row>
    <row r="1414" spans="1:11" ht="12.75">
      <c r="A1414"/>
      <c r="B1414"/>
      <c r="C1414"/>
      <c r="D1414"/>
      <c r="E1414"/>
      <c r="F1414"/>
      <c r="G1414"/>
      <c r="H1414"/>
      <c r="I1414"/>
      <c r="J1414"/>
      <c r="K1414"/>
    </row>
    <row r="1415" spans="1:11" ht="12.75">
      <c r="A1415"/>
      <c r="B1415"/>
      <c r="C1415"/>
      <c r="D1415"/>
      <c r="E1415"/>
      <c r="F1415"/>
      <c r="G1415"/>
      <c r="H1415"/>
      <c r="I1415"/>
      <c r="J1415"/>
      <c r="K1415"/>
    </row>
    <row r="1416" spans="1:11" ht="12.75">
      <c r="A1416"/>
      <c r="B1416"/>
      <c r="C1416"/>
      <c r="D1416"/>
      <c r="E1416"/>
      <c r="F1416"/>
      <c r="G1416"/>
      <c r="H1416"/>
      <c r="I1416"/>
      <c r="J1416"/>
      <c r="K1416"/>
    </row>
    <row r="1417" spans="1:11" ht="12.75">
      <c r="A1417"/>
      <c r="B1417"/>
      <c r="C1417"/>
      <c r="D1417"/>
      <c r="E1417"/>
      <c r="F1417"/>
      <c r="G1417"/>
      <c r="H1417"/>
      <c r="I1417"/>
      <c r="J1417"/>
      <c r="K1417"/>
    </row>
    <row r="1418" spans="1:11" ht="12.75">
      <c r="A1418"/>
      <c r="B1418"/>
      <c r="C1418"/>
      <c r="D1418"/>
      <c r="E1418"/>
      <c r="F1418"/>
      <c r="G1418"/>
      <c r="H1418"/>
      <c r="I1418"/>
      <c r="J1418"/>
      <c r="K1418"/>
    </row>
    <row r="1419" spans="1:11" ht="12.75">
      <c r="A1419"/>
      <c r="B1419"/>
      <c r="C1419"/>
      <c r="D1419"/>
      <c r="E1419"/>
      <c r="F1419"/>
      <c r="G1419"/>
      <c r="H1419"/>
      <c r="I1419"/>
      <c r="J1419"/>
      <c r="K1419"/>
    </row>
    <row r="1420" spans="1:11" ht="12.75">
      <c r="A1420"/>
      <c r="B1420"/>
      <c r="C1420"/>
      <c r="D1420"/>
      <c r="E1420"/>
      <c r="F1420"/>
      <c r="G1420"/>
      <c r="H1420"/>
      <c r="I1420"/>
      <c r="J1420"/>
      <c r="K1420"/>
    </row>
    <row r="1421" spans="1:11" ht="12.75">
      <c r="A1421"/>
      <c r="B1421"/>
      <c r="C1421"/>
      <c r="D1421"/>
      <c r="E1421"/>
      <c r="F1421"/>
      <c r="G1421"/>
      <c r="H1421"/>
      <c r="I1421"/>
      <c r="J1421"/>
      <c r="K1421"/>
    </row>
    <row r="1422" spans="1:11" ht="12.75">
      <c r="A1422"/>
      <c r="B1422"/>
      <c r="C1422"/>
      <c r="D1422"/>
      <c r="E1422"/>
      <c r="F1422"/>
      <c r="G1422"/>
      <c r="H1422"/>
      <c r="I1422"/>
      <c r="J1422"/>
      <c r="K1422"/>
    </row>
    <row r="1423" spans="1:11" ht="12.75">
      <c r="A1423"/>
      <c r="B1423"/>
      <c r="C1423"/>
      <c r="D1423"/>
      <c r="E1423"/>
      <c r="F1423"/>
      <c r="G1423"/>
      <c r="H1423"/>
      <c r="I1423"/>
      <c r="J1423"/>
      <c r="K1423"/>
    </row>
    <row r="1424" spans="1:11" ht="12.75">
      <c r="A1424"/>
      <c r="B1424"/>
      <c r="C1424"/>
      <c r="D1424"/>
      <c r="E1424"/>
      <c r="F1424"/>
      <c r="G1424"/>
      <c r="H1424"/>
      <c r="I1424"/>
      <c r="J1424"/>
      <c r="K1424"/>
    </row>
    <row r="1425" spans="1:11" ht="12.75">
      <c r="A1425"/>
      <c r="B1425"/>
      <c r="C1425"/>
      <c r="D1425"/>
      <c r="E1425"/>
      <c r="F1425"/>
      <c r="G1425"/>
      <c r="H1425"/>
      <c r="I1425"/>
      <c r="J1425"/>
      <c r="K1425"/>
    </row>
    <row r="1426" spans="1:11" ht="12.75">
      <c r="A1426"/>
      <c r="B1426"/>
      <c r="C1426"/>
      <c r="D1426"/>
      <c r="E1426"/>
      <c r="F1426"/>
      <c r="G1426"/>
      <c r="H1426"/>
      <c r="I1426"/>
      <c r="J1426"/>
      <c r="K1426"/>
    </row>
    <row r="1427" spans="1:11" ht="12.75">
      <c r="A1427"/>
      <c r="B1427"/>
      <c r="C1427"/>
      <c r="D1427"/>
      <c r="E1427"/>
      <c r="F1427"/>
      <c r="G1427"/>
      <c r="H1427"/>
      <c r="I1427"/>
      <c r="J1427"/>
      <c r="K1427"/>
    </row>
    <row r="1428" spans="1:11" ht="12.75">
      <c r="A1428"/>
      <c r="B1428"/>
      <c r="C1428"/>
      <c r="D1428"/>
      <c r="E1428"/>
      <c r="F1428"/>
      <c r="G1428"/>
      <c r="H1428"/>
      <c r="I1428"/>
      <c r="J1428"/>
      <c r="K1428"/>
    </row>
    <row r="1429" spans="1:11" ht="12.75">
      <c r="A1429"/>
      <c r="B1429"/>
      <c r="C1429"/>
      <c r="D1429"/>
      <c r="E1429"/>
      <c r="F1429"/>
      <c r="G1429"/>
      <c r="H1429"/>
      <c r="I1429"/>
      <c r="J1429"/>
      <c r="K1429"/>
    </row>
    <row r="1430" spans="1:11" ht="12.75">
      <c r="A1430"/>
      <c r="B1430"/>
      <c r="C1430"/>
      <c r="D1430"/>
      <c r="E1430"/>
      <c r="F1430"/>
      <c r="G1430"/>
      <c r="H1430"/>
      <c r="I1430"/>
      <c r="J1430"/>
      <c r="K1430"/>
    </row>
    <row r="1431" spans="1:11" ht="12.75">
      <c r="A1431"/>
      <c r="B1431"/>
      <c r="C1431"/>
      <c r="D1431"/>
      <c r="E1431"/>
      <c r="F1431"/>
      <c r="G1431"/>
      <c r="H1431"/>
      <c r="I1431"/>
      <c r="J1431"/>
      <c r="K1431"/>
    </row>
    <row r="1432" spans="1:11" ht="12.75">
      <c r="A1432"/>
      <c r="B1432"/>
      <c r="C1432"/>
      <c r="D1432"/>
      <c r="E1432"/>
      <c r="F1432"/>
      <c r="G1432"/>
      <c r="H1432"/>
      <c r="I1432"/>
      <c r="J1432"/>
      <c r="K1432"/>
    </row>
    <row r="1433" spans="1:11" ht="12.75">
      <c r="A1433"/>
      <c r="B1433"/>
      <c r="C1433"/>
      <c r="D1433"/>
      <c r="E1433"/>
      <c r="F1433"/>
      <c r="G1433"/>
      <c r="H1433"/>
      <c r="I1433"/>
      <c r="J1433"/>
      <c r="K1433"/>
    </row>
    <row r="1434" spans="1:11" ht="12.75">
      <c r="A1434"/>
      <c r="B1434"/>
      <c r="C1434"/>
      <c r="D1434"/>
      <c r="E1434"/>
      <c r="F1434"/>
      <c r="G1434"/>
      <c r="H1434"/>
      <c r="I1434"/>
      <c r="J1434"/>
      <c r="K1434"/>
    </row>
    <row r="1435" spans="1:11" ht="12.75">
      <c r="A1435"/>
      <c r="B1435"/>
      <c r="C1435"/>
      <c r="D1435"/>
      <c r="E1435"/>
      <c r="F1435"/>
      <c r="G1435"/>
      <c r="H1435"/>
      <c r="I1435"/>
      <c r="J1435"/>
      <c r="K1435"/>
    </row>
    <row r="1436" spans="1:11" ht="12.75">
      <c r="A1436"/>
      <c r="B1436"/>
      <c r="C1436"/>
      <c r="D1436"/>
      <c r="E1436"/>
      <c r="F1436"/>
      <c r="G1436"/>
      <c r="H1436"/>
      <c r="I1436"/>
      <c r="J1436"/>
      <c r="K1436"/>
    </row>
    <row r="1437" spans="1:11" ht="12.75">
      <c r="A1437"/>
      <c r="B1437"/>
      <c r="C1437"/>
      <c r="D1437"/>
      <c r="E1437"/>
      <c r="F1437"/>
      <c r="G1437"/>
      <c r="H1437"/>
      <c r="I1437"/>
      <c r="J1437"/>
      <c r="K1437"/>
    </row>
    <row r="1438" spans="1:11" ht="12.75">
      <c r="A1438"/>
      <c r="B1438"/>
      <c r="C1438"/>
      <c r="D1438"/>
      <c r="E1438"/>
      <c r="F1438"/>
      <c r="G1438"/>
      <c r="H1438"/>
      <c r="I1438"/>
      <c r="J1438"/>
      <c r="K1438"/>
    </row>
    <row r="1439" spans="1:11" ht="12.75">
      <c r="A1439"/>
      <c r="B1439"/>
      <c r="C1439"/>
      <c r="D1439"/>
      <c r="E1439"/>
      <c r="F1439"/>
      <c r="G1439"/>
      <c r="H1439"/>
      <c r="I1439"/>
      <c r="J1439"/>
      <c r="K1439"/>
    </row>
    <row r="1440" spans="1:11" ht="12.75">
      <c r="A1440"/>
      <c r="B1440"/>
      <c r="C1440"/>
      <c r="D1440"/>
      <c r="E1440"/>
      <c r="F1440"/>
      <c r="G1440"/>
      <c r="H1440"/>
      <c r="I1440"/>
      <c r="J1440"/>
      <c r="K1440"/>
    </row>
    <row r="1441" spans="1:11" ht="12.75">
      <c r="A1441"/>
      <c r="B1441"/>
      <c r="C1441"/>
      <c r="D1441"/>
      <c r="E1441"/>
      <c r="F1441"/>
      <c r="G1441"/>
      <c r="H1441"/>
      <c r="I1441"/>
      <c r="J1441"/>
      <c r="K1441"/>
    </row>
    <row r="1442" spans="1:11" ht="12.75">
      <c r="A1442"/>
      <c r="B1442"/>
      <c r="C1442"/>
      <c r="D1442"/>
      <c r="E1442"/>
      <c r="F1442"/>
      <c r="G1442"/>
      <c r="H1442"/>
      <c r="I1442"/>
      <c r="J1442"/>
      <c r="K1442"/>
    </row>
    <row r="1443" spans="1:11" ht="12.75">
      <c r="A1443"/>
      <c r="B1443"/>
      <c r="C1443"/>
      <c r="D1443"/>
      <c r="E1443"/>
      <c r="F1443"/>
      <c r="G1443"/>
      <c r="H1443"/>
      <c r="I1443"/>
      <c r="J1443"/>
      <c r="K1443"/>
    </row>
    <row r="1444" spans="1:11" ht="12.75">
      <c r="A1444"/>
      <c r="B1444"/>
      <c r="C1444"/>
      <c r="D1444"/>
      <c r="E1444"/>
      <c r="F1444"/>
      <c r="G1444"/>
      <c r="H1444"/>
      <c r="I1444"/>
      <c r="J1444"/>
      <c r="K1444"/>
    </row>
    <row r="1445" spans="1:11" ht="12.75">
      <c r="A1445"/>
      <c r="B1445"/>
      <c r="C1445"/>
      <c r="D1445"/>
      <c r="E1445"/>
      <c r="F1445"/>
      <c r="G1445"/>
      <c r="H1445"/>
      <c r="I1445"/>
      <c r="J1445"/>
      <c r="K1445"/>
    </row>
    <row r="1446" spans="1:11" ht="12.75">
      <c r="A1446"/>
      <c r="B1446"/>
      <c r="C1446"/>
      <c r="D1446"/>
      <c r="E1446"/>
      <c r="F1446"/>
      <c r="G1446"/>
      <c r="H1446"/>
      <c r="I1446"/>
      <c r="J1446"/>
      <c r="K1446"/>
    </row>
    <row r="1447" spans="1:11" ht="12.75">
      <c r="A1447"/>
      <c r="B1447"/>
      <c r="C1447"/>
      <c r="D1447"/>
      <c r="E1447"/>
      <c r="F1447"/>
      <c r="G1447"/>
      <c r="H1447"/>
      <c r="I1447"/>
      <c r="J1447"/>
      <c r="K1447"/>
    </row>
    <row r="1448" spans="1:11" ht="12.75">
      <c r="A1448"/>
      <c r="B1448"/>
      <c r="C1448"/>
      <c r="D1448"/>
      <c r="E1448"/>
      <c r="F1448"/>
      <c r="G1448"/>
      <c r="H1448"/>
      <c r="I1448"/>
      <c r="J1448"/>
      <c r="K1448"/>
    </row>
    <row r="1449" spans="1:11" ht="12.75">
      <c r="A1449"/>
      <c r="B1449"/>
      <c r="C1449"/>
      <c r="D1449"/>
      <c r="E1449"/>
      <c r="F1449"/>
      <c r="G1449"/>
      <c r="H1449"/>
      <c r="I1449"/>
      <c r="J1449"/>
      <c r="K1449"/>
    </row>
    <row r="1450" spans="1:11" ht="12.75">
      <c r="A1450"/>
      <c r="B1450"/>
      <c r="C1450"/>
      <c r="D1450"/>
      <c r="E1450"/>
      <c r="F1450"/>
      <c r="G1450"/>
      <c r="H1450"/>
      <c r="I1450"/>
      <c r="J1450"/>
      <c r="K1450"/>
    </row>
    <row r="1451" spans="1:11" ht="12.75">
      <c r="A1451"/>
      <c r="B1451"/>
      <c r="C1451"/>
      <c r="D1451"/>
      <c r="E1451"/>
      <c r="F1451"/>
      <c r="G1451"/>
      <c r="H1451"/>
      <c r="I1451"/>
      <c r="J1451"/>
      <c r="K1451"/>
    </row>
    <row r="1452" spans="1:11" ht="12.75">
      <c r="A1452"/>
      <c r="B1452"/>
      <c r="C1452"/>
      <c r="D1452"/>
      <c r="E1452"/>
      <c r="F1452"/>
      <c r="G1452"/>
      <c r="H1452"/>
      <c r="I1452"/>
      <c r="J1452"/>
      <c r="K1452"/>
    </row>
    <row r="1453" spans="1:11" ht="12.75">
      <c r="A1453"/>
      <c r="B1453"/>
      <c r="C1453"/>
      <c r="D1453"/>
      <c r="E1453"/>
      <c r="F1453"/>
      <c r="G1453"/>
      <c r="H1453"/>
      <c r="I1453"/>
      <c r="J1453"/>
      <c r="K1453"/>
    </row>
    <row r="1454" spans="1:11" ht="12.75">
      <c r="A1454"/>
      <c r="B1454"/>
      <c r="C1454"/>
      <c r="D1454"/>
      <c r="E1454"/>
      <c r="F1454"/>
      <c r="G1454"/>
      <c r="H1454"/>
      <c r="I1454"/>
      <c r="J1454"/>
      <c r="K1454"/>
    </row>
    <row r="1455" spans="1:11" ht="12.75">
      <c r="A1455"/>
      <c r="B1455"/>
      <c r="C1455"/>
      <c r="D1455"/>
      <c r="E1455"/>
      <c r="F1455"/>
      <c r="G1455"/>
      <c r="H1455"/>
      <c r="I1455"/>
      <c r="J1455"/>
      <c r="K1455"/>
    </row>
    <row r="1456" spans="1:11" ht="12.75">
      <c r="A1456"/>
      <c r="B1456"/>
      <c r="C1456"/>
      <c r="D1456"/>
      <c r="E1456"/>
      <c r="F1456"/>
      <c r="G1456"/>
      <c r="H1456"/>
      <c r="I1456"/>
      <c r="J1456"/>
      <c r="K1456"/>
    </row>
    <row r="1457" spans="1:11" ht="12.75">
      <c r="A1457"/>
      <c r="B1457"/>
      <c r="C1457"/>
      <c r="D1457"/>
      <c r="E1457"/>
      <c r="F1457"/>
      <c r="G1457"/>
      <c r="H1457"/>
      <c r="I1457"/>
      <c r="J1457"/>
      <c r="K1457"/>
    </row>
    <row r="1458" spans="1:11" ht="12.75">
      <c r="A1458"/>
      <c r="B1458"/>
      <c r="C1458"/>
      <c r="D1458"/>
      <c r="E1458"/>
      <c r="F1458"/>
      <c r="G1458"/>
      <c r="H1458"/>
      <c r="I1458"/>
      <c r="J1458"/>
      <c r="K1458"/>
    </row>
    <row r="1459" spans="1:11" ht="12.75">
      <c r="A1459"/>
      <c r="B1459"/>
      <c r="C1459"/>
      <c r="D1459"/>
      <c r="E1459"/>
      <c r="F1459"/>
      <c r="G1459"/>
      <c r="H1459"/>
      <c r="I1459"/>
      <c r="J1459"/>
      <c r="K1459"/>
    </row>
    <row r="1460" spans="1:11" ht="12.75">
      <c r="A1460"/>
      <c r="B1460"/>
      <c r="C1460"/>
      <c r="D1460"/>
      <c r="E1460"/>
      <c r="F1460"/>
      <c r="G1460"/>
      <c r="H1460"/>
      <c r="I1460"/>
      <c r="J1460"/>
      <c r="K1460"/>
    </row>
    <row r="1461" spans="1:11" ht="12.75">
      <c r="A1461"/>
      <c r="B1461"/>
      <c r="C1461"/>
      <c r="D1461"/>
      <c r="E1461"/>
      <c r="F1461"/>
      <c r="G1461"/>
      <c r="H1461"/>
      <c r="I1461"/>
      <c r="J1461"/>
      <c r="K1461"/>
    </row>
    <row r="1462" spans="1:11" ht="12.75">
      <c r="A1462"/>
      <c r="B1462"/>
      <c r="C1462"/>
      <c r="D1462"/>
      <c r="E1462"/>
      <c r="F1462"/>
      <c r="G1462"/>
      <c r="H1462"/>
      <c r="I1462"/>
      <c r="J1462"/>
      <c r="K1462"/>
    </row>
    <row r="1463" spans="1:11" ht="12.75">
      <c r="A1463"/>
      <c r="B1463"/>
      <c r="C1463"/>
      <c r="D1463"/>
      <c r="E1463"/>
      <c r="F1463"/>
      <c r="G1463"/>
      <c r="H1463"/>
      <c r="I1463"/>
      <c r="J1463"/>
      <c r="K1463"/>
    </row>
    <row r="1464" spans="1:11" ht="12.75">
      <c r="A1464"/>
      <c r="B1464"/>
      <c r="C1464"/>
      <c r="D1464"/>
      <c r="E1464"/>
      <c r="F1464"/>
      <c r="G1464"/>
      <c r="H1464"/>
      <c r="I1464"/>
      <c r="J1464"/>
      <c r="K1464"/>
    </row>
    <row r="1465" spans="1:11" ht="12.75">
      <c r="A1465"/>
      <c r="B1465"/>
      <c r="C1465"/>
      <c r="D1465"/>
      <c r="E1465"/>
      <c r="F1465"/>
      <c r="G1465"/>
      <c r="H1465"/>
      <c r="I1465"/>
      <c r="J1465"/>
      <c r="K1465"/>
    </row>
    <row r="1466" spans="1:11" ht="12.75">
      <c r="A1466"/>
      <c r="B1466"/>
      <c r="C1466"/>
      <c r="D1466"/>
      <c r="E1466"/>
      <c r="F1466"/>
      <c r="G1466"/>
      <c r="H1466"/>
      <c r="I1466"/>
      <c r="J1466"/>
      <c r="K1466"/>
    </row>
    <row r="1467" spans="1:11" ht="12.75">
      <c r="A1467"/>
      <c r="B1467"/>
      <c r="C1467"/>
      <c r="D1467"/>
      <c r="E1467"/>
      <c r="F1467"/>
      <c r="G1467"/>
      <c r="H1467"/>
      <c r="I1467"/>
      <c r="J1467"/>
      <c r="K1467"/>
    </row>
    <row r="1468" spans="1:11" ht="12.75">
      <c r="A1468"/>
      <c r="B1468"/>
      <c r="C1468"/>
      <c r="D1468"/>
      <c r="E1468"/>
      <c r="F1468"/>
      <c r="G1468"/>
      <c r="H1468"/>
      <c r="I1468"/>
      <c r="J1468"/>
      <c r="K1468"/>
    </row>
    <row r="1469" spans="1:11" ht="12.75">
      <c r="A1469"/>
      <c r="B1469"/>
      <c r="C1469"/>
      <c r="D1469"/>
      <c r="E1469"/>
      <c r="F1469"/>
      <c r="G1469"/>
      <c r="H1469"/>
      <c r="I1469"/>
      <c r="J1469"/>
      <c r="K1469"/>
    </row>
    <row r="1470" spans="1:11" ht="12.75">
      <c r="A1470"/>
      <c r="B1470"/>
      <c r="C1470"/>
      <c r="D1470"/>
      <c r="E1470"/>
      <c r="F1470"/>
      <c r="G1470"/>
      <c r="H1470"/>
      <c r="I1470"/>
      <c r="J1470"/>
      <c r="K1470"/>
    </row>
    <row r="1471" spans="1:11" ht="12.75">
      <c r="A1471"/>
      <c r="B1471"/>
      <c r="C1471"/>
      <c r="D1471"/>
      <c r="E1471"/>
      <c r="F1471"/>
      <c r="G1471"/>
      <c r="H1471"/>
      <c r="I1471"/>
      <c r="J1471"/>
      <c r="K1471"/>
    </row>
    <row r="1472" spans="1:11" ht="12.75">
      <c r="A1472"/>
      <c r="B1472"/>
      <c r="C1472"/>
      <c r="D1472"/>
      <c r="E1472"/>
      <c r="F1472"/>
      <c r="G1472"/>
      <c r="H1472"/>
      <c r="I1472"/>
      <c r="J1472"/>
      <c r="K1472"/>
    </row>
    <row r="1473" spans="1:11" ht="12.75">
      <c r="A1473"/>
      <c r="B1473"/>
      <c r="C1473"/>
      <c r="D1473"/>
      <c r="E1473"/>
      <c r="F1473"/>
      <c r="G1473"/>
      <c r="H1473"/>
      <c r="I1473"/>
      <c r="J1473"/>
      <c r="K1473"/>
    </row>
    <row r="1474" spans="1:11" ht="12.75">
      <c r="A1474"/>
      <c r="B1474"/>
      <c r="C1474"/>
      <c r="D1474"/>
      <c r="E1474"/>
      <c r="F1474"/>
      <c r="G1474"/>
      <c r="H1474"/>
      <c r="I1474"/>
      <c r="J1474"/>
      <c r="K1474"/>
    </row>
    <row r="1475" spans="1:11" ht="12.75">
      <c r="A1475"/>
      <c r="B1475"/>
      <c r="C1475"/>
      <c r="D1475"/>
      <c r="E1475"/>
      <c r="F1475"/>
      <c r="G1475"/>
      <c r="H1475"/>
      <c r="I1475"/>
      <c r="J1475"/>
      <c r="K1475"/>
    </row>
    <row r="1476" spans="1:11" ht="12.75">
      <c r="A1476"/>
      <c r="B1476"/>
      <c r="C1476"/>
      <c r="D1476"/>
      <c r="E1476"/>
      <c r="F1476"/>
      <c r="G1476"/>
      <c r="H1476"/>
      <c r="I1476"/>
      <c r="J1476"/>
      <c r="K1476"/>
    </row>
    <row r="1477" spans="1:11" ht="12.75">
      <c r="A1477"/>
      <c r="B1477"/>
      <c r="C1477"/>
      <c r="D1477"/>
      <c r="E1477"/>
      <c r="F1477"/>
      <c r="G1477"/>
      <c r="H1477"/>
      <c r="I1477"/>
      <c r="J1477"/>
      <c r="K1477"/>
    </row>
    <row r="1478" spans="1:11" ht="12.75">
      <c r="A1478"/>
      <c r="B1478"/>
      <c r="C1478"/>
      <c r="D1478"/>
      <c r="E1478"/>
      <c r="F1478"/>
      <c r="G1478"/>
      <c r="H1478"/>
      <c r="I1478"/>
      <c r="J1478"/>
      <c r="K1478"/>
    </row>
    <row r="1479" spans="1:11" ht="12.75">
      <c r="A1479"/>
      <c r="B1479"/>
      <c r="C1479"/>
      <c r="D1479"/>
      <c r="E1479"/>
      <c r="F1479"/>
      <c r="G1479"/>
      <c r="H1479"/>
      <c r="I1479"/>
      <c r="J1479"/>
      <c r="K1479"/>
    </row>
    <row r="1480" spans="1:11" ht="12.75">
      <c r="A1480"/>
      <c r="B1480"/>
      <c r="C1480"/>
      <c r="D1480"/>
      <c r="E1480"/>
      <c r="F1480"/>
      <c r="G1480"/>
      <c r="H1480"/>
      <c r="I1480"/>
      <c r="J1480"/>
      <c r="K1480"/>
    </row>
    <row r="1481" spans="1:11" ht="12.75">
      <c r="A1481"/>
      <c r="B1481"/>
      <c r="C1481"/>
      <c r="D1481"/>
      <c r="E1481"/>
      <c r="F1481"/>
      <c r="G1481"/>
      <c r="H1481"/>
      <c r="I1481"/>
      <c r="J1481"/>
      <c r="K1481"/>
    </row>
    <row r="1482" spans="1:11" ht="12.75">
      <c r="A1482"/>
      <c r="B1482"/>
      <c r="C1482"/>
      <c r="D1482"/>
      <c r="E1482"/>
      <c r="F1482"/>
      <c r="G1482"/>
      <c r="H1482"/>
      <c r="I1482"/>
      <c r="J1482"/>
      <c r="K1482"/>
    </row>
    <row r="1483" spans="1:11" ht="12.75">
      <c r="A1483"/>
      <c r="B1483"/>
      <c r="C1483"/>
      <c r="D1483"/>
      <c r="E1483"/>
      <c r="F1483"/>
      <c r="G1483"/>
      <c r="H1483"/>
      <c r="I1483"/>
      <c r="J1483"/>
      <c r="K1483"/>
    </row>
    <row r="1484" spans="1:11" ht="12.75">
      <c r="A1484"/>
      <c r="B1484"/>
      <c r="C1484"/>
      <c r="D1484"/>
      <c r="E1484"/>
      <c r="F1484"/>
      <c r="G1484"/>
      <c r="H1484"/>
      <c r="I1484"/>
      <c r="J1484"/>
      <c r="K1484"/>
    </row>
    <row r="1485" spans="1:11" ht="12.75">
      <c r="A1485"/>
      <c r="B1485"/>
      <c r="C1485"/>
      <c r="D1485"/>
      <c r="E1485"/>
      <c r="F1485"/>
      <c r="G1485"/>
      <c r="H1485"/>
      <c r="I1485"/>
      <c r="J1485"/>
      <c r="K1485"/>
    </row>
    <row r="1486" spans="1:11" ht="12.75">
      <c r="A1486"/>
      <c r="B1486"/>
      <c r="C1486"/>
      <c r="D1486"/>
      <c r="E1486"/>
      <c r="F1486"/>
      <c r="G1486"/>
      <c r="H1486"/>
      <c r="I1486"/>
      <c r="J1486"/>
      <c r="K1486"/>
    </row>
    <row r="1487" spans="1:11" ht="12.75">
      <c r="A1487"/>
      <c r="B1487"/>
      <c r="C1487"/>
      <c r="D1487"/>
      <c r="E1487"/>
      <c r="F1487"/>
      <c r="G1487"/>
      <c r="H1487"/>
      <c r="I1487"/>
      <c r="J1487"/>
      <c r="K1487"/>
    </row>
    <row r="1488" spans="1:11" ht="12.75">
      <c r="A1488"/>
      <c r="B1488"/>
      <c r="C1488"/>
      <c r="D1488"/>
      <c r="E1488"/>
      <c r="F1488"/>
      <c r="G1488"/>
      <c r="H1488"/>
      <c r="I1488"/>
      <c r="J1488"/>
      <c r="K1488"/>
    </row>
    <row r="1489" spans="1:11" ht="12.75">
      <c r="A1489"/>
      <c r="B1489"/>
      <c r="C1489"/>
      <c r="D1489"/>
      <c r="E1489"/>
      <c r="F1489"/>
      <c r="G1489"/>
      <c r="H1489"/>
      <c r="I1489"/>
      <c r="J1489"/>
      <c r="K1489"/>
    </row>
    <row r="1490" spans="1:11" ht="12.75">
      <c r="A1490"/>
      <c r="B1490"/>
      <c r="C1490"/>
      <c r="D1490"/>
      <c r="E1490"/>
      <c r="F1490"/>
      <c r="G1490"/>
      <c r="H1490"/>
      <c r="I1490"/>
      <c r="J1490"/>
      <c r="K1490"/>
    </row>
    <row r="1491" spans="1:11" ht="12.75">
      <c r="A1491"/>
      <c r="B1491"/>
      <c r="C1491"/>
      <c r="D1491"/>
      <c r="E1491"/>
      <c r="F1491"/>
      <c r="G1491"/>
      <c r="H1491"/>
      <c r="I1491"/>
      <c r="J1491"/>
      <c r="K1491"/>
    </row>
    <row r="1492" spans="1:11" ht="12.75">
      <c r="A1492"/>
      <c r="B1492"/>
      <c r="C1492"/>
      <c r="D1492"/>
      <c r="E1492"/>
      <c r="F1492"/>
      <c r="G1492"/>
      <c r="H1492"/>
      <c r="I1492"/>
      <c r="J1492"/>
      <c r="K1492"/>
    </row>
    <row r="1493" spans="1:11" ht="12.75">
      <c r="A1493"/>
      <c r="B1493"/>
      <c r="C1493"/>
      <c r="D1493"/>
      <c r="E1493"/>
      <c r="F1493"/>
      <c r="G1493"/>
      <c r="H1493"/>
      <c r="I1493"/>
      <c r="J1493"/>
      <c r="K1493"/>
    </row>
    <row r="1494" spans="1:11" ht="12.75">
      <c r="A1494"/>
      <c r="B1494"/>
      <c r="C1494"/>
      <c r="D1494"/>
      <c r="E1494"/>
      <c r="F1494"/>
      <c r="G1494"/>
      <c r="H1494"/>
      <c r="I1494"/>
      <c r="J1494"/>
      <c r="K1494"/>
    </row>
    <row r="1495" spans="1:11" ht="12.75">
      <c r="A1495"/>
      <c r="B1495"/>
      <c r="C1495"/>
      <c r="D1495"/>
      <c r="E1495"/>
      <c r="F1495"/>
      <c r="G1495"/>
      <c r="H1495"/>
      <c r="I1495"/>
      <c r="J1495"/>
      <c r="K1495"/>
    </row>
    <row r="1496" spans="1:11" ht="12.75">
      <c r="A1496"/>
      <c r="B1496"/>
      <c r="C1496"/>
      <c r="D1496"/>
      <c r="E1496"/>
      <c r="F1496"/>
      <c r="G1496"/>
      <c r="H1496"/>
      <c r="I1496"/>
      <c r="J1496"/>
      <c r="K1496"/>
    </row>
    <row r="1497" spans="1:11" ht="12.75">
      <c r="A1497"/>
      <c r="B1497"/>
      <c r="C1497"/>
      <c r="D1497"/>
      <c r="E1497"/>
      <c r="F1497"/>
      <c r="G1497"/>
      <c r="H1497"/>
      <c r="I1497"/>
      <c r="J1497"/>
      <c r="K1497"/>
    </row>
    <row r="1498" spans="1:11" ht="12.75">
      <c r="A1498"/>
      <c r="B1498"/>
      <c r="C1498"/>
      <c r="D1498"/>
      <c r="E1498"/>
      <c r="F1498"/>
      <c r="G1498"/>
      <c r="H1498"/>
      <c r="I1498"/>
      <c r="J1498"/>
      <c r="K1498"/>
    </row>
    <row r="1499" spans="1:11" ht="12.75">
      <c r="A1499"/>
      <c r="B1499"/>
      <c r="C1499"/>
      <c r="D1499"/>
      <c r="E1499"/>
      <c r="F1499"/>
      <c r="G1499"/>
      <c r="H1499"/>
      <c r="I1499"/>
      <c r="J1499"/>
      <c r="K1499"/>
    </row>
    <row r="1500" spans="1:11" ht="12.75">
      <c r="A1500"/>
      <c r="B1500"/>
      <c r="C1500"/>
      <c r="D1500"/>
      <c r="E1500"/>
      <c r="F1500"/>
      <c r="G1500"/>
      <c r="H1500"/>
      <c r="I1500"/>
      <c r="J1500"/>
      <c r="K1500"/>
    </row>
    <row r="1501" spans="1:11" ht="12.75">
      <c r="A1501"/>
      <c r="B1501"/>
      <c r="C1501"/>
      <c r="D1501"/>
      <c r="E1501"/>
      <c r="F1501"/>
      <c r="G1501"/>
      <c r="H1501"/>
      <c r="I1501"/>
      <c r="J1501"/>
      <c r="K1501"/>
    </row>
    <row r="1502" spans="1:11" ht="12.75">
      <c r="A1502"/>
      <c r="B1502"/>
      <c r="C1502"/>
      <c r="D1502"/>
      <c r="E1502"/>
      <c r="F1502"/>
      <c r="G1502"/>
      <c r="H1502"/>
      <c r="I1502"/>
      <c r="J1502"/>
      <c r="K1502"/>
    </row>
    <row r="1503" spans="1:11" ht="12.75">
      <c r="A1503"/>
      <c r="B1503"/>
      <c r="C1503"/>
      <c r="D1503"/>
      <c r="E1503"/>
      <c r="F1503"/>
      <c r="G1503"/>
      <c r="H1503"/>
      <c r="I1503"/>
      <c r="J1503"/>
      <c r="K1503"/>
    </row>
    <row r="1504" spans="1:11" ht="12.75">
      <c r="A1504"/>
      <c r="B1504"/>
      <c r="C1504"/>
      <c r="D1504"/>
      <c r="E1504"/>
      <c r="F1504"/>
      <c r="G1504"/>
      <c r="H1504"/>
      <c r="I1504"/>
      <c r="J1504"/>
      <c r="K1504"/>
    </row>
    <row r="1505" spans="1:11" ht="12.75">
      <c r="A1505"/>
      <c r="B1505"/>
      <c r="C1505"/>
      <c r="D1505"/>
      <c r="E1505"/>
      <c r="F1505"/>
      <c r="G1505"/>
      <c r="H1505"/>
      <c r="I1505"/>
      <c r="J1505"/>
      <c r="K1505"/>
    </row>
    <row r="1506" spans="1:11" ht="12.75">
      <c r="A1506"/>
      <c r="B1506"/>
      <c r="C1506"/>
      <c r="D1506"/>
      <c r="E1506"/>
      <c r="F1506"/>
      <c r="G1506"/>
      <c r="H1506"/>
      <c r="I1506"/>
      <c r="J1506"/>
      <c r="K1506"/>
    </row>
    <row r="1507" spans="1:11" ht="12.75">
      <c r="A1507"/>
      <c r="B1507"/>
      <c r="C1507"/>
      <c r="D1507"/>
      <c r="E1507"/>
      <c r="F1507"/>
      <c r="G1507"/>
      <c r="H1507"/>
      <c r="I1507"/>
      <c r="J1507"/>
      <c r="K1507"/>
    </row>
    <row r="1508" spans="1:11" ht="12.75">
      <c r="A1508"/>
      <c r="B1508"/>
      <c r="C1508"/>
      <c r="D1508"/>
      <c r="E1508"/>
      <c r="F1508"/>
      <c r="G1508"/>
      <c r="H1508"/>
      <c r="I1508"/>
      <c r="J1508"/>
      <c r="K1508"/>
    </row>
    <row r="1509" spans="1:11" ht="12.75">
      <c r="A1509"/>
      <c r="B1509"/>
      <c r="C1509"/>
      <c r="D1509"/>
      <c r="E1509"/>
      <c r="F1509"/>
      <c r="G1509"/>
      <c r="H1509"/>
      <c r="I1509"/>
      <c r="J1509"/>
      <c r="K1509"/>
    </row>
    <row r="1510" spans="1:11" ht="12.75">
      <c r="A1510"/>
      <c r="B1510"/>
      <c r="C1510"/>
      <c r="D1510"/>
      <c r="E1510"/>
      <c r="F1510"/>
      <c r="G1510"/>
      <c r="H1510"/>
      <c r="I1510"/>
      <c r="J1510"/>
      <c r="K1510"/>
    </row>
    <row r="1511" spans="1:11" ht="12.75">
      <c r="A1511"/>
      <c r="B1511"/>
      <c r="C1511"/>
      <c r="D1511"/>
      <c r="E1511"/>
      <c r="F1511"/>
      <c r="G1511"/>
      <c r="H1511"/>
      <c r="I1511"/>
      <c r="J1511"/>
      <c r="K1511"/>
    </row>
    <row r="1512" spans="1:11" ht="12.75">
      <c r="A1512"/>
      <c r="B1512"/>
      <c r="C1512"/>
      <c r="D1512"/>
      <c r="E1512"/>
      <c r="F1512"/>
      <c r="G1512"/>
      <c r="H1512"/>
      <c r="I1512"/>
      <c r="J1512"/>
      <c r="K1512"/>
    </row>
    <row r="1513" spans="1:11" ht="12.75">
      <c r="A1513"/>
      <c r="B1513"/>
      <c r="C1513"/>
      <c r="D1513"/>
      <c r="E1513"/>
      <c r="F1513"/>
      <c r="G1513"/>
      <c r="H1513"/>
      <c r="I1513"/>
      <c r="J1513"/>
      <c r="K1513"/>
    </row>
    <row r="1514" spans="1:11" ht="12.75">
      <c r="A1514"/>
      <c r="B1514"/>
      <c r="C1514"/>
      <c r="D1514"/>
      <c r="E1514"/>
      <c r="F1514"/>
      <c r="G1514"/>
      <c r="H1514"/>
      <c r="I1514"/>
      <c r="J1514"/>
      <c r="K1514"/>
    </row>
    <row r="1515" spans="1:11" ht="12.75">
      <c r="A1515"/>
      <c r="B1515"/>
      <c r="C1515"/>
      <c r="D1515"/>
      <c r="E1515"/>
      <c r="F1515"/>
      <c r="G1515"/>
      <c r="H1515"/>
      <c r="I1515"/>
      <c r="J1515"/>
      <c r="K1515"/>
    </row>
    <row r="1516" spans="1:11" ht="12.75">
      <c r="A1516"/>
      <c r="B1516"/>
      <c r="C1516"/>
      <c r="D1516"/>
      <c r="E1516"/>
      <c r="F1516"/>
      <c r="G1516"/>
      <c r="H1516"/>
      <c r="I1516"/>
      <c r="J1516"/>
      <c r="K1516"/>
    </row>
    <row r="1517" spans="1:11" ht="12.75">
      <c r="A1517"/>
      <c r="B1517"/>
      <c r="C1517"/>
      <c r="D1517"/>
      <c r="E1517"/>
      <c r="F1517"/>
      <c r="G1517"/>
      <c r="H1517"/>
      <c r="I1517"/>
      <c r="J1517"/>
      <c r="K1517"/>
    </row>
    <row r="1518" spans="1:11" ht="12.75">
      <c r="A1518"/>
      <c r="B1518"/>
      <c r="C1518"/>
      <c r="D1518"/>
      <c r="E1518"/>
      <c r="F1518"/>
      <c r="G1518"/>
      <c r="H1518"/>
      <c r="I1518"/>
      <c r="J1518"/>
      <c r="K1518"/>
    </row>
    <row r="1519" spans="1:11" ht="12.75">
      <c r="A1519"/>
      <c r="B1519"/>
      <c r="C1519"/>
      <c r="D1519"/>
      <c r="E1519"/>
      <c r="F1519"/>
      <c r="G1519"/>
      <c r="H1519"/>
      <c r="I1519"/>
      <c r="J1519"/>
      <c r="K1519"/>
    </row>
    <row r="1520" spans="1:11" ht="12.75">
      <c r="A1520"/>
      <c r="B1520"/>
      <c r="C1520"/>
      <c r="D1520"/>
      <c r="E1520"/>
      <c r="F1520"/>
      <c r="G1520"/>
      <c r="H1520"/>
      <c r="I1520"/>
      <c r="J1520"/>
      <c r="K1520"/>
    </row>
    <row r="1521" spans="1:11" ht="12.75">
      <c r="A1521"/>
      <c r="B1521"/>
      <c r="C1521"/>
      <c r="D1521"/>
      <c r="E1521"/>
      <c r="F1521"/>
      <c r="G1521"/>
      <c r="H1521"/>
      <c r="I1521"/>
      <c r="J1521"/>
      <c r="K1521"/>
    </row>
    <row r="1522" spans="1:11" ht="12.75">
      <c r="A1522"/>
      <c r="B1522"/>
      <c r="C1522"/>
      <c r="D1522"/>
      <c r="E1522"/>
      <c r="F1522"/>
      <c r="G1522"/>
      <c r="H1522"/>
      <c r="I1522"/>
      <c r="J1522"/>
      <c r="K1522"/>
    </row>
    <row r="1523" spans="1:11" ht="12.75">
      <c r="A1523"/>
      <c r="B1523"/>
      <c r="C1523"/>
      <c r="D1523"/>
      <c r="E1523"/>
      <c r="F1523"/>
      <c r="G1523"/>
      <c r="H1523"/>
      <c r="I1523"/>
      <c r="J1523"/>
      <c r="K1523"/>
    </row>
    <row r="1524" spans="1:11" ht="12.75">
      <c r="A1524"/>
      <c r="B1524"/>
      <c r="C1524"/>
      <c r="D1524"/>
      <c r="E1524"/>
      <c r="F1524"/>
      <c r="G1524"/>
      <c r="H1524"/>
      <c r="I1524"/>
      <c r="J1524"/>
      <c r="K1524"/>
    </row>
    <row r="1525" spans="1:11" ht="12.75">
      <c r="A1525"/>
      <c r="B1525"/>
      <c r="C1525"/>
      <c r="D1525"/>
      <c r="E1525"/>
      <c r="F1525"/>
      <c r="G1525" s="283"/>
      <c r="H1525"/>
      <c r="I1525"/>
      <c r="J1525"/>
      <c r="K1525"/>
    </row>
    <row r="1526" spans="1:11" ht="12.75">
      <c r="A1526"/>
      <c r="B1526"/>
      <c r="C1526"/>
      <c r="D1526"/>
      <c r="E1526"/>
      <c r="F1526"/>
      <c r="G1526" s="283"/>
      <c r="H1526"/>
      <c r="I1526"/>
      <c r="J1526"/>
      <c r="K1526"/>
    </row>
    <row r="1527" spans="1:11" ht="12.75">
      <c r="A1527"/>
      <c r="B1527"/>
      <c r="C1527"/>
      <c r="D1527"/>
      <c r="E1527"/>
      <c r="F1527"/>
      <c r="G1527" s="283"/>
      <c r="H1527"/>
      <c r="I1527"/>
      <c r="J1527"/>
      <c r="K1527"/>
    </row>
    <row r="1528" spans="1:11" ht="12.75">
      <c r="A1528"/>
      <c r="B1528"/>
      <c r="C1528"/>
      <c r="D1528"/>
      <c r="E1528"/>
      <c r="F1528"/>
      <c r="G1528" s="283"/>
      <c r="H1528"/>
      <c r="I1528"/>
      <c r="J1528"/>
      <c r="K1528"/>
    </row>
    <row r="1529" spans="1:11" ht="12.75">
      <c r="A1529"/>
      <c r="B1529"/>
      <c r="C1529"/>
      <c r="D1529"/>
      <c r="E1529"/>
      <c r="F1529"/>
      <c r="G1529" s="283"/>
      <c r="H1529"/>
      <c r="I1529"/>
      <c r="J1529"/>
      <c r="K1529"/>
    </row>
    <row r="1530" spans="1:11" ht="12.75">
      <c r="A1530"/>
      <c r="B1530"/>
      <c r="C1530"/>
      <c r="D1530"/>
      <c r="E1530"/>
      <c r="F1530"/>
      <c r="G1530" s="283"/>
      <c r="H1530"/>
      <c r="I1530"/>
      <c r="J1530"/>
      <c r="K1530"/>
    </row>
    <row r="1531" spans="1:11" ht="12.75">
      <c r="A1531"/>
      <c r="B1531"/>
      <c r="C1531"/>
      <c r="D1531"/>
      <c r="E1531"/>
      <c r="F1531"/>
      <c r="G1531" s="283"/>
      <c r="H1531"/>
      <c r="I1531"/>
      <c r="J1531"/>
      <c r="K1531"/>
    </row>
    <row r="1532" spans="1:11" ht="12.75">
      <c r="A1532"/>
      <c r="B1532"/>
      <c r="C1532"/>
      <c r="D1532"/>
      <c r="E1532"/>
      <c r="F1532"/>
      <c r="G1532" s="283"/>
      <c r="H1532"/>
      <c r="I1532"/>
      <c r="J1532"/>
      <c r="K1532"/>
    </row>
    <row r="1533" spans="1:11" ht="12.75">
      <c r="A1533"/>
      <c r="B1533"/>
      <c r="C1533"/>
      <c r="D1533"/>
      <c r="E1533"/>
      <c r="F1533"/>
      <c r="G1533" s="283"/>
      <c r="H1533"/>
      <c r="I1533"/>
      <c r="J1533"/>
      <c r="K1533"/>
    </row>
    <row r="1534" spans="1:11" ht="12.75">
      <c r="A1534"/>
      <c r="B1534"/>
      <c r="C1534"/>
      <c r="D1534"/>
      <c r="E1534"/>
      <c r="F1534"/>
      <c r="G1534" s="283"/>
      <c r="H1534"/>
      <c r="I1534"/>
      <c r="J1534"/>
      <c r="K1534"/>
    </row>
    <row r="1535" spans="1:11" ht="12.75">
      <c r="A1535"/>
      <c r="B1535"/>
      <c r="C1535"/>
      <c r="D1535"/>
      <c r="E1535"/>
      <c r="F1535"/>
      <c r="G1535" s="283"/>
      <c r="H1535"/>
      <c r="I1535"/>
      <c r="J1535"/>
      <c r="K1535"/>
    </row>
    <row r="1536" spans="1:11" ht="12.75">
      <c r="A1536"/>
      <c r="B1536"/>
      <c r="C1536"/>
      <c r="D1536"/>
      <c r="E1536"/>
      <c r="F1536"/>
      <c r="G1536" s="283"/>
      <c r="H1536"/>
      <c r="I1536"/>
      <c r="J1536"/>
      <c r="K1536"/>
    </row>
    <row r="1537" spans="1:11" ht="12.75">
      <c r="A1537"/>
      <c r="B1537"/>
      <c r="C1537"/>
      <c r="D1537"/>
      <c r="E1537"/>
      <c r="F1537"/>
      <c r="G1537" s="283"/>
      <c r="H1537"/>
      <c r="I1537"/>
      <c r="J1537"/>
      <c r="K1537"/>
    </row>
    <row r="1538" spans="1:11" ht="12.75">
      <c r="A1538"/>
      <c r="B1538"/>
      <c r="C1538"/>
      <c r="D1538"/>
      <c r="E1538"/>
      <c r="F1538"/>
      <c r="G1538" s="283"/>
      <c r="H1538"/>
      <c r="I1538"/>
      <c r="J1538"/>
      <c r="K1538"/>
    </row>
    <row r="1539" spans="1:11" ht="12.75">
      <c r="A1539"/>
      <c r="B1539"/>
      <c r="C1539"/>
      <c r="D1539"/>
      <c r="E1539"/>
      <c r="F1539"/>
      <c r="G1539" s="283"/>
      <c r="H1539"/>
      <c r="I1539"/>
      <c r="J1539"/>
      <c r="K1539"/>
    </row>
    <row r="1540" spans="1:11" ht="12.75">
      <c r="A1540"/>
      <c r="B1540"/>
      <c r="C1540"/>
      <c r="D1540"/>
      <c r="E1540"/>
      <c r="F1540"/>
      <c r="G1540" s="283"/>
      <c r="H1540"/>
      <c r="I1540"/>
      <c r="J1540"/>
      <c r="K1540"/>
    </row>
    <row r="1541" spans="1:11" ht="12.75">
      <c r="A1541"/>
      <c r="B1541"/>
      <c r="C1541"/>
      <c r="D1541"/>
      <c r="E1541"/>
      <c r="F1541"/>
      <c r="G1541" s="283"/>
      <c r="H1541"/>
      <c r="I1541"/>
      <c r="J1541"/>
      <c r="K1541"/>
    </row>
    <row r="1542" spans="1:11" ht="12.75">
      <c r="A1542"/>
      <c r="B1542"/>
      <c r="C1542"/>
      <c r="D1542"/>
      <c r="E1542"/>
      <c r="F1542"/>
      <c r="G1542" s="283"/>
      <c r="H1542"/>
      <c r="I1542"/>
      <c r="J1542"/>
      <c r="K1542"/>
    </row>
    <row r="1543" spans="1:11" ht="12.75">
      <c r="A1543"/>
      <c r="B1543"/>
      <c r="C1543"/>
      <c r="D1543"/>
      <c r="E1543"/>
      <c r="F1543"/>
      <c r="G1543" s="283"/>
      <c r="H1543"/>
      <c r="I1543"/>
      <c r="J1543"/>
      <c r="K1543"/>
    </row>
    <row r="1544" spans="1:11" ht="12.75">
      <c r="A1544"/>
      <c r="B1544"/>
      <c r="C1544"/>
      <c r="D1544"/>
      <c r="E1544"/>
      <c r="F1544"/>
      <c r="G1544" s="283"/>
      <c r="H1544"/>
      <c r="I1544"/>
      <c r="J1544"/>
      <c r="K1544"/>
    </row>
    <row r="1545" spans="1:11" ht="12.75">
      <c r="A1545"/>
      <c r="B1545"/>
      <c r="C1545"/>
      <c r="D1545"/>
      <c r="E1545"/>
      <c r="F1545"/>
      <c r="G1545" s="283"/>
      <c r="H1545"/>
      <c r="I1545"/>
      <c r="J1545"/>
      <c r="K1545"/>
    </row>
    <row r="1546" spans="1:11" ht="12.75">
      <c r="A1546"/>
      <c r="B1546"/>
      <c r="C1546"/>
      <c r="D1546"/>
      <c r="E1546"/>
      <c r="F1546"/>
      <c r="G1546" s="283"/>
      <c r="H1546"/>
      <c r="I1546"/>
      <c r="J1546"/>
      <c r="K1546"/>
    </row>
    <row r="1547" spans="1:11" ht="12.75">
      <c r="A1547"/>
      <c r="B1547"/>
      <c r="C1547"/>
      <c r="D1547"/>
      <c r="E1547"/>
      <c r="F1547"/>
      <c r="G1547" s="283"/>
      <c r="H1547"/>
      <c r="I1547"/>
      <c r="J1547"/>
      <c r="K1547"/>
    </row>
    <row r="1548" spans="1:11" ht="12.75">
      <c r="A1548"/>
      <c r="B1548"/>
      <c r="C1548"/>
      <c r="D1548"/>
      <c r="E1548"/>
      <c r="F1548"/>
      <c r="G1548" s="283"/>
      <c r="H1548"/>
      <c r="I1548"/>
      <c r="J1548"/>
      <c r="K1548"/>
    </row>
    <row r="1549" spans="1:11" ht="12.75">
      <c r="A1549"/>
      <c r="B1549"/>
      <c r="C1549"/>
      <c r="D1549"/>
      <c r="E1549"/>
      <c r="F1549"/>
      <c r="G1549" s="283"/>
      <c r="H1549"/>
      <c r="I1549"/>
      <c r="J1549"/>
      <c r="K1549"/>
    </row>
    <row r="1550" spans="1:11" ht="12.75">
      <c r="A1550"/>
      <c r="B1550"/>
      <c r="C1550"/>
      <c r="D1550"/>
      <c r="E1550"/>
      <c r="F1550"/>
      <c r="G1550" s="283"/>
      <c r="H1550"/>
      <c r="I1550"/>
      <c r="J1550"/>
      <c r="K1550"/>
    </row>
    <row r="1551" spans="1:11" ht="12.75">
      <c r="A1551"/>
      <c r="B1551"/>
      <c r="C1551"/>
      <c r="D1551"/>
      <c r="E1551"/>
      <c r="F1551"/>
      <c r="G1551" s="283"/>
      <c r="H1551"/>
      <c r="I1551"/>
      <c r="J1551"/>
      <c r="K1551"/>
    </row>
    <row r="1552" spans="1:11" ht="12.75">
      <c r="A1552"/>
      <c r="B1552"/>
      <c r="C1552"/>
      <c r="D1552"/>
      <c r="E1552"/>
      <c r="F1552"/>
      <c r="G1552" s="283"/>
      <c r="H1552"/>
      <c r="I1552"/>
      <c r="J1552"/>
      <c r="K1552"/>
    </row>
    <row r="1553" spans="1:11" ht="12.75">
      <c r="A1553"/>
      <c r="B1553"/>
      <c r="C1553"/>
      <c r="D1553"/>
      <c r="E1553"/>
      <c r="F1553"/>
      <c r="G1553" s="283"/>
      <c r="H1553"/>
      <c r="I1553"/>
      <c r="J1553"/>
      <c r="K1553"/>
    </row>
    <row r="1554" spans="1:11" ht="12.75">
      <c r="A1554"/>
      <c r="B1554"/>
      <c r="C1554"/>
      <c r="D1554"/>
      <c r="E1554"/>
      <c r="F1554"/>
      <c r="G1554" s="283"/>
      <c r="H1554"/>
      <c r="I1554"/>
      <c r="J1554"/>
      <c r="K1554"/>
    </row>
    <row r="1555" spans="1:11" ht="12.75">
      <c r="A1555"/>
      <c r="B1555"/>
      <c r="C1555"/>
      <c r="D1555"/>
      <c r="E1555"/>
      <c r="F1555"/>
      <c r="G1555" s="283"/>
      <c r="H1555"/>
      <c r="I1555"/>
      <c r="J1555"/>
      <c r="K1555"/>
    </row>
    <row r="1556" spans="1:11" ht="12.75">
      <c r="A1556"/>
      <c r="B1556"/>
      <c r="C1556"/>
      <c r="D1556"/>
      <c r="E1556"/>
      <c r="F1556"/>
      <c r="G1556" s="283"/>
      <c r="H1556"/>
      <c r="I1556"/>
      <c r="J1556"/>
      <c r="K1556"/>
    </row>
    <row r="1557" spans="1:11" ht="12.75">
      <c r="A1557"/>
      <c r="B1557"/>
      <c r="C1557"/>
      <c r="D1557"/>
      <c r="E1557"/>
      <c r="F1557"/>
      <c r="G1557" s="283"/>
      <c r="H1557"/>
      <c r="I1557"/>
      <c r="J1557"/>
      <c r="K1557"/>
    </row>
    <row r="1558" spans="1:11" ht="12.75">
      <c r="A1558"/>
      <c r="B1558"/>
      <c r="C1558"/>
      <c r="D1558"/>
      <c r="E1558"/>
      <c r="F1558"/>
      <c r="G1558" s="283"/>
      <c r="H1558"/>
      <c r="I1558"/>
      <c r="J1558"/>
      <c r="K1558"/>
    </row>
    <row r="1559" spans="1:11" ht="12.75">
      <c r="A1559"/>
      <c r="B1559"/>
      <c r="C1559"/>
      <c r="D1559"/>
      <c r="E1559"/>
      <c r="F1559"/>
      <c r="G1559" s="283"/>
      <c r="H1559"/>
      <c r="I1559"/>
      <c r="J1559"/>
      <c r="K1559"/>
    </row>
    <row r="1560" spans="1:11" ht="12.75">
      <c r="A1560"/>
      <c r="B1560"/>
      <c r="C1560"/>
      <c r="D1560"/>
      <c r="E1560"/>
      <c r="F1560"/>
      <c r="G1560" s="283"/>
      <c r="H1560"/>
      <c r="I1560"/>
      <c r="J1560"/>
      <c r="K1560"/>
    </row>
    <row r="1561" spans="1:11" ht="12.75">
      <c r="A1561"/>
      <c r="B1561"/>
      <c r="C1561"/>
      <c r="D1561"/>
      <c r="E1561"/>
      <c r="F1561"/>
      <c r="G1561" s="283"/>
      <c r="H1561"/>
      <c r="I1561"/>
      <c r="J1561"/>
      <c r="K1561"/>
    </row>
    <row r="1562" spans="1:11" ht="12.75">
      <c r="A1562"/>
      <c r="B1562"/>
      <c r="C1562"/>
      <c r="D1562"/>
      <c r="E1562"/>
      <c r="F1562"/>
      <c r="G1562" s="283"/>
      <c r="H1562"/>
      <c r="I1562"/>
      <c r="J1562"/>
      <c r="K1562"/>
    </row>
    <row r="1563" spans="1:11" ht="12.75">
      <c r="A1563"/>
      <c r="B1563"/>
      <c r="C1563"/>
      <c r="D1563"/>
      <c r="E1563"/>
      <c r="F1563"/>
      <c r="G1563" s="283"/>
      <c r="H1563"/>
      <c r="I1563"/>
      <c r="J1563"/>
      <c r="K1563"/>
    </row>
    <row r="1564" spans="1:11" ht="12.75">
      <c r="A1564"/>
      <c r="B1564"/>
      <c r="C1564"/>
      <c r="D1564"/>
      <c r="E1564"/>
      <c r="F1564"/>
      <c r="G1564" s="283"/>
      <c r="H1564"/>
      <c r="I1564"/>
      <c r="J1564"/>
      <c r="K1564"/>
    </row>
    <row r="1565" spans="1:11" ht="12.75">
      <c r="A1565"/>
      <c r="B1565"/>
      <c r="C1565"/>
      <c r="D1565"/>
      <c r="E1565"/>
      <c r="F1565"/>
      <c r="G1565" s="283"/>
      <c r="H1565"/>
      <c r="I1565"/>
      <c r="J1565"/>
      <c r="K1565"/>
    </row>
    <row r="1566" spans="1:11" ht="12.75">
      <c r="A1566"/>
      <c r="B1566"/>
      <c r="C1566"/>
      <c r="D1566"/>
      <c r="E1566"/>
      <c r="F1566"/>
      <c r="G1566" s="283"/>
      <c r="H1566"/>
      <c r="I1566"/>
      <c r="J1566"/>
      <c r="K1566"/>
    </row>
    <row r="1567" spans="1:11" ht="12.75">
      <c r="A1567"/>
      <c r="B1567"/>
      <c r="C1567"/>
      <c r="D1567"/>
      <c r="E1567"/>
      <c r="F1567"/>
      <c r="G1567" s="283"/>
      <c r="H1567"/>
      <c r="I1567"/>
      <c r="J1567"/>
      <c r="K1567"/>
    </row>
    <row r="1568" spans="1:11" ht="12.75">
      <c r="A1568"/>
      <c r="B1568"/>
      <c r="C1568"/>
      <c r="D1568"/>
      <c r="E1568"/>
      <c r="F1568"/>
      <c r="G1568" s="283"/>
      <c r="H1568"/>
      <c r="I1568"/>
      <c r="J1568"/>
      <c r="K1568"/>
    </row>
    <row r="1569" spans="1:11" ht="12.75">
      <c r="A1569"/>
      <c r="B1569"/>
      <c r="C1569"/>
      <c r="D1569"/>
      <c r="E1569"/>
      <c r="F1569"/>
      <c r="G1569" s="283"/>
      <c r="H1569"/>
      <c r="I1569"/>
      <c r="J1569"/>
      <c r="K1569"/>
    </row>
    <row r="1570" spans="1:11" ht="12.75">
      <c r="A1570"/>
      <c r="B1570"/>
      <c r="C1570"/>
      <c r="D1570"/>
      <c r="E1570"/>
      <c r="F1570"/>
      <c r="G1570" s="283"/>
      <c r="H1570"/>
      <c r="I1570"/>
      <c r="J1570"/>
      <c r="K1570"/>
    </row>
    <row r="1571" spans="1:11" ht="12.75">
      <c r="A1571"/>
      <c r="B1571"/>
      <c r="C1571"/>
      <c r="D1571"/>
      <c r="E1571"/>
      <c r="F1571"/>
      <c r="G1571" s="283"/>
      <c r="H1571"/>
      <c r="I1571"/>
      <c r="J1571"/>
      <c r="K1571"/>
    </row>
    <row r="1572" spans="1:11" ht="12.75">
      <c r="A1572"/>
      <c r="B1572"/>
      <c r="C1572"/>
      <c r="D1572"/>
      <c r="E1572"/>
      <c r="F1572"/>
      <c r="G1572" s="283"/>
      <c r="H1572"/>
      <c r="I1572"/>
      <c r="J1572"/>
      <c r="K1572"/>
    </row>
    <row r="1573" spans="1:11" ht="12.75">
      <c r="A1573"/>
      <c r="B1573"/>
      <c r="C1573"/>
      <c r="D1573"/>
      <c r="E1573"/>
      <c r="F1573"/>
      <c r="G1573" s="283"/>
      <c r="H1573"/>
      <c r="I1573"/>
      <c r="J1573"/>
      <c r="K1573"/>
    </row>
    <row r="1574" spans="1:11" ht="12.75">
      <c r="A1574"/>
      <c r="B1574"/>
      <c r="C1574"/>
      <c r="D1574"/>
      <c r="E1574"/>
      <c r="F1574"/>
      <c r="G1574" s="283"/>
      <c r="H1574"/>
      <c r="I1574"/>
      <c r="J1574"/>
      <c r="K1574"/>
    </row>
    <row r="1575" spans="1:11" ht="12.75">
      <c r="A1575"/>
      <c r="B1575"/>
      <c r="C1575"/>
      <c r="D1575"/>
      <c r="E1575"/>
      <c r="F1575"/>
      <c r="G1575" s="283"/>
      <c r="H1575"/>
      <c r="I1575"/>
      <c r="J1575"/>
      <c r="K1575"/>
    </row>
    <row r="1576" spans="1:11" ht="12.75">
      <c r="A1576"/>
      <c r="B1576"/>
      <c r="C1576"/>
      <c r="D1576"/>
      <c r="E1576"/>
      <c r="F1576"/>
      <c r="G1576" s="283"/>
      <c r="H1576"/>
      <c r="I1576"/>
      <c r="J1576"/>
      <c r="K1576"/>
    </row>
    <row r="1577" spans="1:11" ht="12.75">
      <c r="A1577"/>
      <c r="B1577"/>
      <c r="C1577"/>
      <c r="D1577"/>
      <c r="E1577"/>
      <c r="F1577"/>
      <c r="G1577" s="283"/>
      <c r="H1577"/>
      <c r="I1577"/>
      <c r="J1577"/>
      <c r="K1577"/>
    </row>
    <row r="1578" spans="1:11" ht="12.75">
      <c r="A1578"/>
      <c r="B1578"/>
      <c r="C1578"/>
      <c r="D1578"/>
      <c r="E1578"/>
      <c r="F1578"/>
      <c r="G1578" s="283"/>
      <c r="H1578"/>
      <c r="I1578"/>
      <c r="J1578"/>
      <c r="K1578"/>
    </row>
    <row r="1579" spans="1:11" ht="12.75">
      <c r="A1579"/>
      <c r="B1579"/>
      <c r="C1579"/>
      <c r="D1579"/>
      <c r="E1579"/>
      <c r="F1579"/>
      <c r="G1579" s="283"/>
      <c r="H1579"/>
      <c r="I1579"/>
      <c r="J1579"/>
      <c r="K1579"/>
    </row>
    <row r="1580" spans="1:11" ht="12.75">
      <c r="A1580"/>
      <c r="B1580"/>
      <c r="C1580"/>
      <c r="D1580"/>
      <c r="E1580"/>
      <c r="F1580"/>
      <c r="G1580" s="283"/>
      <c r="H1580"/>
      <c r="I1580"/>
      <c r="J1580"/>
      <c r="K1580"/>
    </row>
    <row r="1581" spans="1:11" ht="12.75">
      <c r="A1581"/>
      <c r="B1581"/>
      <c r="C1581"/>
      <c r="D1581"/>
      <c r="E1581"/>
      <c r="F1581"/>
      <c r="G1581" s="283"/>
      <c r="H1581"/>
      <c r="I1581"/>
      <c r="J1581"/>
      <c r="K1581"/>
    </row>
    <row r="1582" spans="1:11" ht="12.75">
      <c r="A1582"/>
      <c r="B1582"/>
      <c r="C1582"/>
      <c r="D1582"/>
      <c r="E1582"/>
      <c r="F1582"/>
      <c r="G1582" s="283"/>
      <c r="H1582"/>
      <c r="I1582"/>
      <c r="J1582"/>
      <c r="K1582"/>
    </row>
    <row r="1583" spans="1:11" ht="12.75">
      <c r="A1583"/>
      <c r="B1583"/>
      <c r="C1583"/>
      <c r="D1583"/>
      <c r="E1583"/>
      <c r="F1583"/>
      <c r="G1583" s="283"/>
      <c r="H1583"/>
      <c r="I1583"/>
      <c r="J1583"/>
      <c r="K1583"/>
    </row>
    <row r="1584" spans="1:11" ht="12.75">
      <c r="A1584"/>
      <c r="B1584"/>
      <c r="C1584"/>
      <c r="D1584"/>
      <c r="E1584"/>
      <c r="F1584"/>
      <c r="G1584" s="283"/>
      <c r="H1584"/>
      <c r="I1584"/>
      <c r="J1584"/>
      <c r="K1584"/>
    </row>
    <row r="1585" spans="1:11" ht="12.75">
      <c r="A1585"/>
      <c r="B1585"/>
      <c r="C1585"/>
      <c r="D1585"/>
      <c r="E1585"/>
      <c r="F1585"/>
      <c r="G1585" s="283"/>
      <c r="H1585"/>
      <c r="I1585"/>
      <c r="J1585"/>
      <c r="K1585"/>
    </row>
    <row r="1586" spans="1:11" ht="12.75">
      <c r="A1586"/>
      <c r="B1586"/>
      <c r="C1586"/>
      <c r="D1586"/>
      <c r="E1586"/>
      <c r="F1586"/>
      <c r="G1586" s="283"/>
      <c r="H1586"/>
      <c r="I1586"/>
      <c r="J1586"/>
      <c r="K1586"/>
    </row>
    <row r="1587" spans="1:11" ht="12.75">
      <c r="A1587"/>
      <c r="B1587"/>
      <c r="C1587"/>
      <c r="D1587"/>
      <c r="E1587"/>
      <c r="F1587"/>
      <c r="G1587" s="283"/>
      <c r="H1587"/>
      <c r="I1587"/>
      <c r="J1587"/>
      <c r="K1587"/>
    </row>
    <row r="1588" spans="1:11" ht="12.75">
      <c r="A1588"/>
      <c r="B1588"/>
      <c r="C1588"/>
      <c r="D1588"/>
      <c r="E1588"/>
      <c r="F1588"/>
      <c r="G1588" s="283"/>
      <c r="H1588"/>
      <c r="I1588"/>
      <c r="J1588"/>
      <c r="K1588"/>
    </row>
    <row r="1589" spans="1:11" ht="12.75">
      <c r="A1589"/>
      <c r="B1589"/>
      <c r="C1589"/>
      <c r="D1589"/>
      <c r="E1589"/>
      <c r="F1589"/>
      <c r="G1589" s="283"/>
      <c r="H1589"/>
      <c r="I1589"/>
      <c r="J1589"/>
      <c r="K1589"/>
    </row>
    <row r="1590" spans="1:11" ht="12.75">
      <c r="A1590"/>
      <c r="B1590"/>
      <c r="C1590"/>
      <c r="D1590"/>
      <c r="E1590"/>
      <c r="F1590"/>
      <c r="G1590" s="283"/>
      <c r="H1590"/>
      <c r="I1590"/>
      <c r="J1590"/>
      <c r="K1590"/>
    </row>
    <row r="1591" spans="1:11" ht="12.75">
      <c r="A1591"/>
      <c r="B1591"/>
      <c r="C1591"/>
      <c r="D1591"/>
      <c r="E1591"/>
      <c r="F1591"/>
      <c r="G1591" s="283"/>
      <c r="H1591"/>
      <c r="I1591"/>
      <c r="J1591"/>
      <c r="K1591"/>
    </row>
    <row r="1592" spans="1:11" ht="12.75">
      <c r="A1592"/>
      <c r="B1592"/>
      <c r="C1592"/>
      <c r="D1592"/>
      <c r="E1592"/>
      <c r="F1592"/>
      <c r="G1592" s="283"/>
      <c r="H1592"/>
      <c r="I1592"/>
      <c r="J1592"/>
      <c r="K1592"/>
    </row>
    <row r="1593" spans="1:11" ht="12.75">
      <c r="A1593"/>
      <c r="B1593"/>
      <c r="C1593"/>
      <c r="D1593"/>
      <c r="E1593"/>
      <c r="F1593"/>
      <c r="G1593" s="283"/>
      <c r="H1593"/>
      <c r="I1593"/>
      <c r="J1593"/>
      <c r="K1593"/>
    </row>
    <row r="1594" spans="1:11" ht="12.75">
      <c r="A1594"/>
      <c r="B1594"/>
      <c r="C1594"/>
      <c r="D1594"/>
      <c r="E1594"/>
      <c r="F1594"/>
      <c r="G1594" s="283"/>
      <c r="H1594"/>
      <c r="I1594"/>
      <c r="J1594"/>
      <c r="K1594"/>
    </row>
    <row r="1595" spans="1:11" ht="12.75">
      <c r="A1595"/>
      <c r="B1595"/>
      <c r="C1595"/>
      <c r="D1595"/>
      <c r="E1595"/>
      <c r="F1595"/>
      <c r="G1595" s="283"/>
      <c r="H1595"/>
      <c r="I1595"/>
      <c r="J1595"/>
      <c r="K1595"/>
    </row>
    <row r="1596" spans="1:11" ht="12.75">
      <c r="A1596"/>
      <c r="B1596"/>
      <c r="C1596"/>
      <c r="D1596"/>
      <c r="E1596"/>
      <c r="F1596"/>
      <c r="G1596" s="283"/>
      <c r="H1596"/>
      <c r="I1596"/>
      <c r="J1596"/>
      <c r="K1596"/>
    </row>
    <row r="1597" spans="1:11" ht="12.75">
      <c r="A1597"/>
      <c r="B1597"/>
      <c r="C1597"/>
      <c r="D1597"/>
      <c r="E1597"/>
      <c r="F1597"/>
      <c r="G1597" s="283"/>
      <c r="H1597"/>
      <c r="I1597"/>
      <c r="J1597"/>
      <c r="K1597"/>
    </row>
    <row r="1598" spans="1:11" ht="12.75">
      <c r="A1598"/>
      <c r="B1598"/>
      <c r="C1598"/>
      <c r="D1598"/>
      <c r="E1598"/>
      <c r="F1598"/>
      <c r="G1598" s="283"/>
      <c r="H1598"/>
      <c r="I1598"/>
      <c r="J1598"/>
      <c r="K1598"/>
    </row>
    <row r="1599" spans="1:11" ht="12.75">
      <c r="A1599"/>
      <c r="B1599"/>
      <c r="C1599"/>
      <c r="D1599"/>
      <c r="E1599"/>
      <c r="F1599"/>
      <c r="G1599" s="283"/>
      <c r="H1599"/>
      <c r="I1599"/>
      <c r="J1599"/>
      <c r="K1599"/>
    </row>
    <row r="1600" spans="1:11" ht="12.75">
      <c r="A1600"/>
      <c r="B1600"/>
      <c r="C1600"/>
      <c r="D1600"/>
      <c r="E1600"/>
      <c r="F1600"/>
      <c r="G1600" s="283"/>
      <c r="H1600"/>
      <c r="I1600"/>
      <c r="J1600"/>
      <c r="K1600"/>
    </row>
    <row r="1601" spans="1:11" ht="12.75">
      <c r="A1601"/>
      <c r="B1601"/>
      <c r="C1601"/>
      <c r="D1601"/>
      <c r="E1601"/>
      <c r="F1601"/>
      <c r="G1601" s="283"/>
      <c r="H1601"/>
      <c r="I1601"/>
      <c r="J1601"/>
      <c r="K1601"/>
    </row>
    <row r="1602" spans="1:11" ht="12.75">
      <c r="A1602"/>
      <c r="B1602"/>
      <c r="C1602"/>
      <c r="D1602"/>
      <c r="E1602"/>
      <c r="F1602"/>
      <c r="G1602" s="283"/>
      <c r="H1602"/>
      <c r="I1602"/>
      <c r="J1602"/>
      <c r="K1602"/>
    </row>
    <row r="1603" spans="1:11" ht="12.75">
      <c r="A1603"/>
      <c r="B1603"/>
      <c r="C1603"/>
      <c r="D1603"/>
      <c r="E1603"/>
      <c r="F1603"/>
      <c r="G1603" s="283"/>
      <c r="H1603"/>
      <c r="I1603"/>
      <c r="J1603"/>
      <c r="K1603"/>
    </row>
    <row r="1604" spans="1:11" ht="12.75">
      <c r="A1604"/>
      <c r="B1604"/>
      <c r="C1604"/>
      <c r="D1604"/>
      <c r="E1604"/>
      <c r="F1604"/>
      <c r="G1604" s="283"/>
      <c r="H1604"/>
      <c r="I1604"/>
      <c r="J1604"/>
      <c r="K1604"/>
    </row>
    <row r="1605" spans="1:11" ht="12.75">
      <c r="A1605"/>
      <c r="B1605"/>
      <c r="C1605"/>
      <c r="D1605"/>
      <c r="E1605"/>
      <c r="F1605"/>
      <c r="G1605" s="283"/>
      <c r="H1605"/>
      <c r="I1605"/>
      <c r="J1605"/>
      <c r="K1605"/>
    </row>
    <row r="1606" spans="1:11" ht="12.75">
      <c r="A1606"/>
      <c r="B1606"/>
      <c r="C1606"/>
      <c r="D1606"/>
      <c r="E1606"/>
      <c r="F1606"/>
      <c r="G1606" s="283"/>
      <c r="H1606"/>
      <c r="I1606"/>
      <c r="J1606"/>
      <c r="K1606"/>
    </row>
    <row r="1607" spans="1:11" ht="12.75">
      <c r="A1607"/>
      <c r="B1607"/>
      <c r="C1607"/>
      <c r="D1607"/>
      <c r="E1607"/>
      <c r="F1607"/>
      <c r="G1607" s="283"/>
      <c r="H1607"/>
      <c r="I1607"/>
      <c r="J1607"/>
      <c r="K1607"/>
    </row>
    <row r="1608" spans="1:11" ht="12.75">
      <c r="A1608"/>
      <c r="B1608"/>
      <c r="C1608"/>
      <c r="D1608"/>
      <c r="E1608"/>
      <c r="F1608"/>
      <c r="G1608" s="283"/>
      <c r="H1608"/>
      <c r="I1608"/>
      <c r="J1608"/>
      <c r="K1608"/>
    </row>
    <row r="1609" spans="1:11" ht="12.75">
      <c r="A1609"/>
      <c r="B1609"/>
      <c r="C1609"/>
      <c r="D1609"/>
      <c r="E1609"/>
      <c r="F1609"/>
      <c r="G1609" s="283"/>
      <c r="H1609"/>
      <c r="I1609"/>
      <c r="J1609"/>
      <c r="K1609"/>
    </row>
    <row r="1610" spans="1:11" ht="12.75">
      <c r="A1610"/>
      <c r="B1610"/>
      <c r="C1610"/>
      <c r="D1610"/>
      <c r="E1610"/>
      <c r="F1610"/>
      <c r="G1610" s="283"/>
      <c r="H1610"/>
      <c r="I1610"/>
      <c r="J1610"/>
      <c r="K1610"/>
    </row>
    <row r="1611" spans="1:11" ht="12.75">
      <c r="A1611"/>
      <c r="B1611"/>
      <c r="C1611"/>
      <c r="D1611"/>
      <c r="E1611"/>
      <c r="F1611"/>
      <c r="G1611" s="283"/>
      <c r="H1611"/>
      <c r="I1611"/>
      <c r="J1611"/>
      <c r="K1611"/>
    </row>
    <row r="1612" spans="1:11" ht="12.75">
      <c r="A1612"/>
      <c r="B1612"/>
      <c r="C1612"/>
      <c r="D1612"/>
      <c r="E1612"/>
      <c r="F1612"/>
      <c r="G1612" s="283"/>
      <c r="H1612"/>
      <c r="I1612"/>
      <c r="J1612"/>
      <c r="K1612"/>
    </row>
    <row r="1613" spans="1:11" ht="12.75">
      <c r="A1613"/>
      <c r="B1613"/>
      <c r="C1613"/>
      <c r="D1613"/>
      <c r="E1613"/>
      <c r="F1613"/>
      <c r="G1613" s="283"/>
      <c r="H1613"/>
      <c r="I1613"/>
      <c r="J1613"/>
      <c r="K1613"/>
    </row>
    <row r="1614" spans="1:11" ht="12.75">
      <c r="A1614"/>
      <c r="B1614"/>
      <c r="C1614"/>
      <c r="D1614"/>
      <c r="E1614"/>
      <c r="F1614"/>
      <c r="G1614" s="283"/>
      <c r="H1614"/>
      <c r="I1614"/>
      <c r="J1614"/>
      <c r="K1614"/>
    </row>
    <row r="1615" spans="1:11" ht="12.75">
      <c r="A1615"/>
      <c r="B1615"/>
      <c r="C1615"/>
      <c r="D1615"/>
      <c r="E1615"/>
      <c r="F1615"/>
      <c r="G1615" s="283"/>
      <c r="H1615"/>
      <c r="I1615"/>
      <c r="J1615"/>
      <c r="K1615"/>
    </row>
    <row r="1616" spans="1:11" ht="12.75">
      <c r="A1616"/>
      <c r="B1616"/>
      <c r="C1616"/>
      <c r="D1616"/>
      <c r="E1616"/>
      <c r="F1616"/>
      <c r="G1616" s="283"/>
      <c r="H1616"/>
      <c r="I1616"/>
      <c r="J1616"/>
      <c r="K1616"/>
    </row>
    <row r="1617" spans="1:11" ht="12.75">
      <c r="A1617"/>
      <c r="B1617"/>
      <c r="C1617"/>
      <c r="D1617"/>
      <c r="E1617"/>
      <c r="F1617"/>
      <c r="G1617" s="283"/>
      <c r="H1617"/>
      <c r="I1617"/>
      <c r="J1617"/>
      <c r="K1617"/>
    </row>
    <row r="1618" spans="1:11" ht="12.75">
      <c r="A1618"/>
      <c r="B1618"/>
      <c r="C1618"/>
      <c r="D1618"/>
      <c r="E1618"/>
      <c r="F1618"/>
      <c r="G1618" s="283"/>
      <c r="H1618"/>
      <c r="I1618"/>
      <c r="J1618"/>
      <c r="K1618"/>
    </row>
    <row r="1619" spans="1:11" ht="12.75">
      <c r="A1619"/>
      <c r="B1619"/>
      <c r="C1619"/>
      <c r="D1619"/>
      <c r="E1619"/>
      <c r="F1619"/>
      <c r="G1619" s="283"/>
      <c r="H1619"/>
      <c r="I1619"/>
      <c r="J1619"/>
      <c r="K1619"/>
    </row>
    <row r="1620" spans="1:11" ht="12.75">
      <c r="A1620"/>
      <c r="B1620"/>
      <c r="C1620"/>
      <c r="D1620"/>
      <c r="E1620"/>
      <c r="F1620"/>
      <c r="G1620" s="283"/>
      <c r="H1620"/>
      <c r="I1620"/>
      <c r="J1620"/>
      <c r="K1620"/>
    </row>
    <row r="1621" spans="1:11" ht="12.75">
      <c r="A1621"/>
      <c r="B1621"/>
      <c r="C1621"/>
      <c r="D1621"/>
      <c r="E1621"/>
      <c r="F1621"/>
      <c r="G1621" s="283"/>
      <c r="H1621"/>
      <c r="I1621"/>
      <c r="J1621"/>
      <c r="K1621"/>
    </row>
    <row r="1622" spans="1:11" ht="12.75">
      <c r="A1622"/>
      <c r="B1622"/>
      <c r="C1622"/>
      <c r="D1622"/>
      <c r="E1622"/>
      <c r="F1622"/>
      <c r="G1622" s="283"/>
      <c r="H1622"/>
      <c r="I1622"/>
      <c r="J1622"/>
      <c r="K1622"/>
    </row>
    <row r="1623" spans="1:11" ht="12.75">
      <c r="A1623"/>
      <c r="B1623"/>
      <c r="C1623"/>
      <c r="D1623"/>
      <c r="E1623"/>
      <c r="F1623"/>
      <c r="G1623" s="283"/>
      <c r="H1623"/>
      <c r="I1623"/>
      <c r="J1623"/>
      <c r="K1623"/>
    </row>
    <row r="1624" spans="1:11" ht="12.75">
      <c r="A1624"/>
      <c r="B1624"/>
      <c r="C1624"/>
      <c r="D1624"/>
      <c r="E1624"/>
      <c r="F1624"/>
      <c r="G1624" s="283"/>
      <c r="H1624"/>
      <c r="I1624"/>
      <c r="J1624"/>
      <c r="K1624"/>
    </row>
    <row r="1625" spans="1:11" ht="12.75">
      <c r="A1625"/>
      <c r="B1625"/>
      <c r="C1625"/>
      <c r="D1625"/>
      <c r="E1625"/>
      <c r="F1625"/>
      <c r="G1625" s="283"/>
      <c r="H1625"/>
      <c r="I1625"/>
      <c r="J1625"/>
      <c r="K1625"/>
    </row>
    <row r="1626" spans="1:11" ht="12.75">
      <c r="A1626"/>
      <c r="B1626"/>
      <c r="C1626"/>
      <c r="D1626"/>
      <c r="E1626"/>
      <c r="F1626"/>
      <c r="G1626" s="283"/>
      <c r="H1626"/>
      <c r="I1626"/>
      <c r="J1626"/>
      <c r="K1626"/>
    </row>
    <row r="1627" spans="1:11" ht="12.75">
      <c r="A1627"/>
      <c r="B1627"/>
      <c r="C1627"/>
      <c r="D1627"/>
      <c r="E1627"/>
      <c r="F1627"/>
      <c r="G1627" s="283"/>
      <c r="H1627"/>
      <c r="I1627"/>
      <c r="J1627"/>
      <c r="K1627"/>
    </row>
    <row r="1628" spans="1:11" ht="12.75">
      <c r="A1628"/>
      <c r="B1628"/>
      <c r="C1628"/>
      <c r="D1628"/>
      <c r="E1628"/>
      <c r="F1628"/>
      <c r="G1628" s="283"/>
      <c r="H1628"/>
      <c r="I1628"/>
      <c r="J1628"/>
      <c r="K1628"/>
    </row>
    <row r="1629" spans="1:11" ht="12.75">
      <c r="A1629"/>
      <c r="B1629"/>
      <c r="C1629"/>
      <c r="D1629"/>
      <c r="E1629"/>
      <c r="F1629"/>
      <c r="G1629" s="283"/>
      <c r="H1629"/>
      <c r="I1629"/>
      <c r="J1629"/>
      <c r="K1629"/>
    </row>
    <row r="1630" spans="1:11" ht="12.75">
      <c r="A1630"/>
      <c r="B1630"/>
      <c r="C1630"/>
      <c r="D1630"/>
      <c r="E1630"/>
      <c r="F1630"/>
      <c r="G1630" s="283"/>
      <c r="H1630"/>
      <c r="I1630"/>
      <c r="J1630"/>
      <c r="K1630"/>
    </row>
    <row r="1631" spans="1:11" ht="12.75">
      <c r="A1631"/>
      <c r="B1631"/>
      <c r="C1631"/>
      <c r="D1631"/>
      <c r="E1631"/>
      <c r="F1631"/>
      <c r="G1631" s="283"/>
      <c r="H1631"/>
      <c r="I1631"/>
      <c r="J1631"/>
      <c r="K1631"/>
    </row>
    <row r="1632" spans="1:11" ht="12.75">
      <c r="A1632"/>
      <c r="B1632"/>
      <c r="C1632"/>
      <c r="D1632"/>
      <c r="E1632"/>
      <c r="F1632"/>
      <c r="G1632" s="283"/>
      <c r="H1632"/>
      <c r="I1632"/>
      <c r="J1632"/>
      <c r="K1632"/>
    </row>
    <row r="1633" spans="1:11" ht="12.75">
      <c r="A1633"/>
      <c r="B1633"/>
      <c r="C1633"/>
      <c r="D1633"/>
      <c r="E1633"/>
      <c r="F1633"/>
      <c r="G1633" s="283"/>
      <c r="H1633"/>
      <c r="I1633"/>
      <c r="J1633"/>
      <c r="K1633"/>
    </row>
    <row r="1634" spans="1:11" ht="12.75">
      <c r="A1634"/>
      <c r="B1634"/>
      <c r="C1634"/>
      <c r="D1634"/>
      <c r="E1634"/>
      <c r="F1634"/>
      <c r="G1634" s="283"/>
      <c r="H1634"/>
      <c r="I1634"/>
      <c r="J1634"/>
      <c r="K1634"/>
    </row>
    <row r="1635" spans="1:11" ht="12.75">
      <c r="A1635"/>
      <c r="B1635"/>
      <c r="C1635"/>
      <c r="D1635"/>
      <c r="E1635"/>
      <c r="F1635"/>
      <c r="G1635" s="283"/>
      <c r="H1635"/>
      <c r="I1635"/>
      <c r="J1635"/>
      <c r="K1635"/>
    </row>
    <row r="1636" spans="1:11" ht="12.75">
      <c r="A1636"/>
      <c r="B1636"/>
      <c r="C1636"/>
      <c r="D1636"/>
      <c r="E1636"/>
      <c r="F1636"/>
      <c r="G1636" s="283"/>
      <c r="H1636"/>
      <c r="I1636"/>
      <c r="J1636"/>
      <c r="K1636"/>
    </row>
    <row r="1637" spans="1:11" ht="12.75">
      <c r="A1637"/>
      <c r="B1637"/>
      <c r="C1637"/>
      <c r="D1637"/>
      <c r="E1637"/>
      <c r="F1637"/>
      <c r="G1637" s="283"/>
      <c r="H1637"/>
      <c r="I1637"/>
      <c r="J1637"/>
      <c r="K1637"/>
    </row>
    <row r="1638" spans="1:11" ht="12.75">
      <c r="A1638"/>
      <c r="B1638"/>
      <c r="C1638"/>
      <c r="D1638"/>
      <c r="E1638"/>
      <c r="F1638"/>
      <c r="G1638" s="283"/>
      <c r="H1638"/>
      <c r="I1638"/>
      <c r="J1638"/>
      <c r="K1638"/>
    </row>
    <row r="1639" spans="1:11" ht="12.75">
      <c r="A1639"/>
      <c r="B1639"/>
      <c r="C1639"/>
      <c r="D1639"/>
      <c r="E1639"/>
      <c r="F1639"/>
      <c r="G1639" s="283"/>
      <c r="H1639"/>
      <c r="I1639"/>
      <c r="J1639"/>
      <c r="K1639"/>
    </row>
    <row r="1640" spans="1:11" ht="12.75">
      <c r="A1640"/>
      <c r="B1640"/>
      <c r="C1640"/>
      <c r="D1640"/>
      <c r="E1640"/>
      <c r="F1640"/>
      <c r="G1640" s="283"/>
      <c r="H1640"/>
      <c r="I1640"/>
      <c r="J1640"/>
      <c r="K1640"/>
    </row>
    <row r="1641" spans="1:11" ht="12.75">
      <c r="A1641"/>
      <c r="B1641"/>
      <c r="C1641"/>
      <c r="D1641"/>
      <c r="E1641"/>
      <c r="F1641"/>
      <c r="G1641" s="283"/>
      <c r="H1641"/>
      <c r="I1641"/>
      <c r="J1641"/>
      <c r="K1641"/>
    </row>
    <row r="1642" spans="1:11" ht="12.75">
      <c r="A1642"/>
      <c r="B1642"/>
      <c r="C1642"/>
      <c r="D1642"/>
      <c r="E1642"/>
      <c r="F1642"/>
      <c r="G1642" s="283"/>
      <c r="H1642"/>
      <c r="I1642"/>
      <c r="J1642"/>
      <c r="K1642"/>
    </row>
    <row r="1643" spans="1:11" ht="12.75">
      <c r="A1643"/>
      <c r="B1643"/>
      <c r="C1643"/>
      <c r="D1643"/>
      <c r="E1643"/>
      <c r="F1643"/>
      <c r="G1643" s="283"/>
      <c r="H1643"/>
      <c r="I1643"/>
      <c r="J1643"/>
      <c r="K1643"/>
    </row>
    <row r="1644" spans="1:11" ht="12.75">
      <c r="A1644"/>
      <c r="B1644"/>
      <c r="C1644"/>
      <c r="D1644"/>
      <c r="E1644"/>
      <c r="F1644"/>
      <c r="G1644" s="283"/>
      <c r="H1644"/>
      <c r="I1644"/>
      <c r="J1644"/>
      <c r="K1644"/>
    </row>
    <row r="1645" spans="1:11" ht="12.75">
      <c r="A1645"/>
      <c r="B1645"/>
      <c r="C1645"/>
      <c r="D1645"/>
      <c r="E1645"/>
      <c r="F1645"/>
      <c r="G1645" s="283"/>
      <c r="H1645"/>
      <c r="I1645"/>
      <c r="J1645"/>
      <c r="K1645"/>
    </row>
    <row r="1646" spans="1:11" ht="12.75">
      <c r="A1646"/>
      <c r="B1646"/>
      <c r="C1646"/>
      <c r="D1646"/>
      <c r="E1646"/>
      <c r="F1646"/>
      <c r="G1646" s="283"/>
      <c r="H1646"/>
      <c r="I1646"/>
      <c r="J1646"/>
      <c r="K1646"/>
    </row>
    <row r="1647" spans="1:11" ht="12.75">
      <c r="A1647"/>
      <c r="B1647"/>
      <c r="C1647"/>
      <c r="D1647"/>
      <c r="E1647"/>
      <c r="F1647"/>
      <c r="G1647" s="283"/>
      <c r="H1647"/>
      <c r="I1647"/>
      <c r="J1647"/>
      <c r="K1647"/>
    </row>
    <row r="1648" spans="1:11" ht="12.75">
      <c r="A1648"/>
      <c r="B1648"/>
      <c r="C1648"/>
      <c r="D1648"/>
      <c r="E1648"/>
      <c r="F1648"/>
      <c r="G1648" s="283"/>
      <c r="H1648"/>
      <c r="I1648"/>
      <c r="J1648"/>
      <c r="K1648"/>
    </row>
    <row r="1649" spans="1:11" ht="12.75">
      <c r="A1649"/>
      <c r="B1649"/>
      <c r="C1649"/>
      <c r="D1649"/>
      <c r="E1649"/>
      <c r="F1649"/>
      <c r="G1649" s="283"/>
      <c r="H1649"/>
      <c r="I1649"/>
      <c r="J1649"/>
      <c r="K1649"/>
    </row>
    <row r="1650" spans="1:11" ht="12.75">
      <c r="A1650"/>
      <c r="B1650"/>
      <c r="C1650"/>
      <c r="D1650"/>
      <c r="E1650"/>
      <c r="F1650"/>
      <c r="G1650" s="283"/>
      <c r="H1650"/>
      <c r="I1650"/>
      <c r="J1650"/>
      <c r="K1650"/>
    </row>
    <row r="1651" spans="1:11" ht="12.75">
      <c r="A1651"/>
      <c r="B1651"/>
      <c r="C1651"/>
      <c r="D1651"/>
      <c r="E1651"/>
      <c r="F1651"/>
      <c r="G1651" s="283"/>
      <c r="H1651"/>
      <c r="I1651"/>
      <c r="J1651"/>
      <c r="K1651"/>
    </row>
    <row r="1652" spans="1:11" ht="12.75">
      <c r="A1652"/>
      <c r="B1652"/>
      <c r="C1652"/>
      <c r="D1652"/>
      <c r="E1652"/>
      <c r="F1652"/>
      <c r="G1652" s="283"/>
      <c r="H1652"/>
      <c r="I1652"/>
      <c r="J1652"/>
      <c r="K1652"/>
    </row>
    <row r="1653" spans="1:11" ht="12.75">
      <c r="A1653"/>
      <c r="B1653"/>
      <c r="C1653"/>
      <c r="D1653"/>
      <c r="E1653"/>
      <c r="F1653"/>
      <c r="G1653" s="283"/>
      <c r="H1653"/>
      <c r="I1653"/>
      <c r="J1653"/>
      <c r="K1653"/>
    </row>
    <row r="1654" spans="1:11" ht="12.75">
      <c r="A1654"/>
      <c r="B1654"/>
      <c r="C1654"/>
      <c r="D1654"/>
      <c r="E1654"/>
      <c r="F1654"/>
      <c r="G1654" s="283"/>
      <c r="H1654"/>
      <c r="I1654"/>
      <c r="J1654"/>
      <c r="K1654"/>
    </row>
    <row r="1655" spans="1:11" ht="12.75">
      <c r="A1655"/>
      <c r="B1655"/>
      <c r="C1655"/>
      <c r="D1655"/>
      <c r="E1655"/>
      <c r="F1655"/>
      <c r="G1655" s="283"/>
      <c r="H1655"/>
      <c r="I1655"/>
      <c r="J1655"/>
      <c r="K1655"/>
    </row>
    <row r="1656" spans="1:11" ht="12.75">
      <c r="A1656"/>
      <c r="B1656"/>
      <c r="C1656"/>
      <c r="D1656"/>
      <c r="E1656"/>
      <c r="F1656"/>
      <c r="G1656" s="283"/>
      <c r="H1656"/>
      <c r="I1656"/>
      <c r="J1656"/>
      <c r="K1656"/>
    </row>
    <row r="1657" spans="1:11" ht="12.75">
      <c r="A1657"/>
      <c r="B1657"/>
      <c r="C1657"/>
      <c r="D1657"/>
      <c r="E1657"/>
      <c r="F1657"/>
      <c r="G1657" s="283"/>
      <c r="H1657"/>
      <c r="I1657"/>
      <c r="J1657"/>
      <c r="K1657"/>
    </row>
    <row r="1658" spans="1:11" ht="12.75">
      <c r="A1658"/>
      <c r="B1658"/>
      <c r="C1658"/>
      <c r="D1658"/>
      <c r="E1658"/>
      <c r="F1658"/>
      <c r="G1658" s="283"/>
      <c r="H1658"/>
      <c r="I1658"/>
      <c r="J1658"/>
      <c r="K1658"/>
    </row>
    <row r="1659" spans="1:11" ht="12.75">
      <c r="A1659"/>
      <c r="B1659"/>
      <c r="C1659"/>
      <c r="D1659"/>
      <c r="E1659"/>
      <c r="F1659"/>
      <c r="G1659" s="283"/>
      <c r="H1659"/>
      <c r="I1659"/>
      <c r="J1659"/>
      <c r="K1659"/>
    </row>
    <row r="1660" spans="1:11" ht="12.75">
      <c r="A1660"/>
      <c r="B1660"/>
      <c r="C1660"/>
      <c r="D1660"/>
      <c r="E1660"/>
      <c r="F1660"/>
      <c r="G1660" s="283"/>
      <c r="H1660"/>
      <c r="I1660"/>
      <c r="J1660"/>
      <c r="K1660"/>
    </row>
    <row r="1661" spans="1:11" ht="12.75">
      <c r="A1661"/>
      <c r="B1661"/>
      <c r="C1661"/>
      <c r="D1661"/>
      <c r="E1661"/>
      <c r="F1661"/>
      <c r="G1661" s="283"/>
      <c r="H1661"/>
      <c r="I1661"/>
      <c r="J1661"/>
      <c r="K1661"/>
    </row>
    <row r="1662" spans="1:11" ht="12.75">
      <c r="A1662"/>
      <c r="B1662"/>
      <c r="C1662"/>
      <c r="D1662"/>
      <c r="E1662"/>
      <c r="F1662"/>
      <c r="G1662" s="283"/>
      <c r="H1662"/>
      <c r="I1662"/>
      <c r="J1662"/>
      <c r="K1662"/>
    </row>
    <row r="1663" spans="1:11" ht="12.75">
      <c r="A1663"/>
      <c r="B1663"/>
      <c r="C1663"/>
      <c r="D1663"/>
      <c r="E1663"/>
      <c r="F1663"/>
      <c r="G1663" s="283"/>
      <c r="H1663"/>
      <c r="I1663"/>
      <c r="J1663"/>
      <c r="K1663"/>
    </row>
    <row r="1664" spans="1:11" ht="12.75">
      <c r="A1664"/>
      <c r="B1664"/>
      <c r="C1664"/>
      <c r="D1664"/>
      <c r="E1664"/>
      <c r="F1664"/>
      <c r="G1664" s="283"/>
      <c r="H1664"/>
      <c r="I1664"/>
      <c r="J1664"/>
      <c r="K1664"/>
    </row>
    <row r="1665" spans="1:11" ht="12.75">
      <c r="A1665"/>
      <c r="B1665"/>
      <c r="C1665"/>
      <c r="D1665"/>
      <c r="E1665"/>
      <c r="F1665"/>
      <c r="G1665" s="283"/>
      <c r="H1665"/>
      <c r="I1665"/>
      <c r="J1665"/>
      <c r="K1665"/>
    </row>
    <row r="1666" spans="1:11" ht="12.75">
      <c r="A1666"/>
      <c r="B1666"/>
      <c r="C1666"/>
      <c r="D1666"/>
      <c r="E1666"/>
      <c r="F1666"/>
      <c r="G1666" s="283"/>
      <c r="H1666"/>
      <c r="I1666"/>
      <c r="J1666"/>
      <c r="K1666"/>
    </row>
    <row r="1667" spans="1:11" ht="12.75">
      <c r="A1667"/>
      <c r="B1667"/>
      <c r="C1667"/>
      <c r="D1667"/>
      <c r="E1667"/>
      <c r="F1667"/>
      <c r="G1667" s="283"/>
      <c r="H1667"/>
      <c r="I1667"/>
      <c r="J1667"/>
      <c r="K1667"/>
    </row>
    <row r="1668" spans="1:11" ht="12.75">
      <c r="A1668"/>
      <c r="B1668"/>
      <c r="C1668"/>
      <c r="D1668"/>
      <c r="E1668"/>
      <c r="F1668"/>
      <c r="G1668" s="283"/>
      <c r="H1668"/>
      <c r="I1668"/>
      <c r="J1668"/>
      <c r="K1668"/>
    </row>
    <row r="1669" spans="1:11" ht="12.75">
      <c r="A1669"/>
      <c r="B1669"/>
      <c r="C1669"/>
      <c r="D1669"/>
      <c r="E1669"/>
      <c r="F1669"/>
      <c r="G1669" s="283"/>
      <c r="H1669"/>
      <c r="I1669"/>
      <c r="J1669"/>
      <c r="K1669"/>
    </row>
    <row r="1670" spans="1:11" ht="12.75">
      <c r="A1670"/>
      <c r="B1670"/>
      <c r="C1670"/>
      <c r="D1670"/>
      <c r="E1670"/>
      <c r="F1670"/>
      <c r="G1670" s="283"/>
      <c r="H1670"/>
      <c r="I1670"/>
      <c r="J1670"/>
      <c r="K1670"/>
    </row>
    <row r="1671" spans="1:11" ht="12.75">
      <c r="A1671"/>
      <c r="B1671"/>
      <c r="C1671"/>
      <c r="D1671"/>
      <c r="E1671"/>
      <c r="F1671"/>
      <c r="G1671" s="283"/>
      <c r="H1671"/>
      <c r="I1671"/>
      <c r="J1671"/>
      <c r="K1671"/>
    </row>
    <row r="1672" spans="1:11" ht="12.75">
      <c r="A1672"/>
      <c r="B1672"/>
      <c r="C1672"/>
      <c r="D1672"/>
      <c r="E1672"/>
      <c r="F1672"/>
      <c r="G1672" s="283"/>
      <c r="H1672"/>
      <c r="I1672"/>
      <c r="J1672"/>
      <c r="K1672"/>
    </row>
    <row r="1673" spans="1:11" ht="12.75">
      <c r="A1673"/>
      <c r="B1673"/>
      <c r="C1673"/>
      <c r="D1673"/>
      <c r="E1673"/>
      <c r="F1673"/>
      <c r="G1673" s="283"/>
      <c r="H1673"/>
      <c r="I1673"/>
      <c r="J1673"/>
      <c r="K1673"/>
    </row>
    <row r="1674" spans="1:11" ht="12.75">
      <c r="A1674"/>
      <c r="B1674"/>
      <c r="C1674"/>
      <c r="D1674"/>
      <c r="E1674"/>
      <c r="F1674"/>
      <c r="G1674" s="283"/>
      <c r="H1674"/>
      <c r="I1674"/>
      <c r="J1674"/>
      <c r="K1674"/>
    </row>
    <row r="1675" spans="1:11" ht="12.75">
      <c r="A1675"/>
      <c r="B1675"/>
      <c r="C1675"/>
      <c r="D1675"/>
      <c r="E1675"/>
      <c r="F1675"/>
      <c r="G1675" s="283"/>
      <c r="H1675"/>
      <c r="I1675"/>
      <c r="J1675"/>
      <c r="K1675"/>
    </row>
    <row r="1676" spans="1:11" ht="12.75">
      <c r="A1676"/>
      <c r="B1676"/>
      <c r="C1676"/>
      <c r="D1676"/>
      <c r="E1676"/>
      <c r="F1676"/>
      <c r="G1676" s="283"/>
      <c r="H1676"/>
      <c r="I1676"/>
      <c r="J1676"/>
      <c r="K1676"/>
    </row>
    <row r="1677" spans="1:11" ht="12.75">
      <c r="A1677"/>
      <c r="B1677"/>
      <c r="C1677"/>
      <c r="D1677"/>
      <c r="E1677"/>
      <c r="F1677"/>
      <c r="G1677" s="283"/>
      <c r="H1677"/>
      <c r="I1677"/>
      <c r="J1677"/>
      <c r="K1677"/>
    </row>
    <row r="1678" spans="1:11" ht="12.75">
      <c r="A1678"/>
      <c r="B1678"/>
      <c r="C1678"/>
      <c r="D1678"/>
      <c r="E1678"/>
      <c r="F1678"/>
      <c r="G1678" s="283"/>
      <c r="H1678"/>
      <c r="I1678"/>
      <c r="J1678"/>
      <c r="K1678"/>
    </row>
    <row r="1679" spans="1:11" ht="12.75">
      <c r="A1679"/>
      <c r="B1679"/>
      <c r="C1679"/>
      <c r="D1679"/>
      <c r="E1679"/>
      <c r="F1679"/>
      <c r="G1679" s="283"/>
      <c r="H1679"/>
      <c r="I1679"/>
      <c r="J1679"/>
      <c r="K1679"/>
    </row>
    <row r="1680" spans="1:11" ht="12.75">
      <c r="A1680"/>
      <c r="B1680"/>
      <c r="C1680"/>
      <c r="D1680"/>
      <c r="E1680"/>
      <c r="F1680"/>
      <c r="G1680" s="283"/>
      <c r="H1680"/>
      <c r="I1680"/>
      <c r="J1680"/>
      <c r="K1680"/>
    </row>
    <row r="1681" spans="1:11" ht="12.75">
      <c r="A1681"/>
      <c r="B1681"/>
      <c r="C1681"/>
      <c r="D1681"/>
      <c r="E1681"/>
      <c r="F1681"/>
      <c r="G1681" s="283"/>
      <c r="H1681"/>
      <c r="I1681"/>
      <c r="J1681"/>
      <c r="K1681"/>
    </row>
    <row r="1682" spans="1:11" ht="12.75">
      <c r="A1682"/>
      <c r="B1682"/>
      <c r="C1682"/>
      <c r="D1682"/>
      <c r="E1682"/>
      <c r="F1682"/>
      <c r="G1682" s="283"/>
      <c r="H1682"/>
      <c r="I1682"/>
      <c r="J1682"/>
      <c r="K1682"/>
    </row>
    <row r="1683" spans="1:11" ht="12.75">
      <c r="A1683"/>
      <c r="B1683"/>
      <c r="C1683"/>
      <c r="D1683"/>
      <c r="E1683"/>
      <c r="F1683"/>
      <c r="G1683" s="283"/>
      <c r="H1683"/>
      <c r="I1683"/>
      <c r="J1683"/>
      <c r="K1683"/>
    </row>
    <row r="1684" spans="1:11" ht="12.75">
      <c r="A1684"/>
      <c r="B1684"/>
      <c r="C1684"/>
      <c r="D1684"/>
      <c r="E1684"/>
      <c r="F1684"/>
      <c r="G1684" s="283"/>
      <c r="H1684"/>
      <c r="I1684"/>
      <c r="J1684"/>
      <c r="K1684"/>
    </row>
    <row r="1685" spans="1:11" ht="12.75">
      <c r="A1685"/>
      <c r="B1685"/>
      <c r="C1685"/>
      <c r="D1685"/>
      <c r="E1685"/>
      <c r="F1685"/>
      <c r="G1685" s="283"/>
      <c r="H1685"/>
      <c r="I1685"/>
      <c r="J1685"/>
      <c r="K1685"/>
    </row>
    <row r="1686" spans="1:11" ht="12.75">
      <c r="A1686"/>
      <c r="B1686"/>
      <c r="C1686"/>
      <c r="D1686"/>
      <c r="E1686"/>
      <c r="F1686"/>
      <c r="G1686" s="283"/>
      <c r="H1686"/>
      <c r="I1686"/>
      <c r="J1686"/>
      <c r="K1686"/>
    </row>
    <row r="1687" spans="1:11" ht="12.75">
      <c r="A1687"/>
      <c r="B1687"/>
      <c r="C1687"/>
      <c r="D1687"/>
      <c r="E1687"/>
      <c r="F1687"/>
      <c r="G1687" s="283"/>
      <c r="H1687"/>
      <c r="I1687"/>
      <c r="J1687"/>
      <c r="K1687"/>
    </row>
    <row r="1688" spans="1:11" ht="12.75">
      <c r="A1688"/>
      <c r="B1688"/>
      <c r="C1688"/>
      <c r="D1688"/>
      <c r="E1688"/>
      <c r="F1688"/>
      <c r="G1688" s="283"/>
      <c r="H1688"/>
      <c r="I1688"/>
      <c r="J1688"/>
      <c r="K1688"/>
    </row>
    <row r="1689" spans="1:11" ht="12.75">
      <c r="A1689"/>
      <c r="B1689"/>
      <c r="C1689"/>
      <c r="D1689"/>
      <c r="E1689"/>
      <c r="F1689"/>
      <c r="G1689" s="283"/>
      <c r="H1689"/>
      <c r="I1689"/>
      <c r="J1689"/>
      <c r="K1689"/>
    </row>
    <row r="1690" spans="1:11" ht="12.75">
      <c r="A1690"/>
      <c r="B1690"/>
      <c r="C1690"/>
      <c r="D1690"/>
      <c r="E1690"/>
      <c r="F1690"/>
      <c r="G1690" s="283"/>
      <c r="H1690"/>
      <c r="I1690"/>
      <c r="J1690"/>
      <c r="K1690"/>
    </row>
    <row r="1691" spans="1:11" ht="12.75">
      <c r="A1691"/>
      <c r="B1691"/>
      <c r="C1691"/>
      <c r="D1691"/>
      <c r="E1691"/>
      <c r="F1691"/>
      <c r="G1691" s="283"/>
      <c r="H1691"/>
      <c r="I1691"/>
      <c r="J1691"/>
      <c r="K1691"/>
    </row>
    <row r="1692" spans="1:11" ht="12.75">
      <c r="A1692"/>
      <c r="B1692"/>
      <c r="C1692"/>
      <c r="D1692"/>
      <c r="E1692"/>
      <c r="F1692"/>
      <c r="G1692" s="283"/>
      <c r="H1692"/>
      <c r="I1692"/>
      <c r="J1692"/>
      <c r="K1692"/>
    </row>
    <row r="1693" spans="1:11" ht="12.75">
      <c r="A1693"/>
      <c r="B1693"/>
      <c r="C1693"/>
      <c r="D1693"/>
      <c r="E1693"/>
      <c r="F1693"/>
      <c r="G1693" s="283"/>
      <c r="H1693"/>
      <c r="I1693"/>
      <c r="J1693"/>
      <c r="K1693"/>
    </row>
    <row r="1694" spans="1:11" ht="12.75">
      <c r="A1694"/>
      <c r="B1694"/>
      <c r="C1694"/>
      <c r="D1694"/>
      <c r="E1694"/>
      <c r="F1694"/>
      <c r="G1694" s="283"/>
      <c r="H1694"/>
      <c r="I1694"/>
      <c r="J1694"/>
      <c r="K1694"/>
    </row>
    <row r="1695" spans="1:11" ht="12.75">
      <c r="A1695"/>
      <c r="B1695"/>
      <c r="C1695"/>
      <c r="D1695"/>
      <c r="E1695"/>
      <c r="F1695"/>
      <c r="G1695" s="283"/>
      <c r="H1695"/>
      <c r="I1695"/>
      <c r="J1695"/>
      <c r="K1695"/>
    </row>
    <row r="1696" spans="1:11" ht="12.75">
      <c r="A1696"/>
      <c r="B1696"/>
      <c r="C1696"/>
      <c r="D1696"/>
      <c r="E1696"/>
      <c r="F1696"/>
      <c r="G1696" s="283"/>
      <c r="H1696"/>
      <c r="I1696"/>
      <c r="J1696"/>
      <c r="K1696"/>
    </row>
    <row r="1697" spans="1:11" ht="12.75">
      <c r="A1697"/>
      <c r="B1697"/>
      <c r="C1697"/>
      <c r="D1697"/>
      <c r="E1697"/>
      <c r="F1697"/>
      <c r="G1697" s="283"/>
      <c r="H1697"/>
      <c r="I1697"/>
      <c r="J1697"/>
      <c r="K1697"/>
    </row>
    <row r="1698" spans="1:11" ht="12.75">
      <c r="A1698"/>
      <c r="B1698"/>
      <c r="C1698"/>
      <c r="D1698"/>
      <c r="E1698"/>
      <c r="F1698"/>
      <c r="G1698" s="283"/>
      <c r="H1698"/>
      <c r="I1698"/>
      <c r="J1698"/>
      <c r="K1698"/>
    </row>
    <row r="1699" spans="1:11" ht="12.75">
      <c r="A1699"/>
      <c r="B1699"/>
      <c r="C1699"/>
      <c r="D1699"/>
      <c r="E1699"/>
      <c r="F1699"/>
      <c r="G1699" s="283"/>
      <c r="H1699"/>
      <c r="I1699"/>
      <c r="J1699"/>
      <c r="K1699"/>
    </row>
    <row r="1700" spans="1:11" ht="12.75">
      <c r="A1700"/>
      <c r="B1700"/>
      <c r="C1700"/>
      <c r="D1700"/>
      <c r="E1700"/>
      <c r="F1700"/>
      <c r="G1700" s="283"/>
      <c r="H1700"/>
      <c r="I1700"/>
      <c r="J1700"/>
      <c r="K1700"/>
    </row>
  </sheetData>
  <sheetProtection password="EE5D" sheet="1"/>
  <printOptions/>
  <pageMargins left="0.75" right="0.75" top="1" bottom="1" header="0.5" footer="0.5"/>
  <pageSetup horizontalDpi="600" verticalDpi="600" orientation="portrait" scale="75" r:id="rId1"/>
</worksheet>
</file>

<file path=xl/worksheets/sheet12.xml><?xml version="1.0" encoding="utf-8"?>
<worksheet xmlns="http://schemas.openxmlformats.org/spreadsheetml/2006/main" xmlns:r="http://schemas.openxmlformats.org/officeDocument/2006/relationships">
  <dimension ref="A1:K210"/>
  <sheetViews>
    <sheetView zoomScaleSheetLayoutView="100" zoomScalePageLayoutView="0" workbookViewId="0" topLeftCell="A1">
      <pane ySplit="2" topLeftCell="A3" activePane="bottomLeft" state="frozen"/>
      <selection pane="topLeft" activeCell="E11" sqref="E11"/>
      <selection pane="bottomLeft" activeCell="A3" sqref="A3"/>
    </sheetView>
  </sheetViews>
  <sheetFormatPr defaultColWidth="9.140625" defaultRowHeight="12.75"/>
  <cols>
    <col min="1" max="1" width="7.00390625" style="32" bestFit="1" customWidth="1"/>
    <col min="2" max="2" width="7.8515625" style="32" bestFit="1" customWidth="1"/>
    <col min="3" max="3" width="51.140625" style="197" bestFit="1" customWidth="1"/>
    <col min="4" max="4" width="36.57421875" style="197" customWidth="1"/>
    <col min="5" max="5" width="12.57421875" style="197" customWidth="1"/>
    <col min="6" max="6" width="10.7109375" style="32" bestFit="1" customWidth="1"/>
    <col min="7" max="7" width="18.421875" style="31" customWidth="1"/>
    <col min="8" max="9" width="14.140625" style="31" customWidth="1"/>
    <col min="10" max="10" width="10.28125" style="31" customWidth="1"/>
    <col min="11" max="11" width="33.140625" style="31" customWidth="1"/>
    <col min="12" max="16384" width="9.140625" style="31" customWidth="1"/>
  </cols>
  <sheetData>
    <row r="1" spans="1:11" s="155" customFormat="1" ht="22.5">
      <c r="A1" s="178" t="s">
        <v>898</v>
      </c>
      <c r="B1" s="179" t="s">
        <v>52</v>
      </c>
      <c r="C1" s="178" t="s">
        <v>53</v>
      </c>
      <c r="D1" s="178" t="s">
        <v>54</v>
      </c>
      <c r="E1" s="179" t="s">
        <v>207</v>
      </c>
      <c r="F1" s="179" t="s">
        <v>263</v>
      </c>
      <c r="G1" s="198" t="s">
        <v>206</v>
      </c>
      <c r="H1" s="198" t="s">
        <v>857</v>
      </c>
      <c r="I1" s="198" t="s">
        <v>11</v>
      </c>
      <c r="J1" s="198" t="s">
        <v>10</v>
      </c>
      <c r="K1" s="198" t="s">
        <v>12</v>
      </c>
    </row>
    <row r="2" spans="1:11" ht="15.75" customHeight="1">
      <c r="A2" s="180">
        <v>0</v>
      </c>
      <c r="B2" s="181"/>
      <c r="C2" s="182" t="s">
        <v>945</v>
      </c>
      <c r="D2" s="182"/>
      <c r="E2" s="182"/>
      <c r="F2" s="183"/>
      <c r="G2" s="199"/>
      <c r="H2" s="224" t="s">
        <v>13</v>
      </c>
      <c r="I2" s="199"/>
      <c r="J2" s="199"/>
      <c r="K2" s="199"/>
    </row>
    <row r="3" spans="1:11" s="155" customFormat="1" ht="11.25">
      <c r="A3" s="288">
        <v>3801</v>
      </c>
      <c r="B3" s="156" t="s">
        <v>1020</v>
      </c>
      <c r="C3" s="289" t="s">
        <v>1081</v>
      </c>
      <c r="D3" s="289" t="s">
        <v>55</v>
      </c>
      <c r="E3" s="289">
        <v>500</v>
      </c>
      <c r="F3" s="157"/>
      <c r="G3" s="200">
        <v>291.13100000000003</v>
      </c>
      <c r="H3" s="200">
        <f>'RESIDENT DISTRICT'!$D$8</f>
        <v>0</v>
      </c>
      <c r="I3" s="200">
        <f aca="true" t="shared" si="0" ref="I3:I34">H3-G3</f>
        <v>-291.13100000000003</v>
      </c>
      <c r="J3" s="201">
        <f aca="true" t="shared" si="1" ref="J3:J34">I3/G3</f>
        <v>-1</v>
      </c>
      <c r="K3" s="200" t="str">
        <f aca="true" t="shared" si="2" ref="K3:K34">IF(ISERROR(J3),0,IF(J3&gt;0.25,"y","n"))</f>
        <v>n</v>
      </c>
    </row>
    <row r="4" spans="1:11" s="155" customFormat="1" ht="11.25">
      <c r="A4" s="288">
        <v>13801</v>
      </c>
      <c r="B4" s="156" t="s">
        <v>997</v>
      </c>
      <c r="C4" s="289" t="s">
        <v>1083</v>
      </c>
      <c r="D4" s="289" t="s">
        <v>56</v>
      </c>
      <c r="E4" s="289">
        <v>300</v>
      </c>
      <c r="F4" s="157"/>
      <c r="G4" s="200">
        <v>288.09</v>
      </c>
      <c r="H4" s="200">
        <f>'RESIDENT DISTRICT'!$D$8</f>
        <v>0</v>
      </c>
      <c r="I4" s="200">
        <f t="shared" si="0"/>
        <v>-288.09</v>
      </c>
      <c r="J4" s="201">
        <f t="shared" si="1"/>
        <v>-1</v>
      </c>
      <c r="K4" s="200" t="str">
        <f t="shared" si="2"/>
        <v>n</v>
      </c>
    </row>
    <row r="5" spans="1:11" s="155" customFormat="1" ht="11.25">
      <c r="A5" s="288">
        <v>14801</v>
      </c>
      <c r="B5" s="156" t="s">
        <v>1020</v>
      </c>
      <c r="C5" s="289" t="s">
        <v>57</v>
      </c>
      <c r="D5" s="289" t="s">
        <v>58</v>
      </c>
      <c r="E5" s="289">
        <v>300</v>
      </c>
      <c r="F5" s="157"/>
      <c r="G5" s="200">
        <v>141.367</v>
      </c>
      <c r="H5" s="200">
        <f>'RESIDENT DISTRICT'!$D$8</f>
        <v>0</v>
      </c>
      <c r="I5" s="200">
        <f t="shared" si="0"/>
        <v>-141.367</v>
      </c>
      <c r="J5" s="201">
        <f t="shared" si="1"/>
        <v>-1</v>
      </c>
      <c r="K5" s="200" t="str">
        <f t="shared" si="2"/>
        <v>n</v>
      </c>
    </row>
    <row r="6" spans="1:11" s="155" customFormat="1" ht="11.25">
      <c r="A6" s="288">
        <v>14802</v>
      </c>
      <c r="B6" s="156" t="s">
        <v>1020</v>
      </c>
      <c r="C6" s="289" t="s">
        <v>1084</v>
      </c>
      <c r="D6" s="289" t="s">
        <v>59</v>
      </c>
      <c r="E6" s="289">
        <v>250</v>
      </c>
      <c r="F6" s="157"/>
      <c r="G6" s="200">
        <v>56.36300000000001</v>
      </c>
      <c r="H6" s="200">
        <f>'RESIDENT DISTRICT'!$D$8</f>
        <v>0</v>
      </c>
      <c r="I6" s="200">
        <f t="shared" si="0"/>
        <v>-56.36300000000001</v>
      </c>
      <c r="J6" s="201">
        <f t="shared" si="1"/>
        <v>-1</v>
      </c>
      <c r="K6" s="200" t="str">
        <f t="shared" si="2"/>
        <v>n</v>
      </c>
    </row>
    <row r="7" spans="1:11" s="155" customFormat="1" ht="11.25">
      <c r="A7" s="288">
        <v>14803</v>
      </c>
      <c r="B7" s="156" t="s">
        <v>1020</v>
      </c>
      <c r="C7" s="289" t="s">
        <v>60</v>
      </c>
      <c r="D7" s="289" t="s">
        <v>61</v>
      </c>
      <c r="E7" s="289">
        <v>500</v>
      </c>
      <c r="F7" s="157"/>
      <c r="G7" s="200">
        <v>129.632</v>
      </c>
      <c r="H7" s="200">
        <f>'RESIDENT DISTRICT'!$D$8</f>
        <v>0</v>
      </c>
      <c r="I7" s="200">
        <f t="shared" si="0"/>
        <v>-129.632</v>
      </c>
      <c r="J7" s="201">
        <f t="shared" si="1"/>
        <v>-1</v>
      </c>
      <c r="K7" s="200" t="str">
        <f t="shared" si="2"/>
        <v>n</v>
      </c>
    </row>
    <row r="8" spans="1:11" s="155" customFormat="1" ht="11.25">
      <c r="A8" s="288">
        <v>14804</v>
      </c>
      <c r="B8" s="156" t="s">
        <v>997</v>
      </c>
      <c r="C8" s="289" t="s">
        <v>62</v>
      </c>
      <c r="D8" s="289" t="s">
        <v>63</v>
      </c>
      <c r="E8" s="289">
        <v>300</v>
      </c>
      <c r="F8" s="157"/>
      <c r="G8" s="200">
        <v>75.048</v>
      </c>
      <c r="H8" s="200">
        <f>'RESIDENT DISTRICT'!$D$8</f>
        <v>0</v>
      </c>
      <c r="I8" s="200">
        <f t="shared" si="0"/>
        <v>-75.048</v>
      </c>
      <c r="J8" s="201">
        <f t="shared" si="1"/>
        <v>-1</v>
      </c>
      <c r="K8" s="200" t="str">
        <f t="shared" si="2"/>
        <v>n</v>
      </c>
    </row>
    <row r="9" spans="1:11" s="155" customFormat="1" ht="11.25">
      <c r="A9" s="288">
        <v>15801</v>
      </c>
      <c r="B9" s="156" t="s">
        <v>1020</v>
      </c>
      <c r="C9" s="289" t="s">
        <v>64</v>
      </c>
      <c r="D9" s="289" t="s">
        <v>65</v>
      </c>
      <c r="E9" s="289">
        <v>1000</v>
      </c>
      <c r="F9" s="157"/>
      <c r="G9" s="200">
        <v>284.945</v>
      </c>
      <c r="H9" s="200">
        <f>'RESIDENT DISTRICT'!$D$8</f>
        <v>0</v>
      </c>
      <c r="I9" s="200">
        <f t="shared" si="0"/>
        <v>-284.945</v>
      </c>
      <c r="J9" s="201">
        <f t="shared" si="1"/>
        <v>-1</v>
      </c>
      <c r="K9" s="200" t="str">
        <f t="shared" si="2"/>
        <v>n</v>
      </c>
    </row>
    <row r="10" spans="1:11" s="155" customFormat="1" ht="11.25">
      <c r="A10" s="288">
        <v>15802</v>
      </c>
      <c r="B10" s="156" t="s">
        <v>1020</v>
      </c>
      <c r="C10" s="289" t="s">
        <v>1085</v>
      </c>
      <c r="D10" s="289" t="s">
        <v>66</v>
      </c>
      <c r="E10" s="289">
        <v>2500</v>
      </c>
      <c r="F10" s="157"/>
      <c r="G10" s="200">
        <v>425.53099999999995</v>
      </c>
      <c r="H10" s="200">
        <f>'RESIDENT DISTRICT'!$D$8</f>
        <v>0</v>
      </c>
      <c r="I10" s="200">
        <f t="shared" si="0"/>
        <v>-425.53099999999995</v>
      </c>
      <c r="J10" s="201">
        <f t="shared" si="1"/>
        <v>-1</v>
      </c>
      <c r="K10" s="200" t="str">
        <f t="shared" si="2"/>
        <v>n</v>
      </c>
    </row>
    <row r="11" spans="1:11" s="155" customFormat="1" ht="11.25">
      <c r="A11" s="288">
        <v>15803</v>
      </c>
      <c r="B11" s="156" t="s">
        <v>1020</v>
      </c>
      <c r="C11" s="289" t="s">
        <v>67</v>
      </c>
      <c r="D11" s="289" t="s">
        <v>68</v>
      </c>
      <c r="E11" s="289">
        <v>1000</v>
      </c>
      <c r="F11" s="157"/>
      <c r="G11" s="200">
        <v>386.39099999999996</v>
      </c>
      <c r="H11" s="200">
        <f>'RESIDENT DISTRICT'!$D$8</f>
        <v>0</v>
      </c>
      <c r="I11" s="200">
        <f t="shared" si="0"/>
        <v>-386.39099999999996</v>
      </c>
      <c r="J11" s="201">
        <f t="shared" si="1"/>
        <v>-1</v>
      </c>
      <c r="K11" s="200" t="str">
        <f t="shared" si="2"/>
        <v>n</v>
      </c>
    </row>
    <row r="12" spans="1:11" s="155" customFormat="1" ht="11.25">
      <c r="A12" s="288">
        <v>15805</v>
      </c>
      <c r="B12" s="156" t="s">
        <v>1020</v>
      </c>
      <c r="C12" s="289" t="s">
        <v>1086</v>
      </c>
      <c r="D12" s="289" t="s">
        <v>69</v>
      </c>
      <c r="E12" s="289">
        <v>1176</v>
      </c>
      <c r="F12" s="157"/>
      <c r="G12" s="200">
        <v>554.8910000000001</v>
      </c>
      <c r="H12" s="200">
        <f>'RESIDENT DISTRICT'!$D$8</f>
        <v>0</v>
      </c>
      <c r="I12" s="200">
        <f t="shared" si="0"/>
        <v>-554.8910000000001</v>
      </c>
      <c r="J12" s="201">
        <f t="shared" si="1"/>
        <v>-1</v>
      </c>
      <c r="K12" s="200" t="str">
        <f t="shared" si="2"/>
        <v>n</v>
      </c>
    </row>
    <row r="13" spans="1:11" s="155" customFormat="1" ht="11.25">
      <c r="A13" s="288">
        <v>15806</v>
      </c>
      <c r="B13" s="156" t="s">
        <v>1020</v>
      </c>
      <c r="C13" s="289" t="s">
        <v>1087</v>
      </c>
      <c r="D13" s="289" t="s">
        <v>70</v>
      </c>
      <c r="E13" s="289">
        <v>4500</v>
      </c>
      <c r="F13" s="157"/>
      <c r="G13" s="200">
        <v>2489.253999999999</v>
      </c>
      <c r="H13" s="200">
        <f>'RESIDENT DISTRICT'!$D$8</f>
        <v>0</v>
      </c>
      <c r="I13" s="200">
        <f t="shared" si="0"/>
        <v>-2489.253999999999</v>
      </c>
      <c r="J13" s="201">
        <f t="shared" si="1"/>
        <v>-1</v>
      </c>
      <c r="K13" s="200" t="str">
        <f t="shared" si="2"/>
        <v>n</v>
      </c>
    </row>
    <row r="14" spans="1:11" s="155" customFormat="1" ht="11.25">
      <c r="A14" s="288">
        <v>15807</v>
      </c>
      <c r="B14" s="156" t="s">
        <v>1020</v>
      </c>
      <c r="C14" s="289" t="s">
        <v>1088</v>
      </c>
      <c r="D14" s="289" t="s">
        <v>71</v>
      </c>
      <c r="E14" s="289">
        <v>1100</v>
      </c>
      <c r="F14" s="157"/>
      <c r="G14" s="200">
        <v>830</v>
      </c>
      <c r="H14" s="200">
        <f>'RESIDENT DISTRICT'!$D$8</f>
        <v>0</v>
      </c>
      <c r="I14" s="200">
        <f t="shared" si="0"/>
        <v>-830</v>
      </c>
      <c r="J14" s="201">
        <f t="shared" si="1"/>
        <v>-1</v>
      </c>
      <c r="K14" s="200" t="str">
        <f t="shared" si="2"/>
        <v>n</v>
      </c>
    </row>
    <row r="15" spans="1:11" s="155" customFormat="1" ht="11.25">
      <c r="A15" s="288">
        <v>15808</v>
      </c>
      <c r="B15" s="156" t="s">
        <v>1020</v>
      </c>
      <c r="C15" s="289" t="s">
        <v>72</v>
      </c>
      <c r="D15" s="289" t="s">
        <v>73</v>
      </c>
      <c r="E15" s="289">
        <v>661</v>
      </c>
      <c r="F15" s="157"/>
      <c r="G15" s="200">
        <v>240.116</v>
      </c>
      <c r="H15" s="200">
        <f>'RESIDENT DISTRICT'!$D$8</f>
        <v>0</v>
      </c>
      <c r="I15" s="200">
        <f t="shared" si="0"/>
        <v>-240.116</v>
      </c>
      <c r="J15" s="201">
        <f t="shared" si="1"/>
        <v>-1</v>
      </c>
      <c r="K15" s="200" t="str">
        <f t="shared" si="2"/>
        <v>n</v>
      </c>
    </row>
    <row r="16" spans="1:11" s="155" customFormat="1" ht="11.25">
      <c r="A16" s="288">
        <v>15809</v>
      </c>
      <c r="B16" s="156" t="s">
        <v>1020</v>
      </c>
      <c r="C16" s="289" t="s">
        <v>74</v>
      </c>
      <c r="D16" s="289" t="s">
        <v>75</v>
      </c>
      <c r="E16" s="289">
        <v>1000</v>
      </c>
      <c r="F16" s="157"/>
      <c r="G16" s="200">
        <v>362.637</v>
      </c>
      <c r="H16" s="200">
        <f>'RESIDENT DISTRICT'!$D$8</f>
        <v>0</v>
      </c>
      <c r="I16" s="200">
        <f t="shared" si="0"/>
        <v>-362.637</v>
      </c>
      <c r="J16" s="201">
        <f t="shared" si="1"/>
        <v>-1</v>
      </c>
      <c r="K16" s="200" t="str">
        <f t="shared" si="2"/>
        <v>n</v>
      </c>
    </row>
    <row r="17" spans="1:11" s="155" customFormat="1" ht="22.5">
      <c r="A17" s="288">
        <v>15811</v>
      </c>
      <c r="B17" s="156" t="s">
        <v>1020</v>
      </c>
      <c r="C17" s="289" t="s">
        <v>1089</v>
      </c>
      <c r="D17" s="289" t="s">
        <v>76</v>
      </c>
      <c r="E17" s="289">
        <v>500</v>
      </c>
      <c r="F17" s="157"/>
      <c r="G17" s="200">
        <v>106.99</v>
      </c>
      <c r="H17" s="200">
        <f>'RESIDENT DISTRICT'!$D$8</f>
        <v>0</v>
      </c>
      <c r="I17" s="200">
        <f t="shared" si="0"/>
        <v>-106.99</v>
      </c>
      <c r="J17" s="201">
        <f t="shared" si="1"/>
        <v>-1</v>
      </c>
      <c r="K17" s="200" t="str">
        <f t="shared" si="2"/>
        <v>n</v>
      </c>
    </row>
    <row r="18" spans="1:11" s="155" customFormat="1" ht="11.25">
      <c r="A18" s="288">
        <v>15812</v>
      </c>
      <c r="B18" s="156" t="s">
        <v>1020</v>
      </c>
      <c r="C18" s="289" t="s">
        <v>1090</v>
      </c>
      <c r="D18" s="289" t="s">
        <v>77</v>
      </c>
      <c r="E18" s="289">
        <v>600</v>
      </c>
      <c r="F18" s="157"/>
      <c r="G18" s="200">
        <v>106.444</v>
      </c>
      <c r="H18" s="200">
        <f>'RESIDENT DISTRICT'!$D$8</f>
        <v>0</v>
      </c>
      <c r="I18" s="200">
        <f t="shared" si="0"/>
        <v>-106.444</v>
      </c>
      <c r="J18" s="201">
        <f t="shared" si="1"/>
        <v>-1</v>
      </c>
      <c r="K18" s="200" t="str">
        <f t="shared" si="2"/>
        <v>n</v>
      </c>
    </row>
    <row r="19" spans="1:11" s="155" customFormat="1" ht="11.25">
      <c r="A19" s="288">
        <v>15813</v>
      </c>
      <c r="B19" s="156" t="s">
        <v>1020</v>
      </c>
      <c r="C19" s="289" t="s">
        <v>78</v>
      </c>
      <c r="D19" s="289" t="s">
        <v>79</v>
      </c>
      <c r="E19" s="289">
        <v>225</v>
      </c>
      <c r="F19" s="157"/>
      <c r="G19" s="200">
        <v>6.287000000000001</v>
      </c>
      <c r="H19" s="200">
        <f>'RESIDENT DISTRICT'!$D$8</f>
        <v>0</v>
      </c>
      <c r="I19" s="200">
        <f t="shared" si="0"/>
        <v>-6.287000000000001</v>
      </c>
      <c r="J19" s="201">
        <f t="shared" si="1"/>
        <v>-1</v>
      </c>
      <c r="K19" s="200" t="str">
        <f t="shared" si="2"/>
        <v>n</v>
      </c>
    </row>
    <row r="20" spans="1:11" s="155" customFormat="1" ht="11.25">
      <c r="A20" s="288">
        <v>15814</v>
      </c>
      <c r="B20" s="156" t="s">
        <v>1020</v>
      </c>
      <c r="C20" s="289" t="s">
        <v>1091</v>
      </c>
      <c r="D20" s="289" t="s">
        <v>80</v>
      </c>
      <c r="E20" s="289">
        <v>425</v>
      </c>
      <c r="F20" s="157"/>
      <c r="G20" s="200">
        <v>125.506</v>
      </c>
      <c r="H20" s="200">
        <f>'RESIDENT DISTRICT'!$D$8</f>
        <v>0</v>
      </c>
      <c r="I20" s="200">
        <f t="shared" si="0"/>
        <v>-125.506</v>
      </c>
      <c r="J20" s="201">
        <f t="shared" si="1"/>
        <v>-1</v>
      </c>
      <c r="K20" s="200" t="str">
        <f t="shared" si="2"/>
        <v>n</v>
      </c>
    </row>
    <row r="21" spans="1:11" s="155" customFormat="1" ht="11.25">
      <c r="A21" s="288">
        <v>15815</v>
      </c>
      <c r="B21" s="156" t="s">
        <v>1020</v>
      </c>
      <c r="C21" s="289" t="s">
        <v>1092</v>
      </c>
      <c r="D21" s="289" t="s">
        <v>81</v>
      </c>
      <c r="E21" s="289">
        <v>750</v>
      </c>
      <c r="F21" s="157"/>
      <c r="G21" s="200">
        <v>557.567</v>
      </c>
      <c r="H21" s="200">
        <f>'RESIDENT DISTRICT'!$D$8</f>
        <v>0</v>
      </c>
      <c r="I21" s="200">
        <f t="shared" si="0"/>
        <v>-557.567</v>
      </c>
      <c r="J21" s="201">
        <f t="shared" si="1"/>
        <v>-1</v>
      </c>
      <c r="K21" s="200" t="str">
        <f t="shared" si="2"/>
        <v>n</v>
      </c>
    </row>
    <row r="22" spans="1:11" s="155" customFormat="1" ht="11.25">
      <c r="A22" s="288">
        <v>15816</v>
      </c>
      <c r="B22" s="156" t="s">
        <v>1020</v>
      </c>
      <c r="C22" s="289" t="s">
        <v>1093</v>
      </c>
      <c r="D22" s="289" t="s">
        <v>82</v>
      </c>
      <c r="E22" s="289">
        <v>360</v>
      </c>
      <c r="F22" s="157"/>
      <c r="G22" s="200">
        <v>158.561</v>
      </c>
      <c r="H22" s="200">
        <f>'RESIDENT DISTRICT'!$D$8</f>
        <v>0</v>
      </c>
      <c r="I22" s="200">
        <f t="shared" si="0"/>
        <v>-158.561</v>
      </c>
      <c r="J22" s="201">
        <f t="shared" si="1"/>
        <v>-1</v>
      </c>
      <c r="K22" s="200" t="str">
        <f t="shared" si="2"/>
        <v>n</v>
      </c>
    </row>
    <row r="23" spans="1:11" s="155" customFormat="1" ht="11.25">
      <c r="A23" s="288">
        <v>15817</v>
      </c>
      <c r="B23" s="156" t="s">
        <v>997</v>
      </c>
      <c r="C23" s="289" t="s">
        <v>83</v>
      </c>
      <c r="D23" s="289" t="s">
        <v>84</v>
      </c>
      <c r="E23" s="289">
        <v>500</v>
      </c>
      <c r="F23" s="157"/>
      <c r="G23" s="200">
        <v>337.55</v>
      </c>
      <c r="H23" s="200">
        <f>'RESIDENT DISTRICT'!$D$8</f>
        <v>0</v>
      </c>
      <c r="I23" s="200">
        <f t="shared" si="0"/>
        <v>-337.55</v>
      </c>
      <c r="J23" s="201">
        <f t="shared" si="1"/>
        <v>-1</v>
      </c>
      <c r="K23" s="200" t="str">
        <f t="shared" si="2"/>
        <v>n</v>
      </c>
    </row>
    <row r="24" spans="1:11" s="155" customFormat="1" ht="11.25">
      <c r="A24" s="288">
        <v>15819</v>
      </c>
      <c r="B24" s="156" t="s">
        <v>1020</v>
      </c>
      <c r="C24" s="289" t="s">
        <v>85</v>
      </c>
      <c r="D24" s="289" t="s">
        <v>81</v>
      </c>
      <c r="E24" s="289">
        <v>1000</v>
      </c>
      <c r="F24" s="157"/>
      <c r="G24" s="200">
        <v>791.7539999999998</v>
      </c>
      <c r="H24" s="200">
        <f>'RESIDENT DISTRICT'!$D$8</f>
        <v>0</v>
      </c>
      <c r="I24" s="200">
        <f t="shared" si="0"/>
        <v>-791.7539999999998</v>
      </c>
      <c r="J24" s="201">
        <f t="shared" si="1"/>
        <v>-1</v>
      </c>
      <c r="K24" s="200" t="str">
        <f t="shared" si="2"/>
        <v>n</v>
      </c>
    </row>
    <row r="25" spans="1:11" s="155" customFormat="1" ht="11.25">
      <c r="A25" s="288">
        <v>15820</v>
      </c>
      <c r="B25" s="156" t="s">
        <v>1020</v>
      </c>
      <c r="C25" s="289" t="s">
        <v>1094</v>
      </c>
      <c r="D25" s="289" t="s">
        <v>86</v>
      </c>
      <c r="E25" s="289">
        <v>500</v>
      </c>
      <c r="F25" s="157"/>
      <c r="G25" s="200">
        <v>256.03</v>
      </c>
      <c r="H25" s="200">
        <f>'RESIDENT DISTRICT'!$D$8</f>
        <v>0</v>
      </c>
      <c r="I25" s="200">
        <f t="shared" si="0"/>
        <v>-256.03</v>
      </c>
      <c r="J25" s="201">
        <f t="shared" si="1"/>
        <v>-1</v>
      </c>
      <c r="K25" s="200" t="str">
        <f t="shared" si="2"/>
        <v>n</v>
      </c>
    </row>
    <row r="26" spans="1:11" s="155" customFormat="1" ht="11.25">
      <c r="A26" s="288">
        <v>15822</v>
      </c>
      <c r="B26" s="156" t="s">
        <v>1020</v>
      </c>
      <c r="C26" s="289" t="s">
        <v>1095</v>
      </c>
      <c r="D26" s="289" t="s">
        <v>87</v>
      </c>
      <c r="E26" s="289">
        <v>1200</v>
      </c>
      <c r="F26" s="157"/>
      <c r="G26" s="200">
        <v>481.095</v>
      </c>
      <c r="H26" s="200">
        <f>'RESIDENT DISTRICT'!$D$8</f>
        <v>0</v>
      </c>
      <c r="I26" s="200">
        <f t="shared" si="0"/>
        <v>-481.095</v>
      </c>
      <c r="J26" s="201">
        <f t="shared" si="1"/>
        <v>-1</v>
      </c>
      <c r="K26" s="200" t="str">
        <f t="shared" si="2"/>
        <v>n</v>
      </c>
    </row>
    <row r="27" spans="1:11" s="155" customFormat="1" ht="11.25">
      <c r="A27" s="288">
        <v>15823</v>
      </c>
      <c r="B27" s="156" t="s">
        <v>997</v>
      </c>
      <c r="C27" s="289" t="s">
        <v>88</v>
      </c>
      <c r="D27" s="289" t="s">
        <v>89</v>
      </c>
      <c r="E27" s="289">
        <v>300</v>
      </c>
      <c r="F27" s="157"/>
      <c r="G27" s="200">
        <v>78.392</v>
      </c>
      <c r="H27" s="200">
        <f>'RESIDENT DISTRICT'!$D$8</f>
        <v>0</v>
      </c>
      <c r="I27" s="200">
        <f t="shared" si="0"/>
        <v>-78.392</v>
      </c>
      <c r="J27" s="201">
        <f t="shared" si="1"/>
        <v>-1</v>
      </c>
      <c r="K27" s="200" t="str">
        <f t="shared" si="2"/>
        <v>n</v>
      </c>
    </row>
    <row r="28" spans="1:11" s="155" customFormat="1" ht="11.25">
      <c r="A28" s="288">
        <v>15824</v>
      </c>
      <c r="B28" s="156" t="s">
        <v>997</v>
      </c>
      <c r="C28" s="289" t="s">
        <v>90</v>
      </c>
      <c r="D28" s="289" t="s">
        <v>91</v>
      </c>
      <c r="E28" s="289">
        <v>500</v>
      </c>
      <c r="F28" s="157"/>
      <c r="G28" s="200">
        <v>238.889</v>
      </c>
      <c r="H28" s="200">
        <f>'RESIDENT DISTRICT'!$D$8</f>
        <v>0</v>
      </c>
      <c r="I28" s="200">
        <f t="shared" si="0"/>
        <v>-238.889</v>
      </c>
      <c r="J28" s="201">
        <f t="shared" si="1"/>
        <v>-1</v>
      </c>
      <c r="K28" s="200" t="str">
        <f t="shared" si="2"/>
        <v>n</v>
      </c>
    </row>
    <row r="29" spans="1:11" s="155" customFormat="1" ht="11.25">
      <c r="A29" s="288">
        <v>15825</v>
      </c>
      <c r="B29" s="156" t="s">
        <v>997</v>
      </c>
      <c r="C29" s="289" t="s">
        <v>940</v>
      </c>
      <c r="D29" s="289" t="s">
        <v>92</v>
      </c>
      <c r="E29" s="289">
        <v>600</v>
      </c>
      <c r="F29" s="157"/>
      <c r="G29" s="200">
        <v>109.56</v>
      </c>
      <c r="H29" s="200">
        <f>'RESIDENT DISTRICT'!$D$8</f>
        <v>0</v>
      </c>
      <c r="I29" s="200">
        <f t="shared" si="0"/>
        <v>-109.56</v>
      </c>
      <c r="J29" s="201">
        <f t="shared" si="1"/>
        <v>-1</v>
      </c>
      <c r="K29" s="200" t="str">
        <f t="shared" si="2"/>
        <v>n</v>
      </c>
    </row>
    <row r="30" spans="1:11" s="155" customFormat="1" ht="33.75">
      <c r="A30" s="288">
        <v>15826</v>
      </c>
      <c r="B30" s="156" t="s">
        <v>997</v>
      </c>
      <c r="C30" s="289" t="s">
        <v>93</v>
      </c>
      <c r="D30" s="289" t="s">
        <v>94</v>
      </c>
      <c r="E30" s="289">
        <v>1320</v>
      </c>
      <c r="F30" s="223" t="s">
        <v>237</v>
      </c>
      <c r="G30" s="200">
        <v>330.244</v>
      </c>
      <c r="H30" s="200">
        <f>'RESIDENT DISTRICT'!$D$8</f>
        <v>0</v>
      </c>
      <c r="I30" s="200">
        <f t="shared" si="0"/>
        <v>-330.244</v>
      </c>
      <c r="J30" s="201">
        <f t="shared" si="1"/>
        <v>-1</v>
      </c>
      <c r="K30" s="200" t="str">
        <f t="shared" si="2"/>
        <v>n</v>
      </c>
    </row>
    <row r="31" spans="1:11" s="155" customFormat="1" ht="11.25">
      <c r="A31" s="288">
        <v>15827</v>
      </c>
      <c r="B31" s="156" t="s">
        <v>997</v>
      </c>
      <c r="C31" s="289" t="s">
        <v>95</v>
      </c>
      <c r="D31" s="289" t="s">
        <v>96</v>
      </c>
      <c r="E31" s="289">
        <v>450</v>
      </c>
      <c r="F31" s="157"/>
      <c r="G31" s="200">
        <v>379.035</v>
      </c>
      <c r="H31" s="200">
        <f>'RESIDENT DISTRICT'!$D$8</f>
        <v>0</v>
      </c>
      <c r="I31" s="200">
        <f t="shared" si="0"/>
        <v>-379.035</v>
      </c>
      <c r="J31" s="201">
        <f t="shared" si="1"/>
        <v>-1</v>
      </c>
      <c r="K31" s="200" t="str">
        <f t="shared" si="2"/>
        <v>n</v>
      </c>
    </row>
    <row r="32" spans="1:11" s="155" customFormat="1" ht="11.25">
      <c r="A32" s="288">
        <v>15828</v>
      </c>
      <c r="B32" s="156" t="s">
        <v>997</v>
      </c>
      <c r="C32" s="289" t="s">
        <v>97</v>
      </c>
      <c r="D32" s="289" t="s">
        <v>98</v>
      </c>
      <c r="E32" s="289">
        <v>900</v>
      </c>
      <c r="F32" s="157"/>
      <c r="G32" s="200">
        <v>353.553</v>
      </c>
      <c r="H32" s="200">
        <f>'RESIDENT DISTRICT'!$D$8</f>
        <v>0</v>
      </c>
      <c r="I32" s="200">
        <f t="shared" si="0"/>
        <v>-353.553</v>
      </c>
      <c r="J32" s="201">
        <f t="shared" si="1"/>
        <v>-1</v>
      </c>
      <c r="K32" s="200" t="str">
        <f t="shared" si="2"/>
        <v>n</v>
      </c>
    </row>
    <row r="33" spans="1:11" s="155" customFormat="1" ht="11.25">
      <c r="A33" s="288">
        <v>15830</v>
      </c>
      <c r="B33" s="156" t="s">
        <v>997</v>
      </c>
      <c r="C33" s="289" t="s">
        <v>998</v>
      </c>
      <c r="D33" s="289" t="s">
        <v>99</v>
      </c>
      <c r="E33" s="289">
        <v>700</v>
      </c>
      <c r="F33" s="157"/>
      <c r="G33" s="200">
        <v>415.926</v>
      </c>
      <c r="H33" s="200">
        <f>'RESIDENT DISTRICT'!$D$8</f>
        <v>0</v>
      </c>
      <c r="I33" s="200">
        <f t="shared" si="0"/>
        <v>-415.926</v>
      </c>
      <c r="J33" s="201">
        <f t="shared" si="1"/>
        <v>-1</v>
      </c>
      <c r="K33" s="200" t="str">
        <f t="shared" si="2"/>
        <v>n</v>
      </c>
    </row>
    <row r="34" spans="1:11" s="155" customFormat="1" ht="11.25">
      <c r="A34" s="290">
        <v>15831</v>
      </c>
      <c r="B34" s="291" t="s">
        <v>997</v>
      </c>
      <c r="C34" s="292" t="s">
        <v>238</v>
      </c>
      <c r="D34" s="292" t="s">
        <v>239</v>
      </c>
      <c r="E34" s="289">
        <v>900</v>
      </c>
      <c r="F34" s="293" t="s">
        <v>240</v>
      </c>
      <c r="G34" s="200">
        <v>900</v>
      </c>
      <c r="H34" s="200">
        <f>'RESIDENT DISTRICT'!$D$8</f>
        <v>0</v>
      </c>
      <c r="I34" s="200">
        <f t="shared" si="0"/>
        <v>-900</v>
      </c>
      <c r="J34" s="201">
        <f t="shared" si="1"/>
        <v>-1</v>
      </c>
      <c r="K34" s="200" t="str">
        <f t="shared" si="2"/>
        <v>n</v>
      </c>
    </row>
    <row r="35" spans="1:11" s="155" customFormat="1" ht="11.25">
      <c r="A35" s="288">
        <v>21803</v>
      </c>
      <c r="B35" s="156" t="s">
        <v>1020</v>
      </c>
      <c r="C35" s="289" t="s">
        <v>1096</v>
      </c>
      <c r="D35" s="289" t="s">
        <v>100</v>
      </c>
      <c r="E35" s="289">
        <v>500</v>
      </c>
      <c r="F35" s="157"/>
      <c r="G35" s="200">
        <v>359.27799999999996</v>
      </c>
      <c r="H35" s="200">
        <f>'RESIDENT DISTRICT'!$D$8</f>
        <v>0</v>
      </c>
      <c r="I35" s="200">
        <f aca="true" t="shared" si="3" ref="I35:I65">H35-G35</f>
        <v>-359.27799999999996</v>
      </c>
      <c r="J35" s="201">
        <f aca="true" t="shared" si="4" ref="J35:J65">I35/G35</f>
        <v>-1</v>
      </c>
      <c r="K35" s="200" t="str">
        <f aca="true" t="shared" si="5" ref="K35:K65">IF(ISERROR(J35),0,IF(J35&gt;0.25,"y","n"))</f>
        <v>n</v>
      </c>
    </row>
    <row r="36" spans="1:11" s="155" customFormat="1" ht="11.25">
      <c r="A36" s="288">
        <v>21804</v>
      </c>
      <c r="B36" s="156" t="s">
        <v>997</v>
      </c>
      <c r="C36" s="289" t="s">
        <v>837</v>
      </c>
      <c r="D36" s="289" t="s">
        <v>98</v>
      </c>
      <c r="E36" s="289">
        <v>900</v>
      </c>
      <c r="F36" s="157"/>
      <c r="G36" s="200">
        <v>193.076</v>
      </c>
      <c r="H36" s="200">
        <f>'RESIDENT DISTRICT'!$D$8</f>
        <v>0</v>
      </c>
      <c r="I36" s="200">
        <f t="shared" si="3"/>
        <v>-193.076</v>
      </c>
      <c r="J36" s="201">
        <f t="shared" si="4"/>
        <v>-1</v>
      </c>
      <c r="K36" s="200" t="str">
        <f t="shared" si="5"/>
        <v>n</v>
      </c>
    </row>
    <row r="37" spans="1:11" s="155" customFormat="1" ht="11.25">
      <c r="A37" s="288">
        <v>24801</v>
      </c>
      <c r="B37" s="156" t="s">
        <v>1020</v>
      </c>
      <c r="C37" s="289" t="s">
        <v>1097</v>
      </c>
      <c r="D37" s="289" t="s">
        <v>101</v>
      </c>
      <c r="E37" s="289">
        <v>100</v>
      </c>
      <c r="F37" s="157"/>
      <c r="G37" s="200">
        <v>52.138000000000005</v>
      </c>
      <c r="H37" s="200">
        <f>'RESIDENT DISTRICT'!$D$8</f>
        <v>0</v>
      </c>
      <c r="I37" s="200">
        <f t="shared" si="3"/>
        <v>-52.138000000000005</v>
      </c>
      <c r="J37" s="201">
        <f t="shared" si="4"/>
        <v>-1</v>
      </c>
      <c r="K37" s="200" t="str">
        <f t="shared" si="5"/>
        <v>n</v>
      </c>
    </row>
    <row r="38" spans="1:11" s="155" customFormat="1" ht="11.25">
      <c r="A38" s="290">
        <v>31803</v>
      </c>
      <c r="B38" s="291" t="s">
        <v>997</v>
      </c>
      <c r="C38" s="292" t="s">
        <v>241</v>
      </c>
      <c r="D38" s="292" t="s">
        <v>98</v>
      </c>
      <c r="E38" s="289">
        <v>900</v>
      </c>
      <c r="F38" s="293" t="s">
        <v>240</v>
      </c>
      <c r="G38" s="200">
        <v>900</v>
      </c>
      <c r="H38" s="200">
        <f>'RESIDENT DISTRICT'!$D$8</f>
        <v>0</v>
      </c>
      <c r="I38" s="200">
        <f t="shared" si="3"/>
        <v>-900</v>
      </c>
      <c r="J38" s="201">
        <f t="shared" si="4"/>
        <v>-1</v>
      </c>
      <c r="K38" s="200" t="str">
        <f t="shared" si="5"/>
        <v>n</v>
      </c>
    </row>
    <row r="39" spans="1:11" s="155" customFormat="1" ht="11.25">
      <c r="A39" s="288">
        <v>46802</v>
      </c>
      <c r="B39" s="156" t="s">
        <v>997</v>
      </c>
      <c r="C39" s="289" t="s">
        <v>1098</v>
      </c>
      <c r="D39" s="289" t="s">
        <v>102</v>
      </c>
      <c r="E39" s="289">
        <v>400</v>
      </c>
      <c r="F39" s="157"/>
      <c r="G39" s="200">
        <v>203.045</v>
      </c>
      <c r="H39" s="200">
        <f>'RESIDENT DISTRICT'!$D$8</f>
        <v>0</v>
      </c>
      <c r="I39" s="200">
        <f t="shared" si="3"/>
        <v>-203.045</v>
      </c>
      <c r="J39" s="201">
        <f t="shared" si="4"/>
        <v>-1</v>
      </c>
      <c r="K39" s="200" t="str">
        <f t="shared" si="5"/>
        <v>n</v>
      </c>
    </row>
    <row r="40" spans="1:11" s="155" customFormat="1" ht="11.25">
      <c r="A40" s="288">
        <v>57802</v>
      </c>
      <c r="B40" s="156" t="s">
        <v>1020</v>
      </c>
      <c r="C40" s="289" t="s">
        <v>103</v>
      </c>
      <c r="D40" s="289" t="s">
        <v>104</v>
      </c>
      <c r="E40" s="289">
        <v>700</v>
      </c>
      <c r="F40" s="157"/>
      <c r="G40" s="200">
        <v>292.498</v>
      </c>
      <c r="H40" s="200">
        <f>'RESIDENT DISTRICT'!$D$8</f>
        <v>0</v>
      </c>
      <c r="I40" s="200">
        <f t="shared" si="3"/>
        <v>-292.498</v>
      </c>
      <c r="J40" s="201">
        <f t="shared" si="4"/>
        <v>-1</v>
      </c>
      <c r="K40" s="200" t="str">
        <f t="shared" si="5"/>
        <v>n</v>
      </c>
    </row>
    <row r="41" spans="1:11" s="155" customFormat="1" ht="11.25">
      <c r="A41" s="288">
        <v>57803</v>
      </c>
      <c r="B41" s="156" t="s">
        <v>1020</v>
      </c>
      <c r="C41" s="289" t="s">
        <v>105</v>
      </c>
      <c r="D41" s="289" t="s">
        <v>106</v>
      </c>
      <c r="E41" s="289">
        <v>1900</v>
      </c>
      <c r="F41" s="157"/>
      <c r="G41" s="200">
        <v>1559.8680000000006</v>
      </c>
      <c r="H41" s="200">
        <f>'RESIDENT DISTRICT'!$D$8</f>
        <v>0</v>
      </c>
      <c r="I41" s="200">
        <f t="shared" si="3"/>
        <v>-1559.8680000000006</v>
      </c>
      <c r="J41" s="201">
        <f t="shared" si="4"/>
        <v>-1</v>
      </c>
      <c r="K41" s="200" t="str">
        <f t="shared" si="5"/>
        <v>n</v>
      </c>
    </row>
    <row r="42" spans="1:11" s="155" customFormat="1" ht="11.25">
      <c r="A42" s="288">
        <v>57804</v>
      </c>
      <c r="B42" s="156" t="s">
        <v>1020</v>
      </c>
      <c r="C42" s="289" t="s">
        <v>1099</v>
      </c>
      <c r="D42" s="289" t="s">
        <v>84</v>
      </c>
      <c r="E42" s="289">
        <v>3050</v>
      </c>
      <c r="F42" s="157"/>
      <c r="G42" s="200">
        <v>1855.1770000000001</v>
      </c>
      <c r="H42" s="200">
        <f>'RESIDENT DISTRICT'!$D$8</f>
        <v>0</v>
      </c>
      <c r="I42" s="200">
        <f t="shared" si="3"/>
        <v>-1855.1770000000001</v>
      </c>
      <c r="J42" s="201">
        <f t="shared" si="4"/>
        <v>-1</v>
      </c>
      <c r="K42" s="200" t="str">
        <f t="shared" si="5"/>
        <v>n</v>
      </c>
    </row>
    <row r="43" spans="1:11" s="155" customFormat="1" ht="11.25">
      <c r="A43" s="288">
        <v>57805</v>
      </c>
      <c r="B43" s="156" t="s">
        <v>1020</v>
      </c>
      <c r="C43" s="289" t="s">
        <v>1100</v>
      </c>
      <c r="D43" s="289" t="s">
        <v>107</v>
      </c>
      <c r="E43" s="289">
        <v>450</v>
      </c>
      <c r="F43" s="157"/>
      <c r="G43" s="200">
        <v>122.715</v>
      </c>
      <c r="H43" s="200">
        <f>'RESIDENT DISTRICT'!$D$8</f>
        <v>0</v>
      </c>
      <c r="I43" s="200">
        <f t="shared" si="3"/>
        <v>-122.715</v>
      </c>
      <c r="J43" s="201">
        <f t="shared" si="4"/>
        <v>-1</v>
      </c>
      <c r="K43" s="200" t="str">
        <f t="shared" si="5"/>
        <v>n</v>
      </c>
    </row>
    <row r="44" spans="1:11" s="155" customFormat="1" ht="11.25">
      <c r="A44" s="288">
        <v>57806</v>
      </c>
      <c r="B44" s="156" t="s">
        <v>1020</v>
      </c>
      <c r="C44" s="289" t="s">
        <v>108</v>
      </c>
      <c r="D44" s="289" t="s">
        <v>109</v>
      </c>
      <c r="E44" s="289">
        <v>2000</v>
      </c>
      <c r="F44" s="157"/>
      <c r="G44" s="200">
        <v>1352.61</v>
      </c>
      <c r="H44" s="200">
        <f>'RESIDENT DISTRICT'!$D$8</f>
        <v>0</v>
      </c>
      <c r="I44" s="200">
        <f t="shared" si="3"/>
        <v>-1352.61</v>
      </c>
      <c r="J44" s="201">
        <f t="shared" si="4"/>
        <v>-1</v>
      </c>
      <c r="K44" s="200" t="str">
        <f t="shared" si="5"/>
        <v>n</v>
      </c>
    </row>
    <row r="45" spans="1:11" s="155" customFormat="1" ht="11.25">
      <c r="A45" s="288">
        <v>57807</v>
      </c>
      <c r="B45" s="156" t="s">
        <v>1020</v>
      </c>
      <c r="C45" s="289" t="s">
        <v>110</v>
      </c>
      <c r="D45" s="289" t="s">
        <v>111</v>
      </c>
      <c r="E45" s="289">
        <v>3000</v>
      </c>
      <c r="F45" s="157"/>
      <c r="G45" s="200">
        <v>2716.5209999999997</v>
      </c>
      <c r="H45" s="200">
        <f>'RESIDENT DISTRICT'!$D$8</f>
        <v>0</v>
      </c>
      <c r="I45" s="200">
        <f t="shared" si="3"/>
        <v>-2716.5209999999997</v>
      </c>
      <c r="J45" s="201">
        <f t="shared" si="4"/>
        <v>-1</v>
      </c>
      <c r="K45" s="200" t="str">
        <f t="shared" si="5"/>
        <v>n</v>
      </c>
    </row>
    <row r="46" spans="1:11" s="155" customFormat="1" ht="11.25">
      <c r="A46" s="288">
        <v>57808</v>
      </c>
      <c r="B46" s="156" t="s">
        <v>1020</v>
      </c>
      <c r="C46" s="289" t="s">
        <v>1101</v>
      </c>
      <c r="D46" s="289" t="s">
        <v>112</v>
      </c>
      <c r="E46" s="289">
        <v>1500</v>
      </c>
      <c r="F46" s="157"/>
      <c r="G46" s="200">
        <v>1160.814</v>
      </c>
      <c r="H46" s="200">
        <f>'RESIDENT DISTRICT'!$D$8</f>
        <v>0</v>
      </c>
      <c r="I46" s="200">
        <f t="shared" si="3"/>
        <v>-1160.814</v>
      </c>
      <c r="J46" s="201">
        <f t="shared" si="4"/>
        <v>-1</v>
      </c>
      <c r="K46" s="200" t="str">
        <f t="shared" si="5"/>
        <v>n</v>
      </c>
    </row>
    <row r="47" spans="1:11" s="155" customFormat="1" ht="11.25">
      <c r="A47" s="288">
        <v>57809</v>
      </c>
      <c r="B47" s="156" t="s">
        <v>1020</v>
      </c>
      <c r="C47" s="289" t="s">
        <v>113</v>
      </c>
      <c r="D47" s="289" t="s">
        <v>114</v>
      </c>
      <c r="E47" s="289">
        <v>500</v>
      </c>
      <c r="F47" s="157"/>
      <c r="G47" s="200">
        <v>142.332</v>
      </c>
      <c r="H47" s="200">
        <f>'RESIDENT DISTRICT'!$D$8</f>
        <v>0</v>
      </c>
      <c r="I47" s="200">
        <f t="shared" si="3"/>
        <v>-142.332</v>
      </c>
      <c r="J47" s="201">
        <f t="shared" si="4"/>
        <v>-1</v>
      </c>
      <c r="K47" s="200" t="str">
        <f t="shared" si="5"/>
        <v>n</v>
      </c>
    </row>
    <row r="48" spans="1:11" s="155" customFormat="1" ht="11.25">
      <c r="A48" s="288">
        <v>57810</v>
      </c>
      <c r="B48" s="156" t="s">
        <v>1020</v>
      </c>
      <c r="C48" s="289" t="s">
        <v>115</v>
      </c>
      <c r="D48" s="289" t="s">
        <v>75</v>
      </c>
      <c r="E48" s="289">
        <v>1000</v>
      </c>
      <c r="F48" s="157"/>
      <c r="G48" s="200">
        <v>387.275</v>
      </c>
      <c r="H48" s="200">
        <f>'RESIDENT DISTRICT'!$D$8</f>
        <v>0</v>
      </c>
      <c r="I48" s="200">
        <f t="shared" si="3"/>
        <v>-387.275</v>
      </c>
      <c r="J48" s="201">
        <f t="shared" si="4"/>
        <v>-1</v>
      </c>
      <c r="K48" s="200" t="str">
        <f t="shared" si="5"/>
        <v>n</v>
      </c>
    </row>
    <row r="49" spans="1:11" s="155" customFormat="1" ht="11.25">
      <c r="A49" s="288">
        <v>57811</v>
      </c>
      <c r="B49" s="156" t="s">
        <v>1020</v>
      </c>
      <c r="C49" s="289" t="s">
        <v>1102</v>
      </c>
      <c r="D49" s="289" t="s">
        <v>116</v>
      </c>
      <c r="E49" s="289">
        <v>400</v>
      </c>
      <c r="F49" s="157"/>
      <c r="G49" s="200">
        <v>239.83600000000004</v>
      </c>
      <c r="H49" s="200">
        <f>'RESIDENT DISTRICT'!$D$8</f>
        <v>0</v>
      </c>
      <c r="I49" s="200">
        <f t="shared" si="3"/>
        <v>-239.83600000000004</v>
      </c>
      <c r="J49" s="201">
        <f t="shared" si="4"/>
        <v>-1</v>
      </c>
      <c r="K49" s="200" t="str">
        <f t="shared" si="5"/>
        <v>n</v>
      </c>
    </row>
    <row r="50" spans="1:11" s="155" customFormat="1" ht="11.25">
      <c r="A50" s="288">
        <v>57813</v>
      </c>
      <c r="B50" s="156" t="s">
        <v>1020</v>
      </c>
      <c r="C50" s="289" t="s">
        <v>117</v>
      </c>
      <c r="D50" s="289" t="s">
        <v>854</v>
      </c>
      <c r="E50" s="289">
        <v>1170</v>
      </c>
      <c r="F50" s="157"/>
      <c r="G50" s="200">
        <v>486.133</v>
      </c>
      <c r="H50" s="200">
        <f>'RESIDENT DISTRICT'!$D$8</f>
        <v>0</v>
      </c>
      <c r="I50" s="200">
        <f t="shared" si="3"/>
        <v>-486.133</v>
      </c>
      <c r="J50" s="201">
        <f t="shared" si="4"/>
        <v>-1</v>
      </c>
      <c r="K50" s="200" t="str">
        <f t="shared" si="5"/>
        <v>n</v>
      </c>
    </row>
    <row r="51" spans="1:11" s="155" customFormat="1" ht="11.25">
      <c r="A51" s="288">
        <v>57814</v>
      </c>
      <c r="B51" s="156" t="s">
        <v>1020</v>
      </c>
      <c r="C51" s="289" t="s">
        <v>1103</v>
      </c>
      <c r="D51" s="289" t="s">
        <v>118</v>
      </c>
      <c r="E51" s="289">
        <v>900</v>
      </c>
      <c r="F51" s="157"/>
      <c r="G51" s="200">
        <v>606.07</v>
      </c>
      <c r="H51" s="200">
        <f>'RESIDENT DISTRICT'!$D$8</f>
        <v>0</v>
      </c>
      <c r="I51" s="200">
        <f t="shared" si="3"/>
        <v>-606.07</v>
      </c>
      <c r="J51" s="201">
        <f t="shared" si="4"/>
        <v>-1</v>
      </c>
      <c r="K51" s="200" t="str">
        <f t="shared" si="5"/>
        <v>n</v>
      </c>
    </row>
    <row r="52" spans="1:11" s="155" customFormat="1" ht="11.25">
      <c r="A52" s="288">
        <v>57815</v>
      </c>
      <c r="B52" s="156" t="s">
        <v>1020</v>
      </c>
      <c r="C52" s="289" t="s">
        <v>1104</v>
      </c>
      <c r="D52" s="289" t="s">
        <v>119</v>
      </c>
      <c r="E52" s="289">
        <v>2500</v>
      </c>
      <c r="F52" s="157"/>
      <c r="G52" s="200">
        <v>983.0690000000001</v>
      </c>
      <c r="H52" s="200">
        <f>'RESIDENT DISTRICT'!$D$8</f>
        <v>0</v>
      </c>
      <c r="I52" s="200">
        <f t="shared" si="3"/>
        <v>-983.0690000000001</v>
      </c>
      <c r="J52" s="201">
        <f t="shared" si="4"/>
        <v>-1</v>
      </c>
      <c r="K52" s="200" t="str">
        <f t="shared" si="5"/>
        <v>n</v>
      </c>
    </row>
    <row r="53" spans="1:11" s="155" customFormat="1" ht="11.25">
      <c r="A53" s="288">
        <v>57816</v>
      </c>
      <c r="B53" s="156" t="s">
        <v>1020</v>
      </c>
      <c r="C53" s="289" t="s">
        <v>120</v>
      </c>
      <c r="D53" s="289" t="s">
        <v>121</v>
      </c>
      <c r="E53" s="289">
        <v>1280</v>
      </c>
      <c r="F53" s="157"/>
      <c r="G53" s="200">
        <v>982.5729999999999</v>
      </c>
      <c r="H53" s="200">
        <f>'RESIDENT DISTRICT'!$D$8</f>
        <v>0</v>
      </c>
      <c r="I53" s="200">
        <f t="shared" si="3"/>
        <v>-982.5729999999999</v>
      </c>
      <c r="J53" s="201">
        <f t="shared" si="4"/>
        <v>-1</v>
      </c>
      <c r="K53" s="200" t="str">
        <f t="shared" si="5"/>
        <v>n</v>
      </c>
    </row>
    <row r="54" spans="1:11" s="155" customFormat="1" ht="11.25">
      <c r="A54" s="288">
        <v>57817</v>
      </c>
      <c r="B54" s="156" t="s">
        <v>1020</v>
      </c>
      <c r="C54" s="289" t="s">
        <v>1105</v>
      </c>
      <c r="D54" s="289" t="s">
        <v>122</v>
      </c>
      <c r="E54" s="289">
        <v>1000</v>
      </c>
      <c r="F54" s="157"/>
      <c r="G54" s="200">
        <v>296.82200000000006</v>
      </c>
      <c r="H54" s="200">
        <f>'RESIDENT DISTRICT'!$D$8</f>
        <v>0</v>
      </c>
      <c r="I54" s="200">
        <f t="shared" si="3"/>
        <v>-296.82200000000006</v>
      </c>
      <c r="J54" s="201">
        <f t="shared" si="4"/>
        <v>-1</v>
      </c>
      <c r="K54" s="200" t="str">
        <f t="shared" si="5"/>
        <v>n</v>
      </c>
    </row>
    <row r="55" spans="1:11" s="155" customFormat="1" ht="11.25">
      <c r="A55" s="288">
        <v>57819</v>
      </c>
      <c r="B55" s="156" t="s">
        <v>1020</v>
      </c>
      <c r="C55" s="289" t="s">
        <v>1106</v>
      </c>
      <c r="D55" s="289" t="s">
        <v>123</v>
      </c>
      <c r="E55" s="289">
        <v>200</v>
      </c>
      <c r="F55" s="157"/>
      <c r="G55" s="200">
        <v>76.08</v>
      </c>
      <c r="H55" s="200">
        <f>'RESIDENT DISTRICT'!$D$8</f>
        <v>0</v>
      </c>
      <c r="I55" s="200">
        <f t="shared" si="3"/>
        <v>-76.08</v>
      </c>
      <c r="J55" s="201">
        <f t="shared" si="4"/>
        <v>-1</v>
      </c>
      <c r="K55" s="200" t="str">
        <f t="shared" si="5"/>
        <v>n</v>
      </c>
    </row>
    <row r="56" spans="1:11" s="155" customFormat="1" ht="11.25">
      <c r="A56" s="288">
        <v>57821</v>
      </c>
      <c r="B56" s="156" t="s">
        <v>1020</v>
      </c>
      <c r="C56" s="289" t="s">
        <v>835</v>
      </c>
      <c r="D56" s="289" t="s">
        <v>836</v>
      </c>
      <c r="E56" s="289">
        <v>750</v>
      </c>
      <c r="F56" s="157"/>
      <c r="G56" s="200">
        <v>574.183</v>
      </c>
      <c r="H56" s="200">
        <f>'RESIDENT DISTRICT'!$D$8</f>
        <v>0</v>
      </c>
      <c r="I56" s="200">
        <f t="shared" si="3"/>
        <v>-574.183</v>
      </c>
      <c r="J56" s="201">
        <f t="shared" si="4"/>
        <v>-1</v>
      </c>
      <c r="K56" s="200" t="str">
        <f t="shared" si="5"/>
        <v>n</v>
      </c>
    </row>
    <row r="57" spans="1:11" s="155" customFormat="1" ht="11.25">
      <c r="A57" s="288">
        <v>57825</v>
      </c>
      <c r="B57" s="156" t="s">
        <v>1020</v>
      </c>
      <c r="C57" s="289" t="s">
        <v>1107</v>
      </c>
      <c r="D57" s="289" t="s">
        <v>124</v>
      </c>
      <c r="E57" s="289">
        <v>2200</v>
      </c>
      <c r="F57" s="157"/>
      <c r="G57" s="200">
        <v>753.5959999999999</v>
      </c>
      <c r="H57" s="200">
        <f>'RESIDENT DISTRICT'!$D$8</f>
        <v>0</v>
      </c>
      <c r="I57" s="200">
        <f t="shared" si="3"/>
        <v>-753.5959999999999</v>
      </c>
      <c r="J57" s="201">
        <f t="shared" si="4"/>
        <v>-1</v>
      </c>
      <c r="K57" s="200" t="str">
        <f t="shared" si="5"/>
        <v>n</v>
      </c>
    </row>
    <row r="58" spans="1:11" s="155" customFormat="1" ht="11.25">
      <c r="A58" s="288">
        <v>57827</v>
      </c>
      <c r="B58" s="156" t="s">
        <v>1020</v>
      </c>
      <c r="C58" s="289" t="s">
        <v>125</v>
      </c>
      <c r="D58" s="289" t="s">
        <v>114</v>
      </c>
      <c r="E58" s="289">
        <v>500</v>
      </c>
      <c r="F58" s="157"/>
      <c r="G58" s="200">
        <v>248.557</v>
      </c>
      <c r="H58" s="200">
        <f>'RESIDENT DISTRICT'!$D$8</f>
        <v>0</v>
      </c>
      <c r="I58" s="200">
        <f t="shared" si="3"/>
        <v>-248.557</v>
      </c>
      <c r="J58" s="201">
        <f t="shared" si="4"/>
        <v>-1</v>
      </c>
      <c r="K58" s="200" t="str">
        <f t="shared" si="5"/>
        <v>n</v>
      </c>
    </row>
    <row r="59" spans="1:11" s="155" customFormat="1" ht="11.25">
      <c r="A59" s="288">
        <v>57828</v>
      </c>
      <c r="B59" s="156" t="s">
        <v>1020</v>
      </c>
      <c r="C59" s="289" t="s">
        <v>790</v>
      </c>
      <c r="D59" s="289" t="s">
        <v>126</v>
      </c>
      <c r="E59" s="289">
        <v>3000</v>
      </c>
      <c r="F59" s="157"/>
      <c r="G59" s="200">
        <v>1686.2959999999996</v>
      </c>
      <c r="H59" s="200">
        <f>'RESIDENT DISTRICT'!$D$8</f>
        <v>0</v>
      </c>
      <c r="I59" s="200">
        <f t="shared" si="3"/>
        <v>-1686.2959999999996</v>
      </c>
      <c r="J59" s="201">
        <f t="shared" si="4"/>
        <v>-1</v>
      </c>
      <c r="K59" s="200" t="str">
        <f t="shared" si="5"/>
        <v>n</v>
      </c>
    </row>
    <row r="60" spans="1:11" s="155" customFormat="1" ht="11.25">
      <c r="A60" s="288">
        <v>57829</v>
      </c>
      <c r="B60" s="156" t="s">
        <v>1020</v>
      </c>
      <c r="C60" s="289" t="s">
        <v>1108</v>
      </c>
      <c r="D60" s="289" t="s">
        <v>127</v>
      </c>
      <c r="E60" s="289">
        <v>1500</v>
      </c>
      <c r="F60" s="157"/>
      <c r="G60" s="200">
        <v>866.5259999999998</v>
      </c>
      <c r="H60" s="200">
        <f>'RESIDENT DISTRICT'!$D$8</f>
        <v>0</v>
      </c>
      <c r="I60" s="200">
        <f t="shared" si="3"/>
        <v>-866.5259999999998</v>
      </c>
      <c r="J60" s="201">
        <f t="shared" si="4"/>
        <v>-1</v>
      </c>
      <c r="K60" s="200" t="str">
        <f t="shared" si="5"/>
        <v>n</v>
      </c>
    </row>
    <row r="61" spans="1:11" s="155" customFormat="1" ht="11.25">
      <c r="A61" s="288">
        <v>57830</v>
      </c>
      <c r="B61" s="156" t="s">
        <v>1020</v>
      </c>
      <c r="C61" s="289" t="s">
        <v>1109</v>
      </c>
      <c r="D61" s="289" t="s">
        <v>127</v>
      </c>
      <c r="E61" s="289">
        <v>1500</v>
      </c>
      <c r="F61" s="157"/>
      <c r="G61" s="200">
        <v>604.027</v>
      </c>
      <c r="H61" s="200">
        <f>'RESIDENT DISTRICT'!$D$8</f>
        <v>0</v>
      </c>
      <c r="I61" s="200">
        <f t="shared" si="3"/>
        <v>-604.027</v>
      </c>
      <c r="J61" s="201">
        <f t="shared" si="4"/>
        <v>-1</v>
      </c>
      <c r="K61" s="200" t="str">
        <f t="shared" si="5"/>
        <v>n</v>
      </c>
    </row>
    <row r="62" spans="1:11" s="155" customFormat="1" ht="11.25">
      <c r="A62" s="288">
        <v>57831</v>
      </c>
      <c r="B62" s="156" t="s">
        <v>1020</v>
      </c>
      <c r="C62" s="289" t="s">
        <v>1110</v>
      </c>
      <c r="D62" s="289" t="s">
        <v>128</v>
      </c>
      <c r="E62" s="289">
        <v>1200</v>
      </c>
      <c r="F62" s="157"/>
      <c r="G62" s="200">
        <v>572.437</v>
      </c>
      <c r="H62" s="200">
        <f>'RESIDENT DISTRICT'!$D$8</f>
        <v>0</v>
      </c>
      <c r="I62" s="200">
        <f t="shared" si="3"/>
        <v>-572.437</v>
      </c>
      <c r="J62" s="201">
        <f t="shared" si="4"/>
        <v>-1</v>
      </c>
      <c r="K62" s="200" t="str">
        <f t="shared" si="5"/>
        <v>n</v>
      </c>
    </row>
    <row r="63" spans="1:11" s="155" customFormat="1" ht="11.25">
      <c r="A63" s="288">
        <v>57832</v>
      </c>
      <c r="B63" s="156" t="s">
        <v>1020</v>
      </c>
      <c r="C63" s="289" t="s">
        <v>1111</v>
      </c>
      <c r="D63" s="289" t="s">
        <v>129</v>
      </c>
      <c r="E63" s="289">
        <v>400</v>
      </c>
      <c r="F63" s="157"/>
      <c r="G63" s="200">
        <v>195.356</v>
      </c>
      <c r="H63" s="200">
        <f>'RESIDENT DISTRICT'!$D$8</f>
        <v>0</v>
      </c>
      <c r="I63" s="200">
        <f t="shared" si="3"/>
        <v>-195.356</v>
      </c>
      <c r="J63" s="201">
        <f t="shared" si="4"/>
        <v>-1</v>
      </c>
      <c r="K63" s="200" t="str">
        <f t="shared" si="5"/>
        <v>n</v>
      </c>
    </row>
    <row r="64" spans="1:11" s="155" customFormat="1" ht="11.25">
      <c r="A64" s="288">
        <v>57833</v>
      </c>
      <c r="B64" s="156" t="s">
        <v>1020</v>
      </c>
      <c r="C64" s="289" t="s">
        <v>1112</v>
      </c>
      <c r="D64" s="289" t="s">
        <v>130</v>
      </c>
      <c r="E64" s="289">
        <v>500</v>
      </c>
      <c r="F64" s="157"/>
      <c r="G64" s="200">
        <v>134.983</v>
      </c>
      <c r="H64" s="200">
        <f>'RESIDENT DISTRICT'!$D$8</f>
        <v>0</v>
      </c>
      <c r="I64" s="200">
        <f t="shared" si="3"/>
        <v>-134.983</v>
      </c>
      <c r="J64" s="201">
        <f t="shared" si="4"/>
        <v>-1</v>
      </c>
      <c r="K64" s="200" t="str">
        <f t="shared" si="5"/>
        <v>n</v>
      </c>
    </row>
    <row r="65" spans="1:11" s="155" customFormat="1" ht="11.25">
      <c r="A65" s="288">
        <v>57834</v>
      </c>
      <c r="B65" s="156" t="s">
        <v>997</v>
      </c>
      <c r="C65" s="289" t="s">
        <v>131</v>
      </c>
      <c r="D65" s="289" t="s">
        <v>132</v>
      </c>
      <c r="E65" s="289">
        <v>600</v>
      </c>
      <c r="F65" s="157"/>
      <c r="G65" s="200">
        <v>276.785</v>
      </c>
      <c r="H65" s="200">
        <f>'RESIDENT DISTRICT'!$D$8</f>
        <v>0</v>
      </c>
      <c r="I65" s="200">
        <f t="shared" si="3"/>
        <v>-276.785</v>
      </c>
      <c r="J65" s="201">
        <f t="shared" si="4"/>
        <v>-1</v>
      </c>
      <c r="K65" s="200" t="str">
        <f t="shared" si="5"/>
        <v>n</v>
      </c>
    </row>
    <row r="66" spans="1:11" s="155" customFormat="1" ht="11.25">
      <c r="A66" s="288">
        <v>57835</v>
      </c>
      <c r="B66" s="156" t="s">
        <v>997</v>
      </c>
      <c r="C66" s="289" t="s">
        <v>1113</v>
      </c>
      <c r="D66" s="289" t="s">
        <v>133</v>
      </c>
      <c r="E66" s="289">
        <v>1000</v>
      </c>
      <c r="F66" s="157"/>
      <c r="G66" s="200">
        <v>493.41</v>
      </c>
      <c r="H66" s="200">
        <f>'RESIDENT DISTRICT'!$D$8</f>
        <v>0</v>
      </c>
      <c r="I66" s="200">
        <f aca="true" t="shared" si="6" ref="I66:I97">H66-G66</f>
        <v>-493.41</v>
      </c>
      <c r="J66" s="201">
        <f aca="true" t="shared" si="7" ref="J66:J97">I66/G66</f>
        <v>-1</v>
      </c>
      <c r="K66" s="200" t="str">
        <f aca="true" t="shared" si="8" ref="K66:K97">IF(ISERROR(J66),0,IF(J66&gt;0.25,"y","n"))</f>
        <v>n</v>
      </c>
    </row>
    <row r="67" spans="1:11" s="155" customFormat="1" ht="11.25">
      <c r="A67" s="288">
        <v>57836</v>
      </c>
      <c r="B67" s="156" t="s">
        <v>997</v>
      </c>
      <c r="C67" s="289" t="s">
        <v>134</v>
      </c>
      <c r="D67" s="289" t="s">
        <v>135</v>
      </c>
      <c r="E67" s="289">
        <v>240</v>
      </c>
      <c r="F67" s="157"/>
      <c r="G67" s="200">
        <v>220.015</v>
      </c>
      <c r="H67" s="200">
        <f>'RESIDENT DISTRICT'!$D$8</f>
        <v>0</v>
      </c>
      <c r="I67" s="200">
        <f t="shared" si="6"/>
        <v>-220.015</v>
      </c>
      <c r="J67" s="201">
        <f t="shared" si="7"/>
        <v>-1</v>
      </c>
      <c r="K67" s="200" t="str">
        <f t="shared" si="8"/>
        <v>n</v>
      </c>
    </row>
    <row r="68" spans="1:11" s="155" customFormat="1" ht="11.25">
      <c r="A68" s="288">
        <v>57837</v>
      </c>
      <c r="B68" s="156" t="s">
        <v>997</v>
      </c>
      <c r="C68" s="289" t="s">
        <v>1114</v>
      </c>
      <c r="D68" s="289" t="s">
        <v>94</v>
      </c>
      <c r="E68" s="289">
        <v>360</v>
      </c>
      <c r="F68" s="157"/>
      <c r="G68" s="200">
        <v>181.445</v>
      </c>
      <c r="H68" s="200">
        <f>'RESIDENT DISTRICT'!$D$8</f>
        <v>0</v>
      </c>
      <c r="I68" s="200">
        <f t="shared" si="6"/>
        <v>-181.445</v>
      </c>
      <c r="J68" s="201">
        <f t="shared" si="7"/>
        <v>-1</v>
      </c>
      <c r="K68" s="200" t="str">
        <f t="shared" si="8"/>
        <v>n</v>
      </c>
    </row>
    <row r="69" spans="1:11" s="155" customFormat="1" ht="11.25">
      <c r="A69" s="288">
        <v>57838</v>
      </c>
      <c r="B69" s="156" t="s">
        <v>997</v>
      </c>
      <c r="C69" s="289" t="s">
        <v>791</v>
      </c>
      <c r="D69" s="289" t="s">
        <v>106</v>
      </c>
      <c r="E69" s="289">
        <v>1400</v>
      </c>
      <c r="F69" s="157"/>
      <c r="G69" s="200">
        <v>859.496</v>
      </c>
      <c r="H69" s="200">
        <f>'RESIDENT DISTRICT'!$D$8</f>
        <v>0</v>
      </c>
      <c r="I69" s="200">
        <f t="shared" si="6"/>
        <v>-859.496</v>
      </c>
      <c r="J69" s="201">
        <f t="shared" si="7"/>
        <v>-1</v>
      </c>
      <c r="K69" s="200" t="str">
        <f t="shared" si="8"/>
        <v>n</v>
      </c>
    </row>
    <row r="70" spans="1:11" s="155" customFormat="1" ht="11.25">
      <c r="A70" s="288">
        <v>57839</v>
      </c>
      <c r="B70" s="156" t="s">
        <v>997</v>
      </c>
      <c r="C70" s="289" t="s">
        <v>999</v>
      </c>
      <c r="D70" s="289" t="s">
        <v>136</v>
      </c>
      <c r="E70" s="289">
        <v>400</v>
      </c>
      <c r="F70" s="157"/>
      <c r="G70" s="200">
        <v>258.906</v>
      </c>
      <c r="H70" s="200">
        <f>'RESIDENT DISTRICT'!$D$8</f>
        <v>0</v>
      </c>
      <c r="I70" s="200">
        <f t="shared" si="6"/>
        <v>-258.906</v>
      </c>
      <c r="J70" s="201">
        <f t="shared" si="7"/>
        <v>-1</v>
      </c>
      <c r="K70" s="200" t="str">
        <f t="shared" si="8"/>
        <v>n</v>
      </c>
    </row>
    <row r="71" spans="1:11" s="155" customFormat="1" ht="11.25">
      <c r="A71" s="288">
        <v>57840</v>
      </c>
      <c r="B71" s="156" t="s">
        <v>997</v>
      </c>
      <c r="C71" s="289" t="s">
        <v>137</v>
      </c>
      <c r="D71" s="289" t="s">
        <v>856</v>
      </c>
      <c r="E71" s="289">
        <v>400</v>
      </c>
      <c r="F71" s="157"/>
      <c r="G71" s="200">
        <v>303.757</v>
      </c>
      <c r="H71" s="200">
        <f>'RESIDENT DISTRICT'!$D$8</f>
        <v>0</v>
      </c>
      <c r="I71" s="200">
        <f t="shared" si="6"/>
        <v>-303.757</v>
      </c>
      <c r="J71" s="201">
        <f t="shared" si="7"/>
        <v>-1</v>
      </c>
      <c r="K71" s="200" t="str">
        <f t="shared" si="8"/>
        <v>n</v>
      </c>
    </row>
    <row r="72" spans="1:11" s="155" customFormat="1" ht="11.25">
      <c r="A72" s="290">
        <v>57841</v>
      </c>
      <c r="B72" s="291" t="s">
        <v>997</v>
      </c>
      <c r="C72" s="292" t="s">
        <v>242</v>
      </c>
      <c r="D72" s="292" t="s">
        <v>243</v>
      </c>
      <c r="E72" s="289">
        <v>500</v>
      </c>
      <c r="F72" s="293" t="s">
        <v>240</v>
      </c>
      <c r="G72" s="200">
        <v>500</v>
      </c>
      <c r="H72" s="200">
        <f>'RESIDENT DISTRICT'!$D$8</f>
        <v>0</v>
      </c>
      <c r="I72" s="200">
        <f t="shared" si="6"/>
        <v>-500</v>
      </c>
      <c r="J72" s="201">
        <f t="shared" si="7"/>
        <v>-1</v>
      </c>
      <c r="K72" s="200" t="str">
        <f t="shared" si="8"/>
        <v>n</v>
      </c>
    </row>
    <row r="73" spans="1:11" s="155" customFormat="1" ht="11.25">
      <c r="A73" s="290">
        <v>57842</v>
      </c>
      <c r="B73" s="291" t="s">
        <v>997</v>
      </c>
      <c r="C73" s="292" t="s">
        <v>244</v>
      </c>
      <c r="D73" s="292" t="s">
        <v>245</v>
      </c>
      <c r="E73" s="289">
        <v>1200</v>
      </c>
      <c r="F73" s="293" t="s">
        <v>240</v>
      </c>
      <c r="G73" s="200">
        <v>1200</v>
      </c>
      <c r="H73" s="200">
        <f>'RESIDENT DISTRICT'!$D$8</f>
        <v>0</v>
      </c>
      <c r="I73" s="200">
        <f t="shared" si="6"/>
        <v>-1200</v>
      </c>
      <c r="J73" s="201">
        <f t="shared" si="7"/>
        <v>-1</v>
      </c>
      <c r="K73" s="200" t="str">
        <f t="shared" si="8"/>
        <v>n</v>
      </c>
    </row>
    <row r="74" spans="1:11" s="155" customFormat="1" ht="11.25">
      <c r="A74" s="290">
        <v>57843</v>
      </c>
      <c r="B74" s="291" t="s">
        <v>997</v>
      </c>
      <c r="C74" s="292" t="s">
        <v>246</v>
      </c>
      <c r="D74" s="292" t="s">
        <v>245</v>
      </c>
      <c r="E74" s="289">
        <v>2400</v>
      </c>
      <c r="F74" s="293" t="s">
        <v>240</v>
      </c>
      <c r="G74" s="200">
        <v>2400</v>
      </c>
      <c r="H74" s="200">
        <f>'RESIDENT DISTRICT'!$D$8</f>
        <v>0</v>
      </c>
      <c r="I74" s="200">
        <f t="shared" si="6"/>
        <v>-2400</v>
      </c>
      <c r="J74" s="201">
        <f t="shared" si="7"/>
        <v>-1</v>
      </c>
      <c r="K74" s="200" t="str">
        <f t="shared" si="8"/>
        <v>n</v>
      </c>
    </row>
    <row r="75" spans="1:11" s="155" customFormat="1" ht="11.25">
      <c r="A75" s="288">
        <v>61802</v>
      </c>
      <c r="B75" s="156" t="s">
        <v>1020</v>
      </c>
      <c r="C75" s="289" t="s">
        <v>138</v>
      </c>
      <c r="D75" s="289" t="s">
        <v>139</v>
      </c>
      <c r="E75" s="289">
        <v>800</v>
      </c>
      <c r="F75" s="157"/>
      <c r="G75" s="200">
        <v>610.32</v>
      </c>
      <c r="H75" s="200">
        <f>'RESIDENT DISTRICT'!$D$8</f>
        <v>0</v>
      </c>
      <c r="I75" s="200">
        <f t="shared" si="6"/>
        <v>-610.32</v>
      </c>
      <c r="J75" s="201">
        <f t="shared" si="7"/>
        <v>-1</v>
      </c>
      <c r="K75" s="200" t="str">
        <f t="shared" si="8"/>
        <v>n</v>
      </c>
    </row>
    <row r="76" spans="1:11" s="155" customFormat="1" ht="11.25">
      <c r="A76" s="288">
        <v>68801</v>
      </c>
      <c r="B76" s="156" t="s">
        <v>997</v>
      </c>
      <c r="C76" s="289" t="s">
        <v>941</v>
      </c>
      <c r="D76" s="289" t="s">
        <v>140</v>
      </c>
      <c r="E76" s="289">
        <v>400</v>
      </c>
      <c r="F76" s="157"/>
      <c r="G76" s="200">
        <v>148.386</v>
      </c>
      <c r="H76" s="200">
        <f>'RESIDENT DISTRICT'!$D$8</f>
        <v>0</v>
      </c>
      <c r="I76" s="200">
        <f t="shared" si="6"/>
        <v>-148.386</v>
      </c>
      <c r="J76" s="201">
        <f t="shared" si="7"/>
        <v>-1</v>
      </c>
      <c r="K76" s="200" t="str">
        <f t="shared" si="8"/>
        <v>n</v>
      </c>
    </row>
    <row r="77" spans="1:11" s="155" customFormat="1" ht="11.25">
      <c r="A77" s="288">
        <v>70801</v>
      </c>
      <c r="B77" s="156" t="s">
        <v>1020</v>
      </c>
      <c r="C77" s="289" t="s">
        <v>1115</v>
      </c>
      <c r="D77" s="289" t="s">
        <v>119</v>
      </c>
      <c r="E77" s="289">
        <v>1500</v>
      </c>
      <c r="F77" s="157"/>
      <c r="G77" s="200">
        <v>224.88</v>
      </c>
      <c r="H77" s="200">
        <f>'RESIDENT DISTRICT'!$D$8</f>
        <v>0</v>
      </c>
      <c r="I77" s="200">
        <f t="shared" si="6"/>
        <v>-224.88</v>
      </c>
      <c r="J77" s="201">
        <f t="shared" si="7"/>
        <v>-1</v>
      </c>
      <c r="K77" s="200" t="str">
        <f t="shared" si="8"/>
        <v>n</v>
      </c>
    </row>
    <row r="78" spans="1:11" s="155" customFormat="1" ht="11.25">
      <c r="A78" s="288">
        <v>71801</v>
      </c>
      <c r="B78" s="156" t="s">
        <v>1020</v>
      </c>
      <c r="C78" s="289" t="s">
        <v>792</v>
      </c>
      <c r="D78" s="289" t="s">
        <v>141</v>
      </c>
      <c r="E78" s="289">
        <v>1300</v>
      </c>
      <c r="F78" s="157"/>
      <c r="G78" s="200">
        <v>549.191</v>
      </c>
      <c r="H78" s="200">
        <f>'RESIDENT DISTRICT'!$D$8</f>
        <v>0</v>
      </c>
      <c r="I78" s="200">
        <f t="shared" si="6"/>
        <v>-549.191</v>
      </c>
      <c r="J78" s="201">
        <f t="shared" si="7"/>
        <v>-1</v>
      </c>
      <c r="K78" s="200" t="str">
        <f t="shared" si="8"/>
        <v>n</v>
      </c>
    </row>
    <row r="79" spans="1:11" s="155" customFormat="1" ht="11.25">
      <c r="A79" s="288">
        <v>71803</v>
      </c>
      <c r="B79" s="156" t="s">
        <v>1020</v>
      </c>
      <c r="C79" s="289" t="s">
        <v>142</v>
      </c>
      <c r="D79" s="289" t="s">
        <v>143</v>
      </c>
      <c r="E79" s="289">
        <v>800</v>
      </c>
      <c r="F79" s="157"/>
      <c r="G79" s="200">
        <v>253.509</v>
      </c>
      <c r="H79" s="200">
        <f>'RESIDENT DISTRICT'!$D$8</f>
        <v>0</v>
      </c>
      <c r="I79" s="200">
        <f t="shared" si="6"/>
        <v>-253.509</v>
      </c>
      <c r="J79" s="201">
        <f t="shared" si="7"/>
        <v>-1</v>
      </c>
      <c r="K79" s="200" t="str">
        <f t="shared" si="8"/>
        <v>n</v>
      </c>
    </row>
    <row r="80" spans="1:11" s="155" customFormat="1" ht="11.25">
      <c r="A80" s="288">
        <v>71804</v>
      </c>
      <c r="B80" s="156" t="s">
        <v>1020</v>
      </c>
      <c r="C80" s="289" t="s">
        <v>144</v>
      </c>
      <c r="D80" s="289" t="s">
        <v>145</v>
      </c>
      <c r="E80" s="289">
        <v>500</v>
      </c>
      <c r="F80" s="157"/>
      <c r="G80" s="200">
        <v>414.052</v>
      </c>
      <c r="H80" s="200">
        <f>'RESIDENT DISTRICT'!$D$8</f>
        <v>0</v>
      </c>
      <c r="I80" s="200">
        <f t="shared" si="6"/>
        <v>-414.052</v>
      </c>
      <c r="J80" s="201">
        <f t="shared" si="7"/>
        <v>-1</v>
      </c>
      <c r="K80" s="200" t="str">
        <f t="shared" si="8"/>
        <v>n</v>
      </c>
    </row>
    <row r="81" spans="1:11" s="155" customFormat="1" ht="11.25">
      <c r="A81" s="288">
        <v>71805</v>
      </c>
      <c r="B81" s="156" t="s">
        <v>1020</v>
      </c>
      <c r="C81" s="289" t="s">
        <v>1121</v>
      </c>
      <c r="D81" s="289" t="s">
        <v>127</v>
      </c>
      <c r="E81" s="289">
        <v>1500</v>
      </c>
      <c r="F81" s="157"/>
      <c r="G81" s="200">
        <v>355.019</v>
      </c>
      <c r="H81" s="200">
        <f>'RESIDENT DISTRICT'!$D$8</f>
        <v>0</v>
      </c>
      <c r="I81" s="200">
        <f t="shared" si="6"/>
        <v>-355.019</v>
      </c>
      <c r="J81" s="201">
        <f t="shared" si="7"/>
        <v>-1</v>
      </c>
      <c r="K81" s="200" t="str">
        <f t="shared" si="8"/>
        <v>n</v>
      </c>
    </row>
    <row r="82" spans="1:11" s="155" customFormat="1" ht="11.25">
      <c r="A82" s="288">
        <v>71806</v>
      </c>
      <c r="B82" s="156" t="s">
        <v>997</v>
      </c>
      <c r="C82" s="289" t="s">
        <v>146</v>
      </c>
      <c r="D82" s="289" t="s">
        <v>98</v>
      </c>
      <c r="E82" s="289">
        <v>800</v>
      </c>
      <c r="F82" s="157"/>
      <c r="G82" s="200">
        <v>439.862</v>
      </c>
      <c r="H82" s="200">
        <f>'RESIDENT DISTRICT'!$D$8</f>
        <v>0</v>
      </c>
      <c r="I82" s="200">
        <f t="shared" si="6"/>
        <v>-439.862</v>
      </c>
      <c r="J82" s="201">
        <f t="shared" si="7"/>
        <v>-1</v>
      </c>
      <c r="K82" s="200" t="str">
        <f t="shared" si="8"/>
        <v>n</v>
      </c>
    </row>
    <row r="83" spans="1:11" s="155" customFormat="1" ht="11.25">
      <c r="A83" s="288">
        <v>71807</v>
      </c>
      <c r="B83" s="156" t="s">
        <v>997</v>
      </c>
      <c r="C83" s="289" t="s">
        <v>838</v>
      </c>
      <c r="D83" s="289" t="s">
        <v>839</v>
      </c>
      <c r="E83" s="289">
        <v>224</v>
      </c>
      <c r="F83" s="157"/>
      <c r="G83" s="200">
        <v>68.213</v>
      </c>
      <c r="H83" s="200">
        <f>'RESIDENT DISTRICT'!$D$8</f>
        <v>0</v>
      </c>
      <c r="I83" s="200">
        <f t="shared" si="6"/>
        <v>-68.213</v>
      </c>
      <c r="J83" s="201">
        <f t="shared" si="7"/>
        <v>-1</v>
      </c>
      <c r="K83" s="200" t="str">
        <f t="shared" si="8"/>
        <v>n</v>
      </c>
    </row>
    <row r="84" spans="1:11" s="155" customFormat="1" ht="11.25">
      <c r="A84" s="288">
        <v>72801</v>
      </c>
      <c r="B84" s="156" t="s">
        <v>1020</v>
      </c>
      <c r="C84" s="289" t="s">
        <v>147</v>
      </c>
      <c r="D84" s="289" t="s">
        <v>148</v>
      </c>
      <c r="E84" s="289">
        <v>500</v>
      </c>
      <c r="F84" s="157"/>
      <c r="G84" s="200">
        <v>155.22</v>
      </c>
      <c r="H84" s="200">
        <f>'RESIDENT DISTRICT'!$D$8</f>
        <v>0</v>
      </c>
      <c r="I84" s="200">
        <f t="shared" si="6"/>
        <v>-155.22</v>
      </c>
      <c r="J84" s="201">
        <f t="shared" si="7"/>
        <v>-1</v>
      </c>
      <c r="K84" s="200" t="str">
        <f t="shared" si="8"/>
        <v>n</v>
      </c>
    </row>
    <row r="85" spans="1:11" s="155" customFormat="1" ht="11.25">
      <c r="A85" s="288">
        <v>72802</v>
      </c>
      <c r="B85" s="156" t="s">
        <v>1020</v>
      </c>
      <c r="C85" s="289" t="s">
        <v>149</v>
      </c>
      <c r="D85" s="289" t="s">
        <v>150</v>
      </c>
      <c r="E85" s="289">
        <v>245</v>
      </c>
      <c r="F85" s="157"/>
      <c r="G85" s="200">
        <v>72.681</v>
      </c>
      <c r="H85" s="200">
        <f>'RESIDENT DISTRICT'!$D$8</f>
        <v>0</v>
      </c>
      <c r="I85" s="200">
        <f t="shared" si="6"/>
        <v>-72.681</v>
      </c>
      <c r="J85" s="201">
        <f t="shared" si="7"/>
        <v>-1</v>
      </c>
      <c r="K85" s="200" t="str">
        <f t="shared" si="8"/>
        <v>n</v>
      </c>
    </row>
    <row r="86" spans="1:11" s="155" customFormat="1" ht="22.5">
      <c r="A86" s="288">
        <v>84801</v>
      </c>
      <c r="B86" s="156" t="s">
        <v>1020</v>
      </c>
      <c r="C86" s="289" t="s">
        <v>1122</v>
      </c>
      <c r="D86" s="289" t="s">
        <v>151</v>
      </c>
      <c r="E86" s="289">
        <v>700</v>
      </c>
      <c r="F86" s="157"/>
      <c r="G86" s="200">
        <v>450.662</v>
      </c>
      <c r="H86" s="200">
        <f>'RESIDENT DISTRICT'!$D$8</f>
        <v>0</v>
      </c>
      <c r="I86" s="200">
        <f t="shared" si="6"/>
        <v>-450.662</v>
      </c>
      <c r="J86" s="201">
        <f t="shared" si="7"/>
        <v>-1</v>
      </c>
      <c r="K86" s="200" t="str">
        <f t="shared" si="8"/>
        <v>n</v>
      </c>
    </row>
    <row r="87" spans="1:11" s="155" customFormat="1" ht="11.25">
      <c r="A87" s="288">
        <v>84802</v>
      </c>
      <c r="B87" s="156" t="s">
        <v>1020</v>
      </c>
      <c r="C87" s="289" t="s">
        <v>152</v>
      </c>
      <c r="D87" s="289" t="s">
        <v>153</v>
      </c>
      <c r="E87" s="289">
        <v>1000</v>
      </c>
      <c r="F87" s="157"/>
      <c r="G87" s="200">
        <v>309.4</v>
      </c>
      <c r="H87" s="200">
        <f>'RESIDENT DISTRICT'!$D$8</f>
        <v>0</v>
      </c>
      <c r="I87" s="200">
        <f t="shared" si="6"/>
        <v>-309.4</v>
      </c>
      <c r="J87" s="201">
        <f t="shared" si="7"/>
        <v>-1</v>
      </c>
      <c r="K87" s="200" t="str">
        <f t="shared" si="8"/>
        <v>n</v>
      </c>
    </row>
    <row r="88" spans="1:11" s="155" customFormat="1" ht="11.25">
      <c r="A88" s="288">
        <v>84804</v>
      </c>
      <c r="B88" s="156" t="s">
        <v>997</v>
      </c>
      <c r="C88" s="289" t="s">
        <v>840</v>
      </c>
      <c r="D88" s="289" t="s">
        <v>841</v>
      </c>
      <c r="E88" s="289">
        <v>300</v>
      </c>
      <c r="F88" s="157"/>
      <c r="G88" s="200">
        <v>114.204</v>
      </c>
      <c r="H88" s="200">
        <f>'RESIDENT DISTRICT'!$D$8</f>
        <v>0</v>
      </c>
      <c r="I88" s="200">
        <f t="shared" si="6"/>
        <v>-114.204</v>
      </c>
      <c r="J88" s="201">
        <f t="shared" si="7"/>
        <v>-1</v>
      </c>
      <c r="K88" s="200" t="str">
        <f t="shared" si="8"/>
        <v>n</v>
      </c>
    </row>
    <row r="89" spans="1:11" s="155" customFormat="1" ht="11.25">
      <c r="A89" s="288">
        <v>92801</v>
      </c>
      <c r="B89" s="156" t="s">
        <v>1020</v>
      </c>
      <c r="C89" s="289" t="s">
        <v>154</v>
      </c>
      <c r="D89" s="289" t="s">
        <v>155</v>
      </c>
      <c r="E89" s="289">
        <v>500</v>
      </c>
      <c r="F89" s="157"/>
      <c r="G89" s="200">
        <v>139.85</v>
      </c>
      <c r="H89" s="200">
        <f>'RESIDENT DISTRICT'!$D$8</f>
        <v>0</v>
      </c>
      <c r="I89" s="200">
        <f t="shared" si="6"/>
        <v>-139.85</v>
      </c>
      <c r="J89" s="201">
        <f t="shared" si="7"/>
        <v>-1</v>
      </c>
      <c r="K89" s="200" t="str">
        <f t="shared" si="8"/>
        <v>n</v>
      </c>
    </row>
    <row r="90" spans="1:11" s="155" customFormat="1" ht="11.25">
      <c r="A90" s="288">
        <v>101801</v>
      </c>
      <c r="B90" s="156" t="s">
        <v>1020</v>
      </c>
      <c r="C90" s="289" t="s">
        <v>1123</v>
      </c>
      <c r="D90" s="289" t="s">
        <v>156</v>
      </c>
      <c r="E90" s="289">
        <v>620</v>
      </c>
      <c r="F90" s="157"/>
      <c r="G90" s="200">
        <v>170.182</v>
      </c>
      <c r="H90" s="200">
        <f>'RESIDENT DISTRICT'!$D$8</f>
        <v>0</v>
      </c>
      <c r="I90" s="200">
        <f t="shared" si="6"/>
        <v>-170.182</v>
      </c>
      <c r="J90" s="201">
        <f t="shared" si="7"/>
        <v>-1</v>
      </c>
      <c r="K90" s="200" t="str">
        <f t="shared" si="8"/>
        <v>n</v>
      </c>
    </row>
    <row r="91" spans="1:11" s="155" customFormat="1" ht="11.25">
      <c r="A91" s="288">
        <v>101802</v>
      </c>
      <c r="B91" s="156" t="s">
        <v>1020</v>
      </c>
      <c r="C91" s="289" t="s">
        <v>1124</v>
      </c>
      <c r="D91" s="289" t="s">
        <v>157</v>
      </c>
      <c r="E91" s="289">
        <v>1500</v>
      </c>
      <c r="F91" s="157"/>
      <c r="G91" s="200">
        <v>526.382</v>
      </c>
      <c r="H91" s="200">
        <f>'RESIDENT DISTRICT'!$D$8</f>
        <v>0</v>
      </c>
      <c r="I91" s="200">
        <f t="shared" si="6"/>
        <v>-526.382</v>
      </c>
      <c r="J91" s="201">
        <f t="shared" si="7"/>
        <v>-1</v>
      </c>
      <c r="K91" s="200" t="str">
        <f t="shared" si="8"/>
        <v>n</v>
      </c>
    </row>
    <row r="92" spans="1:11" s="155" customFormat="1" ht="11.25">
      <c r="A92" s="288">
        <v>101803</v>
      </c>
      <c r="B92" s="156" t="s">
        <v>1020</v>
      </c>
      <c r="C92" s="289" t="s">
        <v>0</v>
      </c>
      <c r="D92" s="289" t="s">
        <v>158</v>
      </c>
      <c r="E92" s="289">
        <v>325</v>
      </c>
      <c r="F92" s="157"/>
      <c r="G92" s="200">
        <v>241.071</v>
      </c>
      <c r="H92" s="200">
        <f>'RESIDENT DISTRICT'!$D$8</f>
        <v>0</v>
      </c>
      <c r="I92" s="200">
        <f t="shared" si="6"/>
        <v>-241.071</v>
      </c>
      <c r="J92" s="201">
        <f t="shared" si="7"/>
        <v>-1</v>
      </c>
      <c r="K92" s="200" t="str">
        <f t="shared" si="8"/>
        <v>n</v>
      </c>
    </row>
    <row r="93" spans="1:11" s="155" customFormat="1" ht="11.25">
      <c r="A93" s="288">
        <v>101804</v>
      </c>
      <c r="B93" s="156" t="s">
        <v>1020</v>
      </c>
      <c r="C93" s="289" t="s">
        <v>159</v>
      </c>
      <c r="D93" s="289" t="s">
        <v>77</v>
      </c>
      <c r="E93" s="289">
        <v>1450</v>
      </c>
      <c r="F93" s="157"/>
      <c r="G93" s="200">
        <v>536.63</v>
      </c>
      <c r="H93" s="200">
        <f>'RESIDENT DISTRICT'!$D$8</f>
        <v>0</v>
      </c>
      <c r="I93" s="200">
        <f t="shared" si="6"/>
        <v>-536.63</v>
      </c>
      <c r="J93" s="201">
        <f t="shared" si="7"/>
        <v>-1</v>
      </c>
      <c r="K93" s="200" t="str">
        <f t="shared" si="8"/>
        <v>n</v>
      </c>
    </row>
    <row r="94" spans="1:11" s="155" customFormat="1" ht="22.5">
      <c r="A94" s="288">
        <v>101805</v>
      </c>
      <c r="B94" s="156" t="s">
        <v>1020</v>
      </c>
      <c r="C94" s="289" t="s">
        <v>1</v>
      </c>
      <c r="D94" s="289" t="s">
        <v>160</v>
      </c>
      <c r="E94" s="289">
        <v>1500</v>
      </c>
      <c r="F94" s="157"/>
      <c r="G94" s="200">
        <v>729.9179999999999</v>
      </c>
      <c r="H94" s="200">
        <f>'RESIDENT DISTRICT'!$D$8</f>
        <v>0</v>
      </c>
      <c r="I94" s="200">
        <f t="shared" si="6"/>
        <v>-729.9179999999999</v>
      </c>
      <c r="J94" s="201">
        <f t="shared" si="7"/>
        <v>-1</v>
      </c>
      <c r="K94" s="200" t="str">
        <f t="shared" si="8"/>
        <v>n</v>
      </c>
    </row>
    <row r="95" spans="1:11" s="155" customFormat="1" ht="11.25">
      <c r="A95" s="288">
        <v>101806</v>
      </c>
      <c r="B95" s="156" t="s">
        <v>1020</v>
      </c>
      <c r="C95" s="289" t="s">
        <v>2</v>
      </c>
      <c r="D95" s="289" t="s">
        <v>161</v>
      </c>
      <c r="E95" s="289">
        <v>950</v>
      </c>
      <c r="F95" s="157"/>
      <c r="G95" s="200">
        <v>860.712</v>
      </c>
      <c r="H95" s="200">
        <f>'RESIDENT DISTRICT'!$D$8</f>
        <v>0</v>
      </c>
      <c r="I95" s="200">
        <f t="shared" si="6"/>
        <v>-860.712</v>
      </c>
      <c r="J95" s="201">
        <f t="shared" si="7"/>
        <v>-1</v>
      </c>
      <c r="K95" s="200" t="str">
        <f t="shared" si="8"/>
        <v>n</v>
      </c>
    </row>
    <row r="96" spans="1:11" s="155" customFormat="1" ht="11.25">
      <c r="A96" s="288">
        <v>101807</v>
      </c>
      <c r="B96" s="156" t="s">
        <v>1020</v>
      </c>
      <c r="C96" s="289" t="s">
        <v>162</v>
      </c>
      <c r="D96" s="289" t="s">
        <v>163</v>
      </c>
      <c r="E96" s="289">
        <v>138</v>
      </c>
      <c r="F96" s="157"/>
      <c r="G96" s="200">
        <v>125.70400000000001</v>
      </c>
      <c r="H96" s="200">
        <f>'RESIDENT DISTRICT'!$D$8</f>
        <v>0</v>
      </c>
      <c r="I96" s="200">
        <f t="shared" si="6"/>
        <v>-125.70400000000001</v>
      </c>
      <c r="J96" s="201">
        <f t="shared" si="7"/>
        <v>-1</v>
      </c>
      <c r="K96" s="200" t="str">
        <f t="shared" si="8"/>
        <v>n</v>
      </c>
    </row>
    <row r="97" spans="1:11" s="155" customFormat="1" ht="11.25">
      <c r="A97" s="288">
        <v>101809</v>
      </c>
      <c r="B97" s="156" t="s">
        <v>1020</v>
      </c>
      <c r="C97" s="289" t="s">
        <v>3</v>
      </c>
      <c r="D97" s="289" t="s">
        <v>164</v>
      </c>
      <c r="E97" s="289">
        <v>540</v>
      </c>
      <c r="F97" s="157"/>
      <c r="G97" s="200">
        <v>259.44599999999997</v>
      </c>
      <c r="H97" s="200">
        <f>'RESIDENT DISTRICT'!$D$8</f>
        <v>0</v>
      </c>
      <c r="I97" s="200">
        <f t="shared" si="6"/>
        <v>-259.44599999999997</v>
      </c>
      <c r="J97" s="201">
        <f t="shared" si="7"/>
        <v>-1</v>
      </c>
      <c r="K97" s="200" t="str">
        <f t="shared" si="8"/>
        <v>n</v>
      </c>
    </row>
    <row r="98" spans="1:11" s="155" customFormat="1" ht="11.25">
      <c r="A98" s="288">
        <v>101810</v>
      </c>
      <c r="B98" s="156" t="s">
        <v>1020</v>
      </c>
      <c r="C98" s="289" t="s">
        <v>4</v>
      </c>
      <c r="D98" s="289" t="s">
        <v>165</v>
      </c>
      <c r="E98" s="289">
        <v>750</v>
      </c>
      <c r="F98" s="157"/>
      <c r="G98" s="200">
        <v>357.011</v>
      </c>
      <c r="H98" s="200">
        <f>'RESIDENT DISTRICT'!$D$8</f>
        <v>0</v>
      </c>
      <c r="I98" s="200">
        <f aca="true" t="shared" si="9" ref="I98:I129">H98-G98</f>
        <v>-357.011</v>
      </c>
      <c r="J98" s="201">
        <f aca="true" t="shared" si="10" ref="J98:J129">I98/G98</f>
        <v>-1</v>
      </c>
      <c r="K98" s="200" t="str">
        <f aca="true" t="shared" si="11" ref="K98:K129">IF(ISERROR(J98),0,IF(J98&gt;0.25,"y","n"))</f>
        <v>n</v>
      </c>
    </row>
    <row r="99" spans="1:11" s="155" customFormat="1" ht="11.25">
      <c r="A99" s="288">
        <v>101811</v>
      </c>
      <c r="B99" s="156" t="s">
        <v>1020</v>
      </c>
      <c r="C99" s="289" t="s">
        <v>5</v>
      </c>
      <c r="D99" s="289" t="s">
        <v>166</v>
      </c>
      <c r="E99" s="289">
        <v>1000</v>
      </c>
      <c r="F99" s="157"/>
      <c r="G99" s="200">
        <v>646.967</v>
      </c>
      <c r="H99" s="200">
        <f>'RESIDENT DISTRICT'!$D$8</f>
        <v>0</v>
      </c>
      <c r="I99" s="200">
        <f t="shared" si="9"/>
        <v>-646.967</v>
      </c>
      <c r="J99" s="201">
        <f t="shared" si="10"/>
        <v>-1</v>
      </c>
      <c r="K99" s="200" t="str">
        <f t="shared" si="11"/>
        <v>n</v>
      </c>
    </row>
    <row r="100" spans="1:11" s="155" customFormat="1" ht="11.25">
      <c r="A100" s="288">
        <v>101812</v>
      </c>
      <c r="B100" s="156" t="s">
        <v>1020</v>
      </c>
      <c r="C100" s="289" t="s">
        <v>6</v>
      </c>
      <c r="D100" s="289" t="s">
        <v>84</v>
      </c>
      <c r="E100" s="289">
        <v>1500</v>
      </c>
      <c r="F100" s="157"/>
      <c r="G100" s="200">
        <v>770.401</v>
      </c>
      <c r="H100" s="200">
        <f>'RESIDENT DISTRICT'!$D$8</f>
        <v>0</v>
      </c>
      <c r="I100" s="200">
        <f t="shared" si="9"/>
        <v>-770.401</v>
      </c>
      <c r="J100" s="201">
        <f t="shared" si="10"/>
        <v>-1</v>
      </c>
      <c r="K100" s="200" t="str">
        <f t="shared" si="11"/>
        <v>n</v>
      </c>
    </row>
    <row r="101" spans="1:11" s="155" customFormat="1" ht="33.75">
      <c r="A101" s="288">
        <v>101813</v>
      </c>
      <c r="B101" s="156" t="s">
        <v>1020</v>
      </c>
      <c r="C101" s="289" t="s">
        <v>7</v>
      </c>
      <c r="D101" s="289" t="s">
        <v>167</v>
      </c>
      <c r="E101" s="289">
        <v>11400</v>
      </c>
      <c r="F101" s="223" t="s">
        <v>247</v>
      </c>
      <c r="G101" s="200">
        <v>1824.529</v>
      </c>
      <c r="H101" s="200">
        <f>'RESIDENT DISTRICT'!$D$8</f>
        <v>0</v>
      </c>
      <c r="I101" s="200">
        <f t="shared" si="9"/>
        <v>-1824.529</v>
      </c>
      <c r="J101" s="201">
        <f t="shared" si="10"/>
        <v>-1</v>
      </c>
      <c r="K101" s="200" t="str">
        <f t="shared" si="11"/>
        <v>n</v>
      </c>
    </row>
    <row r="102" spans="1:11" s="155" customFormat="1" ht="11.25">
      <c r="A102" s="288">
        <v>101814</v>
      </c>
      <c r="B102" s="156" t="s">
        <v>1020</v>
      </c>
      <c r="C102" s="289" t="s">
        <v>8</v>
      </c>
      <c r="D102" s="289" t="s">
        <v>168</v>
      </c>
      <c r="E102" s="289">
        <v>2500</v>
      </c>
      <c r="F102" s="157"/>
      <c r="G102" s="200">
        <v>1240.844</v>
      </c>
      <c r="H102" s="200">
        <f>'RESIDENT DISTRICT'!$D$8</f>
        <v>0</v>
      </c>
      <c r="I102" s="200">
        <f t="shared" si="9"/>
        <v>-1240.844</v>
      </c>
      <c r="J102" s="201">
        <f t="shared" si="10"/>
        <v>-1</v>
      </c>
      <c r="K102" s="200" t="str">
        <f t="shared" si="11"/>
        <v>n</v>
      </c>
    </row>
    <row r="103" spans="1:11" s="155" customFormat="1" ht="11.25">
      <c r="A103" s="288">
        <v>101815</v>
      </c>
      <c r="B103" s="156" t="s">
        <v>1020</v>
      </c>
      <c r="C103" s="289" t="s">
        <v>9</v>
      </c>
      <c r="D103" s="289" t="s">
        <v>169</v>
      </c>
      <c r="E103" s="289">
        <v>350</v>
      </c>
      <c r="F103" s="157"/>
      <c r="G103" s="200">
        <v>170.214</v>
      </c>
      <c r="H103" s="200">
        <f>'RESIDENT DISTRICT'!$D$8</f>
        <v>0</v>
      </c>
      <c r="I103" s="200">
        <f t="shared" si="9"/>
        <v>-170.214</v>
      </c>
      <c r="J103" s="201">
        <f t="shared" si="10"/>
        <v>-1</v>
      </c>
      <c r="K103" s="200" t="str">
        <f t="shared" si="11"/>
        <v>n</v>
      </c>
    </row>
    <row r="104" spans="1:11" s="155" customFormat="1" ht="11.25">
      <c r="A104" s="288">
        <v>101817</v>
      </c>
      <c r="B104" s="156" t="s">
        <v>1020</v>
      </c>
      <c r="C104" s="289" t="s">
        <v>18</v>
      </c>
      <c r="D104" s="289" t="s">
        <v>170</v>
      </c>
      <c r="E104" s="289">
        <v>1000</v>
      </c>
      <c r="F104" s="157"/>
      <c r="G104" s="200">
        <v>112.51299999999999</v>
      </c>
      <c r="H104" s="200">
        <f>'RESIDENT DISTRICT'!$D$8</f>
        <v>0</v>
      </c>
      <c r="I104" s="200">
        <f t="shared" si="9"/>
        <v>-112.51299999999999</v>
      </c>
      <c r="J104" s="201">
        <f t="shared" si="10"/>
        <v>-1</v>
      </c>
      <c r="K104" s="200" t="str">
        <f t="shared" si="11"/>
        <v>n</v>
      </c>
    </row>
    <row r="105" spans="1:11" s="155" customFormat="1" ht="11.25">
      <c r="A105" s="288">
        <v>101819</v>
      </c>
      <c r="B105" s="156" t="s">
        <v>1020</v>
      </c>
      <c r="C105" s="289" t="s">
        <v>171</v>
      </c>
      <c r="D105" s="289" t="s">
        <v>172</v>
      </c>
      <c r="E105" s="289">
        <v>1100</v>
      </c>
      <c r="F105" s="157"/>
      <c r="G105" s="200">
        <v>379.28</v>
      </c>
      <c r="H105" s="200">
        <f>'RESIDENT DISTRICT'!$D$8</f>
        <v>0</v>
      </c>
      <c r="I105" s="200">
        <f t="shared" si="9"/>
        <v>-379.28</v>
      </c>
      <c r="J105" s="201">
        <f t="shared" si="10"/>
        <v>-1</v>
      </c>
      <c r="K105" s="200" t="str">
        <f t="shared" si="11"/>
        <v>n</v>
      </c>
    </row>
    <row r="106" spans="1:11" s="155" customFormat="1" ht="11.25">
      <c r="A106" s="288">
        <v>101820</v>
      </c>
      <c r="B106" s="156" t="s">
        <v>1020</v>
      </c>
      <c r="C106" s="289" t="s">
        <v>19</v>
      </c>
      <c r="D106" s="289" t="s">
        <v>173</v>
      </c>
      <c r="E106" s="289">
        <v>1000</v>
      </c>
      <c r="F106" s="157"/>
      <c r="G106" s="200">
        <v>481.87800000000004</v>
      </c>
      <c r="H106" s="200">
        <f>'RESIDENT DISTRICT'!$D$8</f>
        <v>0</v>
      </c>
      <c r="I106" s="200">
        <f t="shared" si="9"/>
        <v>-481.87800000000004</v>
      </c>
      <c r="J106" s="201">
        <f t="shared" si="10"/>
        <v>-1</v>
      </c>
      <c r="K106" s="200" t="str">
        <f t="shared" si="11"/>
        <v>n</v>
      </c>
    </row>
    <row r="107" spans="1:11" s="155" customFormat="1" ht="11.25">
      <c r="A107" s="288">
        <v>101821</v>
      </c>
      <c r="B107" s="156" t="s">
        <v>1020</v>
      </c>
      <c r="C107" s="289" t="s">
        <v>174</v>
      </c>
      <c r="D107" s="289" t="s">
        <v>175</v>
      </c>
      <c r="E107" s="289">
        <v>250</v>
      </c>
      <c r="F107" s="157"/>
      <c r="G107" s="200">
        <v>203.943</v>
      </c>
      <c r="H107" s="200">
        <f>'RESIDENT DISTRICT'!$D$8</f>
        <v>0</v>
      </c>
      <c r="I107" s="200">
        <f t="shared" si="9"/>
        <v>-203.943</v>
      </c>
      <c r="J107" s="201">
        <f t="shared" si="10"/>
        <v>-1</v>
      </c>
      <c r="K107" s="200" t="str">
        <f t="shared" si="11"/>
        <v>n</v>
      </c>
    </row>
    <row r="108" spans="1:11" s="155" customFormat="1" ht="11.25">
      <c r="A108" s="288">
        <v>101822</v>
      </c>
      <c r="B108" s="156" t="s">
        <v>1020</v>
      </c>
      <c r="C108" s="289" t="s">
        <v>20</v>
      </c>
      <c r="D108" s="289" t="s">
        <v>176</v>
      </c>
      <c r="E108" s="289">
        <v>400</v>
      </c>
      <c r="F108" s="157"/>
      <c r="G108" s="200">
        <v>84.455</v>
      </c>
      <c r="H108" s="200">
        <f>'RESIDENT DISTRICT'!$D$8</f>
        <v>0</v>
      </c>
      <c r="I108" s="200">
        <f t="shared" si="9"/>
        <v>-84.455</v>
      </c>
      <c r="J108" s="201">
        <f t="shared" si="10"/>
        <v>-1</v>
      </c>
      <c r="K108" s="200" t="str">
        <f t="shared" si="11"/>
        <v>n</v>
      </c>
    </row>
    <row r="109" spans="1:11" s="155" customFormat="1" ht="11.25">
      <c r="A109" s="288">
        <v>101823</v>
      </c>
      <c r="B109" s="156" t="s">
        <v>1020</v>
      </c>
      <c r="C109" s="289" t="s">
        <v>21</v>
      </c>
      <c r="D109" s="289" t="s">
        <v>116</v>
      </c>
      <c r="E109" s="289">
        <v>500</v>
      </c>
      <c r="F109" s="157"/>
      <c r="G109" s="200">
        <v>334.886</v>
      </c>
      <c r="H109" s="200">
        <f>'RESIDENT DISTRICT'!$D$8</f>
        <v>0</v>
      </c>
      <c r="I109" s="200">
        <f t="shared" si="9"/>
        <v>-334.886</v>
      </c>
      <c r="J109" s="201">
        <f t="shared" si="10"/>
        <v>-1</v>
      </c>
      <c r="K109" s="200" t="str">
        <f t="shared" si="11"/>
        <v>n</v>
      </c>
    </row>
    <row r="110" spans="1:11" s="155" customFormat="1" ht="11.25">
      <c r="A110" s="288">
        <v>101828</v>
      </c>
      <c r="B110" s="156" t="s">
        <v>1020</v>
      </c>
      <c r="C110" s="289" t="s">
        <v>177</v>
      </c>
      <c r="D110" s="289" t="s">
        <v>178</v>
      </c>
      <c r="E110" s="289">
        <v>1170</v>
      </c>
      <c r="F110" s="157"/>
      <c r="G110" s="200">
        <v>587.837</v>
      </c>
      <c r="H110" s="200">
        <f>'RESIDENT DISTRICT'!$D$8</f>
        <v>0</v>
      </c>
      <c r="I110" s="200">
        <f t="shared" si="9"/>
        <v>-587.837</v>
      </c>
      <c r="J110" s="201">
        <f t="shared" si="10"/>
        <v>-1</v>
      </c>
      <c r="K110" s="200" t="str">
        <f t="shared" si="11"/>
        <v>n</v>
      </c>
    </row>
    <row r="111" spans="1:11" s="155" customFormat="1" ht="11.25">
      <c r="A111" s="288">
        <v>101829</v>
      </c>
      <c r="B111" s="156" t="s">
        <v>1020</v>
      </c>
      <c r="C111" s="289" t="s">
        <v>22</v>
      </c>
      <c r="D111" s="289" t="s">
        <v>179</v>
      </c>
      <c r="E111" s="289">
        <v>200</v>
      </c>
      <c r="F111" s="157"/>
      <c r="G111" s="200">
        <v>108.55</v>
      </c>
      <c r="H111" s="200">
        <f>'RESIDENT DISTRICT'!$D$8</f>
        <v>0</v>
      </c>
      <c r="I111" s="200">
        <f t="shared" si="9"/>
        <v>-108.55</v>
      </c>
      <c r="J111" s="201">
        <f t="shared" si="10"/>
        <v>-1</v>
      </c>
      <c r="K111" s="200" t="str">
        <f t="shared" si="11"/>
        <v>n</v>
      </c>
    </row>
    <row r="112" spans="1:11" s="155" customFormat="1" ht="11.25">
      <c r="A112" s="288">
        <v>101831</v>
      </c>
      <c r="B112" s="156" t="s">
        <v>1020</v>
      </c>
      <c r="C112" s="289" t="s">
        <v>23</v>
      </c>
      <c r="D112" s="289" t="s">
        <v>180</v>
      </c>
      <c r="E112" s="289">
        <v>300</v>
      </c>
      <c r="F112" s="157"/>
      <c r="G112" s="200">
        <v>206.966</v>
      </c>
      <c r="H112" s="200">
        <f>'RESIDENT DISTRICT'!$D$8</f>
        <v>0</v>
      </c>
      <c r="I112" s="200">
        <f t="shared" si="9"/>
        <v>-206.966</v>
      </c>
      <c r="J112" s="201">
        <f t="shared" si="10"/>
        <v>-1</v>
      </c>
      <c r="K112" s="200" t="str">
        <f t="shared" si="11"/>
        <v>n</v>
      </c>
    </row>
    <row r="113" spans="1:11" s="155" customFormat="1" ht="22.5">
      <c r="A113" s="288">
        <v>101833</v>
      </c>
      <c r="B113" s="156" t="s">
        <v>1020</v>
      </c>
      <c r="C113" s="289" t="s">
        <v>24</v>
      </c>
      <c r="D113" s="289" t="s">
        <v>181</v>
      </c>
      <c r="E113" s="289">
        <v>600</v>
      </c>
      <c r="F113" s="157"/>
      <c r="G113" s="200">
        <v>129.792</v>
      </c>
      <c r="H113" s="200">
        <f>'RESIDENT DISTRICT'!$D$8</f>
        <v>0</v>
      </c>
      <c r="I113" s="200">
        <f t="shared" si="9"/>
        <v>-129.792</v>
      </c>
      <c r="J113" s="201">
        <f t="shared" si="10"/>
        <v>-1</v>
      </c>
      <c r="K113" s="200" t="str">
        <f t="shared" si="11"/>
        <v>n</v>
      </c>
    </row>
    <row r="114" spans="1:11" s="155" customFormat="1" ht="11.25">
      <c r="A114" s="288">
        <v>101834</v>
      </c>
      <c r="B114" s="156" t="s">
        <v>1020</v>
      </c>
      <c r="C114" s="289" t="s">
        <v>25</v>
      </c>
      <c r="D114" s="289" t="s">
        <v>182</v>
      </c>
      <c r="E114" s="289">
        <v>480</v>
      </c>
      <c r="F114" s="157"/>
      <c r="G114" s="200">
        <v>81.373</v>
      </c>
      <c r="H114" s="200">
        <f>'RESIDENT DISTRICT'!$D$8</f>
        <v>0</v>
      </c>
      <c r="I114" s="200">
        <f t="shared" si="9"/>
        <v>-81.373</v>
      </c>
      <c r="J114" s="201">
        <f t="shared" si="10"/>
        <v>-1</v>
      </c>
      <c r="K114" s="200" t="str">
        <f t="shared" si="11"/>
        <v>n</v>
      </c>
    </row>
    <row r="115" spans="1:11" s="155" customFormat="1" ht="33.75">
      <c r="A115" s="288">
        <v>101837</v>
      </c>
      <c r="B115" s="156" t="s">
        <v>1020</v>
      </c>
      <c r="C115" s="289" t="s">
        <v>183</v>
      </c>
      <c r="D115" s="289" t="s">
        <v>184</v>
      </c>
      <c r="E115" s="289">
        <v>750</v>
      </c>
      <c r="F115" s="223" t="s">
        <v>248</v>
      </c>
      <c r="G115" s="200">
        <v>295.973</v>
      </c>
      <c r="H115" s="200">
        <f>'RESIDENT DISTRICT'!$D$8</f>
        <v>0</v>
      </c>
      <c r="I115" s="200">
        <f t="shared" si="9"/>
        <v>-295.973</v>
      </c>
      <c r="J115" s="201">
        <f t="shared" si="10"/>
        <v>-1</v>
      </c>
      <c r="K115" s="200" t="str">
        <f t="shared" si="11"/>
        <v>n</v>
      </c>
    </row>
    <row r="116" spans="1:11" s="155" customFormat="1" ht="11.25">
      <c r="A116" s="288">
        <v>101838</v>
      </c>
      <c r="B116" s="156" t="s">
        <v>1020</v>
      </c>
      <c r="C116" s="289" t="s">
        <v>185</v>
      </c>
      <c r="D116" s="289" t="s">
        <v>186</v>
      </c>
      <c r="E116" s="289">
        <v>2500</v>
      </c>
      <c r="F116" s="157"/>
      <c r="G116" s="200">
        <v>996.797</v>
      </c>
      <c r="H116" s="200">
        <f>'RESIDENT DISTRICT'!$D$8</f>
        <v>0</v>
      </c>
      <c r="I116" s="200">
        <f t="shared" si="9"/>
        <v>-996.797</v>
      </c>
      <c r="J116" s="201">
        <f t="shared" si="10"/>
        <v>-1</v>
      </c>
      <c r="K116" s="200" t="str">
        <f t="shared" si="11"/>
        <v>n</v>
      </c>
    </row>
    <row r="117" spans="1:11" s="155" customFormat="1" ht="11.25">
      <c r="A117" s="288">
        <v>101840</v>
      </c>
      <c r="B117" s="156" t="s">
        <v>1020</v>
      </c>
      <c r="C117" s="289" t="s">
        <v>26</v>
      </c>
      <c r="D117" s="289" t="s">
        <v>187</v>
      </c>
      <c r="E117" s="289">
        <v>700</v>
      </c>
      <c r="F117" s="157"/>
      <c r="G117" s="200">
        <v>524.3309999999999</v>
      </c>
      <c r="H117" s="200">
        <f>'RESIDENT DISTRICT'!$D$8</f>
        <v>0</v>
      </c>
      <c r="I117" s="200">
        <f t="shared" si="9"/>
        <v>-524.3309999999999</v>
      </c>
      <c r="J117" s="201">
        <f t="shared" si="10"/>
        <v>-1</v>
      </c>
      <c r="K117" s="200" t="str">
        <f t="shared" si="11"/>
        <v>n</v>
      </c>
    </row>
    <row r="118" spans="1:11" s="155" customFormat="1" ht="11.25">
      <c r="A118" s="288">
        <v>101842</v>
      </c>
      <c r="B118" s="156" t="s">
        <v>1020</v>
      </c>
      <c r="C118" s="289" t="s">
        <v>27</v>
      </c>
      <c r="D118" s="289" t="s">
        <v>188</v>
      </c>
      <c r="E118" s="289">
        <v>700</v>
      </c>
      <c r="F118" s="157"/>
      <c r="G118" s="200">
        <v>67.91099999999999</v>
      </c>
      <c r="H118" s="200">
        <f>'RESIDENT DISTRICT'!$D$8</f>
        <v>0</v>
      </c>
      <c r="I118" s="200">
        <f t="shared" si="9"/>
        <v>-67.91099999999999</v>
      </c>
      <c r="J118" s="201">
        <f t="shared" si="10"/>
        <v>-1</v>
      </c>
      <c r="K118" s="200" t="str">
        <f t="shared" si="11"/>
        <v>n</v>
      </c>
    </row>
    <row r="119" spans="1:11" s="155" customFormat="1" ht="11.25">
      <c r="A119" s="288">
        <v>101843</v>
      </c>
      <c r="B119" s="156" t="s">
        <v>1020</v>
      </c>
      <c r="C119" s="289" t="s">
        <v>28</v>
      </c>
      <c r="D119" s="289" t="s">
        <v>189</v>
      </c>
      <c r="E119" s="289">
        <v>1350</v>
      </c>
      <c r="F119" s="157"/>
      <c r="G119" s="200">
        <v>74.907</v>
      </c>
      <c r="H119" s="200">
        <f>'RESIDENT DISTRICT'!$D$8</f>
        <v>0</v>
      </c>
      <c r="I119" s="200">
        <f t="shared" si="9"/>
        <v>-74.907</v>
      </c>
      <c r="J119" s="201">
        <f t="shared" si="10"/>
        <v>-1</v>
      </c>
      <c r="K119" s="200" t="str">
        <f t="shared" si="11"/>
        <v>n</v>
      </c>
    </row>
    <row r="120" spans="1:11" s="155" customFormat="1" ht="33.75">
      <c r="A120" s="288">
        <v>101845</v>
      </c>
      <c r="B120" s="156" t="s">
        <v>1020</v>
      </c>
      <c r="C120" s="289" t="s">
        <v>793</v>
      </c>
      <c r="D120" s="289" t="s">
        <v>190</v>
      </c>
      <c r="E120" s="289">
        <v>3750</v>
      </c>
      <c r="F120" s="223" t="s">
        <v>249</v>
      </c>
      <c r="G120" s="200">
        <v>1961.9519999999998</v>
      </c>
      <c r="H120" s="200">
        <f>'RESIDENT DISTRICT'!$D$8</f>
        <v>0</v>
      </c>
      <c r="I120" s="200">
        <f t="shared" si="9"/>
        <v>-1961.9519999999998</v>
      </c>
      <c r="J120" s="201">
        <f t="shared" si="10"/>
        <v>-1</v>
      </c>
      <c r="K120" s="200" t="str">
        <f t="shared" si="11"/>
        <v>n</v>
      </c>
    </row>
    <row r="121" spans="1:11" s="155" customFormat="1" ht="11.25">
      <c r="A121" s="288">
        <v>101846</v>
      </c>
      <c r="B121" s="156" t="s">
        <v>1020</v>
      </c>
      <c r="C121" s="289" t="s">
        <v>38</v>
      </c>
      <c r="D121" s="289" t="s">
        <v>98</v>
      </c>
      <c r="E121" s="289">
        <v>1800</v>
      </c>
      <c r="F121" s="157"/>
      <c r="G121" s="200">
        <v>1188.037</v>
      </c>
      <c r="H121" s="200">
        <f>'RESIDENT DISTRICT'!$D$8</f>
        <v>0</v>
      </c>
      <c r="I121" s="200">
        <f t="shared" si="9"/>
        <v>-1188.037</v>
      </c>
      <c r="J121" s="201">
        <f t="shared" si="10"/>
        <v>-1</v>
      </c>
      <c r="K121" s="200" t="str">
        <f t="shared" si="11"/>
        <v>n</v>
      </c>
    </row>
    <row r="122" spans="1:11" s="155" customFormat="1" ht="11.25">
      <c r="A122" s="288">
        <v>101847</v>
      </c>
      <c r="B122" s="156" t="s">
        <v>1020</v>
      </c>
      <c r="C122" s="289" t="s">
        <v>39</v>
      </c>
      <c r="D122" s="289" t="s">
        <v>191</v>
      </c>
      <c r="E122" s="289">
        <v>650</v>
      </c>
      <c r="F122" s="157"/>
      <c r="G122" s="200">
        <v>365.879</v>
      </c>
      <c r="H122" s="200">
        <f>'RESIDENT DISTRICT'!$D$8</f>
        <v>0</v>
      </c>
      <c r="I122" s="200">
        <f t="shared" si="9"/>
        <v>-365.879</v>
      </c>
      <c r="J122" s="201">
        <f t="shared" si="10"/>
        <v>-1</v>
      </c>
      <c r="K122" s="200" t="str">
        <f t="shared" si="11"/>
        <v>n</v>
      </c>
    </row>
    <row r="123" spans="1:11" s="155" customFormat="1" ht="11.25">
      <c r="A123" s="288">
        <v>101848</v>
      </c>
      <c r="B123" s="156" t="s">
        <v>1020</v>
      </c>
      <c r="C123" s="289" t="s">
        <v>40</v>
      </c>
      <c r="D123" s="289" t="s">
        <v>192</v>
      </c>
      <c r="E123" s="289">
        <v>500</v>
      </c>
      <c r="F123" s="157"/>
      <c r="G123" s="200">
        <v>234.28199999999998</v>
      </c>
      <c r="H123" s="200">
        <f>'RESIDENT DISTRICT'!$D$8</f>
        <v>0</v>
      </c>
      <c r="I123" s="200">
        <f t="shared" si="9"/>
        <v>-234.28199999999998</v>
      </c>
      <c r="J123" s="201">
        <f t="shared" si="10"/>
        <v>-1</v>
      </c>
      <c r="K123" s="200" t="str">
        <f t="shared" si="11"/>
        <v>n</v>
      </c>
    </row>
    <row r="124" spans="1:11" s="155" customFormat="1" ht="11.25">
      <c r="A124" s="288">
        <v>101849</v>
      </c>
      <c r="B124" s="156" t="s">
        <v>1020</v>
      </c>
      <c r="C124" s="289" t="s">
        <v>193</v>
      </c>
      <c r="D124" s="289" t="s">
        <v>194</v>
      </c>
      <c r="E124" s="289">
        <v>1300</v>
      </c>
      <c r="F124" s="157"/>
      <c r="G124" s="200">
        <v>637.64</v>
      </c>
      <c r="H124" s="200">
        <f>'RESIDENT DISTRICT'!$D$8</f>
        <v>0</v>
      </c>
      <c r="I124" s="200">
        <f t="shared" si="9"/>
        <v>-637.64</v>
      </c>
      <c r="J124" s="201">
        <f t="shared" si="10"/>
        <v>-1</v>
      </c>
      <c r="K124" s="200" t="str">
        <f t="shared" si="11"/>
        <v>n</v>
      </c>
    </row>
    <row r="125" spans="1:11" s="155" customFormat="1" ht="11.25">
      <c r="A125" s="288">
        <v>101850</v>
      </c>
      <c r="B125" s="156" t="s">
        <v>1020</v>
      </c>
      <c r="C125" s="289" t="s">
        <v>195</v>
      </c>
      <c r="D125" s="289" t="s">
        <v>623</v>
      </c>
      <c r="E125" s="289">
        <v>700</v>
      </c>
      <c r="F125" s="157"/>
      <c r="G125" s="200">
        <v>438.64700000000005</v>
      </c>
      <c r="H125" s="200">
        <f>'RESIDENT DISTRICT'!$D$8</f>
        <v>0</v>
      </c>
      <c r="I125" s="200">
        <f t="shared" si="9"/>
        <v>-438.64700000000005</v>
      </c>
      <c r="J125" s="201">
        <f t="shared" si="10"/>
        <v>-1</v>
      </c>
      <c r="K125" s="200" t="str">
        <f t="shared" si="11"/>
        <v>n</v>
      </c>
    </row>
    <row r="126" spans="1:11" s="155" customFormat="1" ht="11.25">
      <c r="A126" s="288">
        <v>101851</v>
      </c>
      <c r="B126" s="156" t="s">
        <v>997</v>
      </c>
      <c r="C126" s="289" t="s">
        <v>624</v>
      </c>
      <c r="D126" s="289" t="s">
        <v>625</v>
      </c>
      <c r="E126" s="289">
        <v>210</v>
      </c>
      <c r="F126" s="157"/>
      <c r="G126" s="200">
        <v>108.704</v>
      </c>
      <c r="H126" s="200">
        <f>'RESIDENT DISTRICT'!$D$8</f>
        <v>0</v>
      </c>
      <c r="I126" s="200">
        <f t="shared" si="9"/>
        <v>-108.704</v>
      </c>
      <c r="J126" s="201">
        <f t="shared" si="10"/>
        <v>-1</v>
      </c>
      <c r="K126" s="200" t="str">
        <f t="shared" si="11"/>
        <v>n</v>
      </c>
    </row>
    <row r="127" spans="1:11" s="155" customFormat="1" ht="11.25">
      <c r="A127" s="288">
        <v>101852</v>
      </c>
      <c r="B127" s="156" t="s">
        <v>997</v>
      </c>
      <c r="C127" s="289" t="s">
        <v>41</v>
      </c>
      <c r="D127" s="289" t="s">
        <v>626</v>
      </c>
      <c r="E127" s="289">
        <v>250</v>
      </c>
      <c r="F127" s="157"/>
      <c r="G127" s="200">
        <v>51.203</v>
      </c>
      <c r="H127" s="200">
        <f>'RESIDENT DISTRICT'!$D$8</f>
        <v>0</v>
      </c>
      <c r="I127" s="200">
        <f t="shared" si="9"/>
        <v>-51.203</v>
      </c>
      <c r="J127" s="201">
        <f t="shared" si="10"/>
        <v>-1</v>
      </c>
      <c r="K127" s="200" t="str">
        <f t="shared" si="11"/>
        <v>n</v>
      </c>
    </row>
    <row r="128" spans="1:11" s="155" customFormat="1" ht="11.25">
      <c r="A128" s="288">
        <v>101853</v>
      </c>
      <c r="B128" s="156" t="s">
        <v>997</v>
      </c>
      <c r="C128" s="289" t="s">
        <v>42</v>
      </c>
      <c r="D128" s="289" t="s">
        <v>627</v>
      </c>
      <c r="E128" s="289">
        <v>1200</v>
      </c>
      <c r="F128" s="157"/>
      <c r="G128" s="200">
        <v>611.769</v>
      </c>
      <c r="H128" s="200">
        <f>'RESIDENT DISTRICT'!$D$8</f>
        <v>0</v>
      </c>
      <c r="I128" s="200">
        <f t="shared" si="9"/>
        <v>-611.769</v>
      </c>
      <c r="J128" s="201">
        <f t="shared" si="10"/>
        <v>-1</v>
      </c>
      <c r="K128" s="200" t="str">
        <f t="shared" si="11"/>
        <v>n</v>
      </c>
    </row>
    <row r="129" spans="1:11" s="155" customFormat="1" ht="11.25">
      <c r="A129" s="288">
        <v>101854</v>
      </c>
      <c r="B129" s="156" t="s">
        <v>997</v>
      </c>
      <c r="C129" s="289" t="s">
        <v>942</v>
      </c>
      <c r="D129" s="289" t="s">
        <v>140</v>
      </c>
      <c r="E129" s="289">
        <v>1000</v>
      </c>
      <c r="F129" s="157"/>
      <c r="G129" s="200">
        <v>186.059</v>
      </c>
      <c r="H129" s="200">
        <f>'RESIDENT DISTRICT'!$D$8</f>
        <v>0</v>
      </c>
      <c r="I129" s="200">
        <f t="shared" si="9"/>
        <v>-186.059</v>
      </c>
      <c r="J129" s="201">
        <f t="shared" si="10"/>
        <v>-1</v>
      </c>
      <c r="K129" s="200" t="str">
        <f t="shared" si="11"/>
        <v>n</v>
      </c>
    </row>
    <row r="130" spans="1:11" s="155" customFormat="1" ht="11.25">
      <c r="A130" s="288">
        <v>101855</v>
      </c>
      <c r="B130" s="156" t="s">
        <v>997</v>
      </c>
      <c r="C130" s="289" t="s">
        <v>628</v>
      </c>
      <c r="D130" s="289" t="s">
        <v>629</v>
      </c>
      <c r="E130" s="289">
        <v>500</v>
      </c>
      <c r="F130" s="157"/>
      <c r="G130" s="200">
        <v>122.524</v>
      </c>
      <c r="H130" s="200">
        <f>'RESIDENT DISTRICT'!$D$8</f>
        <v>0</v>
      </c>
      <c r="I130" s="200">
        <f aca="true" t="shared" si="12" ref="I130:I161">H130-G130</f>
        <v>-122.524</v>
      </c>
      <c r="J130" s="201">
        <f aca="true" t="shared" si="13" ref="J130:J161">I130/G130</f>
        <v>-1</v>
      </c>
      <c r="K130" s="200" t="str">
        <f aca="true" t="shared" si="14" ref="K130:K161">IF(ISERROR(J130),0,IF(J130&gt;0.25,"y","n"))</f>
        <v>n</v>
      </c>
    </row>
    <row r="131" spans="1:11" s="155" customFormat="1" ht="11.25">
      <c r="A131" s="288">
        <v>101856</v>
      </c>
      <c r="B131" s="156" t="s">
        <v>997</v>
      </c>
      <c r="C131" s="289" t="s">
        <v>43</v>
      </c>
      <c r="D131" s="289" t="s">
        <v>630</v>
      </c>
      <c r="E131" s="289">
        <v>250</v>
      </c>
      <c r="F131" s="157"/>
      <c r="G131" s="200">
        <v>225.272</v>
      </c>
      <c r="H131" s="200">
        <f>'RESIDENT DISTRICT'!$D$8</f>
        <v>0</v>
      </c>
      <c r="I131" s="200">
        <f t="shared" si="12"/>
        <v>-225.272</v>
      </c>
      <c r="J131" s="201">
        <f t="shared" si="13"/>
        <v>-1</v>
      </c>
      <c r="K131" s="200" t="str">
        <f t="shared" si="14"/>
        <v>n</v>
      </c>
    </row>
    <row r="132" spans="1:11" s="155" customFormat="1" ht="11.25">
      <c r="A132" s="288">
        <v>101857</v>
      </c>
      <c r="B132" s="156" t="s">
        <v>997</v>
      </c>
      <c r="C132" s="289" t="s">
        <v>834</v>
      </c>
      <c r="D132" s="289" t="s">
        <v>98</v>
      </c>
      <c r="E132" s="289">
        <v>900</v>
      </c>
      <c r="F132" s="157"/>
      <c r="G132" s="200">
        <v>398.957</v>
      </c>
      <c r="H132" s="200">
        <f>'RESIDENT DISTRICT'!$D$8</f>
        <v>0</v>
      </c>
      <c r="I132" s="200">
        <f t="shared" si="12"/>
        <v>-398.957</v>
      </c>
      <c r="J132" s="201">
        <f t="shared" si="13"/>
        <v>-1</v>
      </c>
      <c r="K132" s="200" t="str">
        <f t="shared" si="14"/>
        <v>n</v>
      </c>
    </row>
    <row r="133" spans="1:11" s="155" customFormat="1" ht="11.25">
      <c r="A133" s="288">
        <v>101858</v>
      </c>
      <c r="B133" s="156" t="s">
        <v>997</v>
      </c>
      <c r="C133" s="289" t="s">
        <v>1000</v>
      </c>
      <c r="D133" s="289" t="s">
        <v>98</v>
      </c>
      <c r="E133" s="289">
        <v>850</v>
      </c>
      <c r="F133" s="157"/>
      <c r="G133" s="200">
        <v>444.072</v>
      </c>
      <c r="H133" s="200">
        <f>'RESIDENT DISTRICT'!$D$8</f>
        <v>0</v>
      </c>
      <c r="I133" s="200">
        <f t="shared" si="12"/>
        <v>-444.072</v>
      </c>
      <c r="J133" s="201">
        <f t="shared" si="13"/>
        <v>-1</v>
      </c>
      <c r="K133" s="200" t="str">
        <f t="shared" si="14"/>
        <v>n</v>
      </c>
    </row>
    <row r="134" spans="1:11" s="155" customFormat="1" ht="11.25">
      <c r="A134" s="288">
        <v>101859</v>
      </c>
      <c r="B134" s="156" t="s">
        <v>997</v>
      </c>
      <c r="C134" s="289" t="s">
        <v>631</v>
      </c>
      <c r="D134" s="289" t="s">
        <v>632</v>
      </c>
      <c r="E134" s="289">
        <v>250</v>
      </c>
      <c r="F134" s="157"/>
      <c r="G134" s="200">
        <v>135.409</v>
      </c>
      <c r="H134" s="200">
        <f>'RESIDENT DISTRICT'!$D$8</f>
        <v>0</v>
      </c>
      <c r="I134" s="200">
        <f t="shared" si="12"/>
        <v>-135.409</v>
      </c>
      <c r="J134" s="201">
        <f t="shared" si="13"/>
        <v>-1</v>
      </c>
      <c r="K134" s="200" t="str">
        <f t="shared" si="14"/>
        <v>n</v>
      </c>
    </row>
    <row r="135" spans="1:11" s="155" customFormat="1" ht="11.25">
      <c r="A135" s="288">
        <v>101860</v>
      </c>
      <c r="B135" s="156" t="s">
        <v>997</v>
      </c>
      <c r="C135" s="289" t="s">
        <v>1001</v>
      </c>
      <c r="D135" s="289" t="s">
        <v>167</v>
      </c>
      <c r="E135" s="289">
        <v>2400</v>
      </c>
      <c r="F135" s="157"/>
      <c r="G135" s="200">
        <v>308.206</v>
      </c>
      <c r="H135" s="200">
        <f>'RESIDENT DISTRICT'!$D$8</f>
        <v>0</v>
      </c>
      <c r="I135" s="200">
        <f t="shared" si="12"/>
        <v>-308.206</v>
      </c>
      <c r="J135" s="201">
        <f t="shared" si="13"/>
        <v>-1</v>
      </c>
      <c r="K135" s="200" t="str">
        <f t="shared" si="14"/>
        <v>n</v>
      </c>
    </row>
    <row r="136" spans="1:11" s="155" customFormat="1" ht="11.25">
      <c r="A136" s="288">
        <v>101861</v>
      </c>
      <c r="B136" s="156" t="s">
        <v>997</v>
      </c>
      <c r="C136" s="289" t="s">
        <v>850</v>
      </c>
      <c r="D136" s="289" t="s">
        <v>851</v>
      </c>
      <c r="E136" s="289">
        <v>750</v>
      </c>
      <c r="F136" s="157"/>
      <c r="G136" s="200">
        <v>74.227</v>
      </c>
      <c r="H136" s="200">
        <f>'RESIDENT DISTRICT'!$D$8</f>
        <v>0</v>
      </c>
      <c r="I136" s="200">
        <f t="shared" si="12"/>
        <v>-74.227</v>
      </c>
      <c r="J136" s="201">
        <f t="shared" si="13"/>
        <v>-1</v>
      </c>
      <c r="K136" s="200" t="str">
        <f t="shared" si="14"/>
        <v>n</v>
      </c>
    </row>
    <row r="137" spans="1:11" s="155" customFormat="1" ht="11.25">
      <c r="A137" s="290">
        <v>101862</v>
      </c>
      <c r="B137" s="291" t="s">
        <v>997</v>
      </c>
      <c r="C137" s="292" t="s">
        <v>250</v>
      </c>
      <c r="D137" s="292" t="s">
        <v>98</v>
      </c>
      <c r="E137" s="289">
        <v>900</v>
      </c>
      <c r="F137" s="293" t="s">
        <v>240</v>
      </c>
      <c r="G137" s="200">
        <v>900</v>
      </c>
      <c r="H137" s="200">
        <f>'RESIDENT DISTRICT'!$D$8</f>
        <v>0</v>
      </c>
      <c r="I137" s="200">
        <f t="shared" si="12"/>
        <v>-900</v>
      </c>
      <c r="J137" s="201">
        <f t="shared" si="13"/>
        <v>-1</v>
      </c>
      <c r="K137" s="200" t="str">
        <f t="shared" si="14"/>
        <v>n</v>
      </c>
    </row>
    <row r="138" spans="1:11" s="155" customFormat="1" ht="11.25">
      <c r="A138" s="288">
        <v>105801</v>
      </c>
      <c r="B138" s="156" t="s">
        <v>1020</v>
      </c>
      <c r="C138" s="289" t="s">
        <v>44</v>
      </c>
      <c r="D138" s="289" t="s">
        <v>634</v>
      </c>
      <c r="E138" s="289">
        <v>300</v>
      </c>
      <c r="F138" s="157"/>
      <c r="G138" s="200">
        <v>110.81400000000001</v>
      </c>
      <c r="H138" s="200">
        <f>'RESIDENT DISTRICT'!$D$8</f>
        <v>0</v>
      </c>
      <c r="I138" s="200">
        <f t="shared" si="12"/>
        <v>-110.81400000000001</v>
      </c>
      <c r="J138" s="201">
        <f t="shared" si="13"/>
        <v>-1</v>
      </c>
      <c r="K138" s="200" t="str">
        <f t="shared" si="14"/>
        <v>n</v>
      </c>
    </row>
    <row r="139" spans="1:11" s="155" customFormat="1" ht="11.25">
      <c r="A139" s="288">
        <v>105802</v>
      </c>
      <c r="B139" s="156" t="s">
        <v>997</v>
      </c>
      <c r="C139" s="289" t="s">
        <v>639</v>
      </c>
      <c r="D139" s="289" t="s">
        <v>640</v>
      </c>
      <c r="E139" s="289">
        <v>635</v>
      </c>
      <c r="F139" s="157"/>
      <c r="G139" s="200">
        <v>71.58</v>
      </c>
      <c r="H139" s="200">
        <f>'RESIDENT DISTRICT'!$D$8</f>
        <v>0</v>
      </c>
      <c r="I139" s="200">
        <f t="shared" si="12"/>
        <v>-71.58</v>
      </c>
      <c r="J139" s="201">
        <f t="shared" si="13"/>
        <v>-1</v>
      </c>
      <c r="K139" s="200" t="str">
        <f t="shared" si="14"/>
        <v>n</v>
      </c>
    </row>
    <row r="140" spans="1:11" s="155" customFormat="1" ht="11.25">
      <c r="A140" s="288">
        <v>108801</v>
      </c>
      <c r="B140" s="156" t="s">
        <v>1020</v>
      </c>
      <c r="C140" s="289" t="s">
        <v>745</v>
      </c>
      <c r="D140" s="289" t="s">
        <v>641</v>
      </c>
      <c r="E140" s="289">
        <v>1250</v>
      </c>
      <c r="F140" s="157"/>
      <c r="G140" s="200">
        <v>693.8389999999999</v>
      </c>
      <c r="H140" s="200">
        <f>'RESIDENT DISTRICT'!$D$8</f>
        <v>0</v>
      </c>
      <c r="I140" s="200">
        <f t="shared" si="12"/>
        <v>-693.8389999999999</v>
      </c>
      <c r="J140" s="201">
        <f t="shared" si="13"/>
        <v>-1</v>
      </c>
      <c r="K140" s="200" t="str">
        <f t="shared" si="14"/>
        <v>n</v>
      </c>
    </row>
    <row r="141" spans="1:11" s="155" customFormat="1" ht="11.25">
      <c r="A141" s="288">
        <v>108802</v>
      </c>
      <c r="B141" s="156" t="s">
        <v>1020</v>
      </c>
      <c r="C141" s="289" t="s">
        <v>746</v>
      </c>
      <c r="D141" s="289" t="s">
        <v>642</v>
      </c>
      <c r="E141" s="289">
        <v>650</v>
      </c>
      <c r="F141" s="157"/>
      <c r="G141" s="200">
        <v>472.692</v>
      </c>
      <c r="H141" s="200">
        <f>'RESIDENT DISTRICT'!$D$8</f>
        <v>0</v>
      </c>
      <c r="I141" s="200">
        <f t="shared" si="12"/>
        <v>-472.692</v>
      </c>
      <c r="J141" s="201">
        <f t="shared" si="13"/>
        <v>-1</v>
      </c>
      <c r="K141" s="200" t="str">
        <f t="shared" si="14"/>
        <v>n</v>
      </c>
    </row>
    <row r="142" spans="1:11" s="155" customFormat="1" ht="11.25">
      <c r="A142" s="288">
        <v>108804</v>
      </c>
      <c r="B142" s="156" t="s">
        <v>1020</v>
      </c>
      <c r="C142" s="289" t="s">
        <v>747</v>
      </c>
      <c r="D142" s="289" t="s">
        <v>143</v>
      </c>
      <c r="E142" s="289">
        <v>700</v>
      </c>
      <c r="F142" s="157"/>
      <c r="G142" s="200">
        <v>216.10799999999998</v>
      </c>
      <c r="H142" s="200">
        <f>'RESIDENT DISTRICT'!$D$8</f>
        <v>0</v>
      </c>
      <c r="I142" s="200">
        <f t="shared" si="12"/>
        <v>-216.10799999999998</v>
      </c>
      <c r="J142" s="201">
        <f t="shared" si="13"/>
        <v>-1</v>
      </c>
      <c r="K142" s="200" t="str">
        <f t="shared" si="14"/>
        <v>n</v>
      </c>
    </row>
    <row r="143" spans="1:11" s="155" customFormat="1" ht="11.25">
      <c r="A143" s="288">
        <v>108807</v>
      </c>
      <c r="B143" s="156" t="s">
        <v>1020</v>
      </c>
      <c r="C143" s="289" t="s">
        <v>643</v>
      </c>
      <c r="D143" s="289" t="s">
        <v>644</v>
      </c>
      <c r="E143" s="289">
        <v>4200</v>
      </c>
      <c r="F143" s="157"/>
      <c r="G143" s="200">
        <v>2584.6589999999997</v>
      </c>
      <c r="H143" s="200">
        <f>'RESIDENT DISTRICT'!$D$8</f>
        <v>0</v>
      </c>
      <c r="I143" s="200">
        <f t="shared" si="12"/>
        <v>-2584.6589999999997</v>
      </c>
      <c r="J143" s="201">
        <f t="shared" si="13"/>
        <v>-1</v>
      </c>
      <c r="K143" s="200" t="str">
        <f t="shared" si="14"/>
        <v>n</v>
      </c>
    </row>
    <row r="144" spans="1:11" s="155" customFormat="1" ht="11.25">
      <c r="A144" s="288">
        <v>108808</v>
      </c>
      <c r="B144" s="156" t="s">
        <v>1020</v>
      </c>
      <c r="C144" s="289" t="s">
        <v>748</v>
      </c>
      <c r="D144" s="289" t="s">
        <v>645</v>
      </c>
      <c r="E144" s="289">
        <v>1000</v>
      </c>
      <c r="F144" s="157"/>
      <c r="G144" s="200">
        <v>399.559</v>
      </c>
      <c r="H144" s="200">
        <f>'RESIDENT DISTRICT'!$D$8</f>
        <v>0</v>
      </c>
      <c r="I144" s="200">
        <f t="shared" si="12"/>
        <v>-399.559</v>
      </c>
      <c r="J144" s="201">
        <f t="shared" si="13"/>
        <v>-1</v>
      </c>
      <c r="K144" s="200" t="str">
        <f t="shared" si="14"/>
        <v>n</v>
      </c>
    </row>
    <row r="145" spans="1:11" s="155" customFormat="1" ht="11.25">
      <c r="A145" s="288">
        <v>116801</v>
      </c>
      <c r="B145" s="156" t="s">
        <v>997</v>
      </c>
      <c r="C145" s="289" t="s">
        <v>646</v>
      </c>
      <c r="D145" s="289" t="s">
        <v>647</v>
      </c>
      <c r="E145" s="289">
        <v>800</v>
      </c>
      <c r="F145" s="157"/>
      <c r="G145" s="200">
        <v>393.017</v>
      </c>
      <c r="H145" s="200">
        <f>'RESIDENT DISTRICT'!$D$8</f>
        <v>0</v>
      </c>
      <c r="I145" s="200">
        <f t="shared" si="12"/>
        <v>-393.017</v>
      </c>
      <c r="J145" s="201">
        <f t="shared" si="13"/>
        <v>-1</v>
      </c>
      <c r="K145" s="200" t="str">
        <f t="shared" si="14"/>
        <v>n</v>
      </c>
    </row>
    <row r="146" spans="1:11" s="155" customFormat="1" ht="11.25">
      <c r="A146" s="288">
        <v>123801</v>
      </c>
      <c r="B146" s="156" t="s">
        <v>1020</v>
      </c>
      <c r="C146" s="289" t="s">
        <v>749</v>
      </c>
      <c r="D146" s="289" t="s">
        <v>75</v>
      </c>
      <c r="E146" s="289">
        <v>1000</v>
      </c>
      <c r="F146" s="157"/>
      <c r="G146" s="200">
        <v>211.271</v>
      </c>
      <c r="H146" s="200">
        <f>'RESIDENT DISTRICT'!$D$8</f>
        <v>0</v>
      </c>
      <c r="I146" s="200">
        <f t="shared" si="12"/>
        <v>-211.271</v>
      </c>
      <c r="J146" s="201">
        <f t="shared" si="13"/>
        <v>-1</v>
      </c>
      <c r="K146" s="200" t="str">
        <f t="shared" si="14"/>
        <v>n</v>
      </c>
    </row>
    <row r="147" spans="1:11" s="155" customFormat="1" ht="11.25">
      <c r="A147" s="288">
        <v>123803</v>
      </c>
      <c r="B147" s="156" t="s">
        <v>1020</v>
      </c>
      <c r="C147" s="289" t="s">
        <v>648</v>
      </c>
      <c r="D147" s="289" t="s">
        <v>649</v>
      </c>
      <c r="E147" s="289">
        <v>1500</v>
      </c>
      <c r="F147" s="157"/>
      <c r="G147" s="200">
        <v>340.066</v>
      </c>
      <c r="H147" s="200">
        <f>'RESIDENT DISTRICT'!$D$8</f>
        <v>0</v>
      </c>
      <c r="I147" s="200">
        <f t="shared" si="12"/>
        <v>-340.066</v>
      </c>
      <c r="J147" s="201">
        <f t="shared" si="13"/>
        <v>-1</v>
      </c>
      <c r="K147" s="200" t="str">
        <f t="shared" si="14"/>
        <v>n</v>
      </c>
    </row>
    <row r="148" spans="1:11" s="155" customFormat="1" ht="11.25">
      <c r="A148" s="288">
        <v>123804</v>
      </c>
      <c r="B148" s="156" t="s">
        <v>1020</v>
      </c>
      <c r="C148" s="289" t="s">
        <v>750</v>
      </c>
      <c r="D148" s="289" t="s">
        <v>58</v>
      </c>
      <c r="E148" s="289">
        <v>300</v>
      </c>
      <c r="F148" s="157"/>
      <c r="G148" s="200">
        <v>168.507</v>
      </c>
      <c r="H148" s="200">
        <f>'RESIDENT DISTRICT'!$D$8</f>
        <v>0</v>
      </c>
      <c r="I148" s="200">
        <f t="shared" si="12"/>
        <v>-168.507</v>
      </c>
      <c r="J148" s="201">
        <f t="shared" si="13"/>
        <v>-1</v>
      </c>
      <c r="K148" s="200" t="str">
        <f t="shared" si="14"/>
        <v>n</v>
      </c>
    </row>
    <row r="149" spans="1:11" s="155" customFormat="1" ht="11.25">
      <c r="A149" s="288">
        <v>123805</v>
      </c>
      <c r="B149" s="156" t="s">
        <v>997</v>
      </c>
      <c r="C149" s="289" t="s">
        <v>650</v>
      </c>
      <c r="D149" s="289" t="s">
        <v>651</v>
      </c>
      <c r="E149" s="289">
        <v>500</v>
      </c>
      <c r="F149" s="157"/>
      <c r="G149" s="200">
        <v>165.416</v>
      </c>
      <c r="H149" s="200">
        <f>'RESIDENT DISTRICT'!$D$8</f>
        <v>0</v>
      </c>
      <c r="I149" s="200">
        <f t="shared" si="12"/>
        <v>-165.416</v>
      </c>
      <c r="J149" s="201">
        <f t="shared" si="13"/>
        <v>-1</v>
      </c>
      <c r="K149" s="200" t="str">
        <f t="shared" si="14"/>
        <v>n</v>
      </c>
    </row>
    <row r="150" spans="1:11" s="155" customFormat="1" ht="11.25">
      <c r="A150" s="288">
        <v>123806</v>
      </c>
      <c r="B150" s="156" t="s">
        <v>997</v>
      </c>
      <c r="C150" s="289" t="s">
        <v>842</v>
      </c>
      <c r="D150" s="289" t="s">
        <v>98</v>
      </c>
      <c r="E150" s="289">
        <v>900</v>
      </c>
      <c r="F150" s="157"/>
      <c r="G150" s="200">
        <v>207.846</v>
      </c>
      <c r="H150" s="200">
        <f>'RESIDENT DISTRICT'!$D$8</f>
        <v>0</v>
      </c>
      <c r="I150" s="200">
        <f t="shared" si="12"/>
        <v>-207.846</v>
      </c>
      <c r="J150" s="201">
        <f t="shared" si="13"/>
        <v>-1</v>
      </c>
      <c r="K150" s="200" t="str">
        <f t="shared" si="14"/>
        <v>n</v>
      </c>
    </row>
    <row r="151" spans="1:11" s="155" customFormat="1" ht="11.25">
      <c r="A151" s="290">
        <v>130801</v>
      </c>
      <c r="B151" s="291" t="s">
        <v>997</v>
      </c>
      <c r="C151" s="292" t="s">
        <v>251</v>
      </c>
      <c r="D151" s="292" t="s">
        <v>252</v>
      </c>
      <c r="E151" s="289">
        <v>240</v>
      </c>
      <c r="F151" s="293" t="s">
        <v>240</v>
      </c>
      <c r="G151" s="200">
        <v>240</v>
      </c>
      <c r="H151" s="200">
        <f>'RESIDENT DISTRICT'!$D$8</f>
        <v>0</v>
      </c>
      <c r="I151" s="200">
        <f t="shared" si="12"/>
        <v>-240</v>
      </c>
      <c r="J151" s="201">
        <f t="shared" si="13"/>
        <v>-1</v>
      </c>
      <c r="K151" s="200" t="str">
        <f t="shared" si="14"/>
        <v>n</v>
      </c>
    </row>
    <row r="152" spans="1:11" s="155" customFormat="1" ht="11.25">
      <c r="A152" s="288">
        <v>152801</v>
      </c>
      <c r="B152" s="156" t="s">
        <v>1020</v>
      </c>
      <c r="C152" s="289" t="s">
        <v>655</v>
      </c>
      <c r="D152" s="289" t="s">
        <v>58</v>
      </c>
      <c r="E152" s="289">
        <v>200</v>
      </c>
      <c r="F152" s="157"/>
      <c r="G152" s="200">
        <v>131.588</v>
      </c>
      <c r="H152" s="200">
        <f>'RESIDENT DISTRICT'!$D$8</f>
        <v>0</v>
      </c>
      <c r="I152" s="200">
        <f t="shared" si="12"/>
        <v>-131.588</v>
      </c>
      <c r="J152" s="201">
        <f t="shared" si="13"/>
        <v>-1</v>
      </c>
      <c r="K152" s="200" t="str">
        <f t="shared" si="14"/>
        <v>n</v>
      </c>
    </row>
    <row r="153" spans="1:11" s="155" customFormat="1" ht="11.25">
      <c r="A153" s="288">
        <v>152802</v>
      </c>
      <c r="B153" s="156" t="s">
        <v>1020</v>
      </c>
      <c r="C153" s="289" t="s">
        <v>751</v>
      </c>
      <c r="D153" s="289" t="s">
        <v>656</v>
      </c>
      <c r="E153" s="289">
        <v>250</v>
      </c>
      <c r="F153" s="157"/>
      <c r="G153" s="200">
        <v>165.071</v>
      </c>
      <c r="H153" s="200">
        <f>'RESIDENT DISTRICT'!$D$8</f>
        <v>0</v>
      </c>
      <c r="I153" s="200">
        <f t="shared" si="12"/>
        <v>-165.071</v>
      </c>
      <c r="J153" s="201">
        <f t="shared" si="13"/>
        <v>-1</v>
      </c>
      <c r="K153" s="200" t="str">
        <f t="shared" si="14"/>
        <v>n</v>
      </c>
    </row>
    <row r="154" spans="1:11" s="155" customFormat="1" ht="11.25">
      <c r="A154" s="288">
        <v>152803</v>
      </c>
      <c r="B154" s="156" t="s">
        <v>1020</v>
      </c>
      <c r="C154" s="289" t="s">
        <v>657</v>
      </c>
      <c r="D154" s="289" t="s">
        <v>143</v>
      </c>
      <c r="E154" s="289">
        <v>400</v>
      </c>
      <c r="F154" s="157"/>
      <c r="G154" s="200">
        <v>119.64099999999998</v>
      </c>
      <c r="H154" s="200">
        <f>'RESIDENT DISTRICT'!$D$8</f>
        <v>0</v>
      </c>
      <c r="I154" s="200">
        <f t="shared" si="12"/>
        <v>-119.64099999999998</v>
      </c>
      <c r="J154" s="201">
        <f t="shared" si="13"/>
        <v>-1</v>
      </c>
      <c r="K154" s="200" t="str">
        <f t="shared" si="14"/>
        <v>n</v>
      </c>
    </row>
    <row r="155" spans="1:11" s="155" customFormat="1" ht="11.25">
      <c r="A155" s="288">
        <v>152805</v>
      </c>
      <c r="B155" s="156" t="s">
        <v>997</v>
      </c>
      <c r="C155" s="289" t="s">
        <v>843</v>
      </c>
      <c r="D155" s="289" t="s">
        <v>98</v>
      </c>
      <c r="E155" s="289">
        <v>900</v>
      </c>
      <c r="F155" s="157"/>
      <c r="G155" s="200">
        <v>169.493</v>
      </c>
      <c r="H155" s="200">
        <f>'RESIDENT DISTRICT'!$D$8</f>
        <v>0</v>
      </c>
      <c r="I155" s="200">
        <f t="shared" si="12"/>
        <v>-169.493</v>
      </c>
      <c r="J155" s="201">
        <f t="shared" si="13"/>
        <v>-1</v>
      </c>
      <c r="K155" s="200" t="str">
        <f t="shared" si="14"/>
        <v>n</v>
      </c>
    </row>
    <row r="156" spans="1:11" s="155" customFormat="1" ht="11.25">
      <c r="A156" s="288">
        <v>161801</v>
      </c>
      <c r="B156" s="156" t="s">
        <v>1020</v>
      </c>
      <c r="C156" s="289" t="s">
        <v>658</v>
      </c>
      <c r="D156" s="289" t="s">
        <v>659</v>
      </c>
      <c r="E156" s="289">
        <v>350</v>
      </c>
      <c r="F156" s="157"/>
      <c r="G156" s="200">
        <v>152.234</v>
      </c>
      <c r="H156" s="200">
        <f>'RESIDENT DISTRICT'!$D$8</f>
        <v>0</v>
      </c>
      <c r="I156" s="200">
        <f t="shared" si="12"/>
        <v>-152.234</v>
      </c>
      <c r="J156" s="201">
        <f t="shared" si="13"/>
        <v>-1</v>
      </c>
      <c r="K156" s="200" t="str">
        <f t="shared" si="14"/>
        <v>n</v>
      </c>
    </row>
    <row r="157" spans="1:11" s="155" customFormat="1" ht="33.75">
      <c r="A157" s="288">
        <v>161802</v>
      </c>
      <c r="B157" s="156" t="s">
        <v>1020</v>
      </c>
      <c r="C157" s="289" t="s">
        <v>660</v>
      </c>
      <c r="D157" s="289" t="s">
        <v>661</v>
      </c>
      <c r="E157" s="289">
        <v>720</v>
      </c>
      <c r="F157" s="223" t="s">
        <v>253</v>
      </c>
      <c r="G157" s="200">
        <v>217.542</v>
      </c>
      <c r="H157" s="200">
        <f>'RESIDENT DISTRICT'!$D$8</f>
        <v>0</v>
      </c>
      <c r="I157" s="200">
        <f t="shared" si="12"/>
        <v>-217.542</v>
      </c>
      <c r="J157" s="201">
        <f t="shared" si="13"/>
        <v>-1</v>
      </c>
      <c r="K157" s="200" t="str">
        <f t="shared" si="14"/>
        <v>n</v>
      </c>
    </row>
    <row r="158" spans="1:11" s="155" customFormat="1" ht="11.25">
      <c r="A158" s="288">
        <v>161807</v>
      </c>
      <c r="B158" s="156" t="s">
        <v>997</v>
      </c>
      <c r="C158" s="289" t="s">
        <v>848</v>
      </c>
      <c r="D158" s="289" t="s">
        <v>849</v>
      </c>
      <c r="E158" s="289">
        <v>900</v>
      </c>
      <c r="F158" s="157"/>
      <c r="G158" s="200">
        <v>214.814</v>
      </c>
      <c r="H158" s="200">
        <f>'RESIDENT DISTRICT'!$D$8</f>
        <v>0</v>
      </c>
      <c r="I158" s="200">
        <f t="shared" si="12"/>
        <v>-214.814</v>
      </c>
      <c r="J158" s="201">
        <f t="shared" si="13"/>
        <v>-1</v>
      </c>
      <c r="K158" s="200" t="str">
        <f t="shared" si="14"/>
        <v>n</v>
      </c>
    </row>
    <row r="159" spans="1:11" s="155" customFormat="1" ht="11.25">
      <c r="A159" s="288">
        <v>165801</v>
      </c>
      <c r="B159" s="156" t="s">
        <v>1020</v>
      </c>
      <c r="C159" s="289" t="s">
        <v>664</v>
      </c>
      <c r="D159" s="289" t="s">
        <v>58</v>
      </c>
      <c r="E159" s="289">
        <v>300</v>
      </c>
      <c r="F159" s="157"/>
      <c r="G159" s="200">
        <v>105.481</v>
      </c>
      <c r="H159" s="200">
        <f>'RESIDENT DISTRICT'!$D$8</f>
        <v>0</v>
      </c>
      <c r="I159" s="200">
        <f t="shared" si="12"/>
        <v>-105.481</v>
      </c>
      <c r="J159" s="201">
        <f t="shared" si="13"/>
        <v>-1</v>
      </c>
      <c r="K159" s="200" t="str">
        <f t="shared" si="14"/>
        <v>n</v>
      </c>
    </row>
    <row r="160" spans="1:11" s="155" customFormat="1" ht="11.25">
      <c r="A160" s="288">
        <v>165802</v>
      </c>
      <c r="B160" s="156" t="s">
        <v>1020</v>
      </c>
      <c r="C160" s="289" t="s">
        <v>752</v>
      </c>
      <c r="D160" s="289" t="s">
        <v>665</v>
      </c>
      <c r="E160" s="289">
        <v>1170</v>
      </c>
      <c r="F160" s="157"/>
      <c r="G160" s="200">
        <v>469.049</v>
      </c>
      <c r="H160" s="200">
        <f>'RESIDENT DISTRICT'!$D$8</f>
        <v>0</v>
      </c>
      <c r="I160" s="200">
        <f t="shared" si="12"/>
        <v>-469.049</v>
      </c>
      <c r="J160" s="201">
        <f t="shared" si="13"/>
        <v>-1</v>
      </c>
      <c r="K160" s="200" t="str">
        <f t="shared" si="14"/>
        <v>n</v>
      </c>
    </row>
    <row r="161" spans="1:11" s="155" customFormat="1" ht="11.25">
      <c r="A161" s="288">
        <v>170801</v>
      </c>
      <c r="B161" s="156" t="s">
        <v>1020</v>
      </c>
      <c r="C161" s="289" t="s">
        <v>753</v>
      </c>
      <c r="D161" s="289" t="s">
        <v>666</v>
      </c>
      <c r="E161" s="289">
        <v>400</v>
      </c>
      <c r="F161" s="157"/>
      <c r="G161" s="200">
        <v>230.817</v>
      </c>
      <c r="H161" s="200">
        <f>'RESIDENT DISTRICT'!$D$8</f>
        <v>0</v>
      </c>
      <c r="I161" s="200">
        <f t="shared" si="12"/>
        <v>-230.817</v>
      </c>
      <c r="J161" s="201">
        <f t="shared" si="13"/>
        <v>-1</v>
      </c>
      <c r="K161" s="200" t="str">
        <f t="shared" si="14"/>
        <v>n</v>
      </c>
    </row>
    <row r="162" spans="1:11" s="155" customFormat="1" ht="11.25">
      <c r="A162" s="290">
        <v>174801</v>
      </c>
      <c r="B162" s="291" t="s">
        <v>997</v>
      </c>
      <c r="C162" s="292" t="s">
        <v>254</v>
      </c>
      <c r="D162" s="292" t="s">
        <v>255</v>
      </c>
      <c r="E162" s="289">
        <v>320</v>
      </c>
      <c r="F162" s="293" t="s">
        <v>240</v>
      </c>
      <c r="G162" s="200">
        <v>320</v>
      </c>
      <c r="H162" s="200">
        <f>'RESIDENT DISTRICT'!$D$8</f>
        <v>0</v>
      </c>
      <c r="I162" s="200">
        <f aca="true" t="shared" si="15" ref="I162:I193">H162-G162</f>
        <v>-320</v>
      </c>
      <c r="J162" s="201">
        <f aca="true" t="shared" si="16" ref="J162:J193">I162/G162</f>
        <v>-1</v>
      </c>
      <c r="K162" s="200" t="str">
        <f aca="true" t="shared" si="17" ref="K162:K193">IF(ISERROR(J162),0,IF(J162&gt;0.25,"y","n"))</f>
        <v>n</v>
      </c>
    </row>
    <row r="163" spans="1:11" s="155" customFormat="1" ht="11.25">
      <c r="A163" s="288">
        <v>178801</v>
      </c>
      <c r="B163" s="156" t="s">
        <v>1020</v>
      </c>
      <c r="C163" s="289" t="s">
        <v>667</v>
      </c>
      <c r="D163" s="289" t="s">
        <v>668</v>
      </c>
      <c r="E163" s="289">
        <v>500</v>
      </c>
      <c r="F163" s="157"/>
      <c r="G163" s="200">
        <v>201.989</v>
      </c>
      <c r="H163" s="200">
        <f>'RESIDENT DISTRICT'!$D$8</f>
        <v>0</v>
      </c>
      <c r="I163" s="200">
        <f t="shared" si="15"/>
        <v>-201.989</v>
      </c>
      <c r="J163" s="201">
        <f t="shared" si="16"/>
        <v>-1</v>
      </c>
      <c r="K163" s="200" t="str">
        <f t="shared" si="17"/>
        <v>n</v>
      </c>
    </row>
    <row r="164" spans="1:11" s="155" customFormat="1" ht="11.25">
      <c r="A164" s="288">
        <v>178802</v>
      </c>
      <c r="B164" s="156" t="s">
        <v>1020</v>
      </c>
      <c r="C164" s="289" t="s">
        <v>754</v>
      </c>
      <c r="D164" s="289" t="s">
        <v>669</v>
      </c>
      <c r="E164" s="289">
        <v>600</v>
      </c>
      <c r="F164" s="157"/>
      <c r="G164" s="200">
        <v>175.701</v>
      </c>
      <c r="H164" s="200">
        <f>'RESIDENT DISTRICT'!$D$8</f>
        <v>0</v>
      </c>
      <c r="I164" s="200">
        <f t="shared" si="15"/>
        <v>-175.701</v>
      </c>
      <c r="J164" s="201">
        <f t="shared" si="16"/>
        <v>-1</v>
      </c>
      <c r="K164" s="200" t="str">
        <f t="shared" si="17"/>
        <v>n</v>
      </c>
    </row>
    <row r="165" spans="1:11" s="155" customFormat="1" ht="11.25">
      <c r="A165" s="288">
        <v>178804</v>
      </c>
      <c r="B165" s="156" t="s">
        <v>1020</v>
      </c>
      <c r="C165" s="289" t="s">
        <v>670</v>
      </c>
      <c r="D165" s="289" t="s">
        <v>58</v>
      </c>
      <c r="E165" s="289">
        <v>300</v>
      </c>
      <c r="F165" s="157"/>
      <c r="G165" s="200">
        <v>174.643</v>
      </c>
      <c r="H165" s="200">
        <f>'RESIDENT DISTRICT'!$D$8</f>
        <v>0</v>
      </c>
      <c r="I165" s="200">
        <f t="shared" si="15"/>
        <v>-174.643</v>
      </c>
      <c r="J165" s="201">
        <f t="shared" si="16"/>
        <v>-1</v>
      </c>
      <c r="K165" s="200" t="str">
        <f t="shared" si="17"/>
        <v>n</v>
      </c>
    </row>
    <row r="166" spans="1:11" s="155" customFormat="1" ht="11.25">
      <c r="A166" s="288">
        <v>178807</v>
      </c>
      <c r="B166" s="156" t="s">
        <v>997</v>
      </c>
      <c r="C166" s="289" t="s">
        <v>863</v>
      </c>
      <c r="D166" s="289" t="s">
        <v>671</v>
      </c>
      <c r="E166" s="289">
        <v>300</v>
      </c>
      <c r="F166" s="157"/>
      <c r="G166" s="200">
        <v>115.637</v>
      </c>
      <c r="H166" s="200">
        <f>'RESIDENT DISTRICT'!$D$8</f>
        <v>0</v>
      </c>
      <c r="I166" s="200">
        <f t="shared" si="15"/>
        <v>-115.637</v>
      </c>
      <c r="J166" s="201">
        <f t="shared" si="16"/>
        <v>-1</v>
      </c>
      <c r="K166" s="200" t="str">
        <f t="shared" si="17"/>
        <v>n</v>
      </c>
    </row>
    <row r="167" spans="1:11" s="155" customFormat="1" ht="11.25">
      <c r="A167" s="288">
        <v>178808</v>
      </c>
      <c r="B167" s="156" t="s">
        <v>997</v>
      </c>
      <c r="C167" s="289" t="s">
        <v>844</v>
      </c>
      <c r="D167" s="289" t="s">
        <v>845</v>
      </c>
      <c r="E167" s="289">
        <v>300</v>
      </c>
      <c r="F167" s="157"/>
      <c r="G167" s="200">
        <v>89.77</v>
      </c>
      <c r="H167" s="200">
        <f>'RESIDENT DISTRICT'!$D$8</f>
        <v>0</v>
      </c>
      <c r="I167" s="200">
        <f t="shared" si="15"/>
        <v>-89.77</v>
      </c>
      <c r="J167" s="201">
        <f t="shared" si="16"/>
        <v>-1</v>
      </c>
      <c r="K167" s="200" t="str">
        <f t="shared" si="17"/>
        <v>n</v>
      </c>
    </row>
    <row r="168" spans="1:11" s="155" customFormat="1" ht="11.25">
      <c r="A168" s="288">
        <v>183801</v>
      </c>
      <c r="B168" s="156" t="s">
        <v>1020</v>
      </c>
      <c r="C168" s="289" t="s">
        <v>755</v>
      </c>
      <c r="D168" s="289" t="s">
        <v>672</v>
      </c>
      <c r="E168" s="289">
        <v>350</v>
      </c>
      <c r="F168" s="157"/>
      <c r="G168" s="200">
        <v>145.49300000000005</v>
      </c>
      <c r="H168" s="200">
        <f>'RESIDENT DISTRICT'!$D$8</f>
        <v>0</v>
      </c>
      <c r="I168" s="200">
        <f t="shared" si="15"/>
        <v>-145.49300000000005</v>
      </c>
      <c r="J168" s="201">
        <f t="shared" si="16"/>
        <v>-1</v>
      </c>
      <c r="K168" s="200" t="str">
        <f t="shared" si="17"/>
        <v>n</v>
      </c>
    </row>
    <row r="169" spans="1:11" s="155" customFormat="1" ht="11.25">
      <c r="A169" s="288">
        <v>184801</v>
      </c>
      <c r="B169" s="156" t="s">
        <v>997</v>
      </c>
      <c r="C169" s="289" t="s">
        <v>662</v>
      </c>
      <c r="D169" s="289" t="s">
        <v>663</v>
      </c>
      <c r="E169" s="289">
        <v>350</v>
      </c>
      <c r="F169" s="157"/>
      <c r="G169" s="200">
        <v>119.693</v>
      </c>
      <c r="H169" s="200">
        <f>'RESIDENT DISTRICT'!$D$8</f>
        <v>0</v>
      </c>
      <c r="I169" s="200">
        <f t="shared" si="15"/>
        <v>-119.693</v>
      </c>
      <c r="J169" s="201">
        <f t="shared" si="16"/>
        <v>-1</v>
      </c>
      <c r="K169" s="200" t="str">
        <f t="shared" si="17"/>
        <v>n</v>
      </c>
    </row>
    <row r="170" spans="1:11" s="155" customFormat="1" ht="11.25">
      <c r="A170" s="288">
        <v>188801</v>
      </c>
      <c r="B170" s="156" t="s">
        <v>1020</v>
      </c>
      <c r="C170" s="289" t="s">
        <v>756</v>
      </c>
      <c r="D170" s="289" t="s">
        <v>58</v>
      </c>
      <c r="E170" s="289">
        <v>300</v>
      </c>
      <c r="F170" s="157"/>
      <c r="G170" s="200">
        <v>178.04700000000003</v>
      </c>
      <c r="H170" s="200">
        <f>'RESIDENT DISTRICT'!$D$8</f>
        <v>0</v>
      </c>
      <c r="I170" s="200">
        <f t="shared" si="15"/>
        <v>-178.04700000000003</v>
      </c>
      <c r="J170" s="201">
        <f t="shared" si="16"/>
        <v>-1</v>
      </c>
      <c r="K170" s="200" t="str">
        <f t="shared" si="17"/>
        <v>n</v>
      </c>
    </row>
    <row r="171" spans="1:11" s="155" customFormat="1" ht="11.25">
      <c r="A171" s="288">
        <v>193801</v>
      </c>
      <c r="B171" s="156" t="s">
        <v>1020</v>
      </c>
      <c r="C171" s="289" t="s">
        <v>757</v>
      </c>
      <c r="D171" s="289" t="s">
        <v>673</v>
      </c>
      <c r="E171" s="289">
        <v>170</v>
      </c>
      <c r="F171" s="157"/>
      <c r="G171" s="200">
        <v>110.405</v>
      </c>
      <c r="H171" s="200">
        <f>'RESIDENT DISTRICT'!$D$8</f>
        <v>0</v>
      </c>
      <c r="I171" s="200">
        <f t="shared" si="15"/>
        <v>-110.405</v>
      </c>
      <c r="J171" s="201">
        <f t="shared" si="16"/>
        <v>-1</v>
      </c>
      <c r="K171" s="200" t="str">
        <f t="shared" si="17"/>
        <v>n</v>
      </c>
    </row>
    <row r="172" spans="1:11" s="155" customFormat="1" ht="11.25">
      <c r="A172" s="288">
        <v>212801</v>
      </c>
      <c r="B172" s="156" t="s">
        <v>1020</v>
      </c>
      <c r="C172" s="289" t="s">
        <v>758</v>
      </c>
      <c r="D172" s="289" t="s">
        <v>674</v>
      </c>
      <c r="E172" s="289">
        <v>400</v>
      </c>
      <c r="F172" s="157"/>
      <c r="G172" s="200">
        <v>223</v>
      </c>
      <c r="H172" s="200">
        <f>'RESIDENT DISTRICT'!$D$8</f>
        <v>0</v>
      </c>
      <c r="I172" s="200">
        <f t="shared" si="15"/>
        <v>-223</v>
      </c>
      <c r="J172" s="201">
        <f t="shared" si="16"/>
        <v>-1</v>
      </c>
      <c r="K172" s="200" t="str">
        <f t="shared" si="17"/>
        <v>n</v>
      </c>
    </row>
    <row r="173" spans="1:11" s="155" customFormat="1" ht="11.25">
      <c r="A173" s="288">
        <v>212803</v>
      </c>
      <c r="B173" s="156" t="s">
        <v>1020</v>
      </c>
      <c r="C173" s="289" t="s">
        <v>759</v>
      </c>
      <c r="D173" s="289" t="s">
        <v>675</v>
      </c>
      <c r="E173" s="289">
        <v>500</v>
      </c>
      <c r="F173" s="157"/>
      <c r="G173" s="200">
        <v>128.769</v>
      </c>
      <c r="H173" s="200">
        <f>'RESIDENT DISTRICT'!$D$8</f>
        <v>0</v>
      </c>
      <c r="I173" s="200">
        <f t="shared" si="15"/>
        <v>-128.769</v>
      </c>
      <c r="J173" s="201">
        <f t="shared" si="16"/>
        <v>-1</v>
      </c>
      <c r="K173" s="200" t="str">
        <f t="shared" si="17"/>
        <v>n</v>
      </c>
    </row>
    <row r="174" spans="1:11" s="155" customFormat="1" ht="11.25">
      <c r="A174" s="288">
        <v>213801</v>
      </c>
      <c r="B174" s="156" t="s">
        <v>1020</v>
      </c>
      <c r="C174" s="289" t="s">
        <v>760</v>
      </c>
      <c r="D174" s="289" t="s">
        <v>663</v>
      </c>
      <c r="E174" s="289">
        <v>350</v>
      </c>
      <c r="F174" s="157"/>
      <c r="G174" s="200">
        <v>117.16900000000001</v>
      </c>
      <c r="H174" s="200">
        <f>'RESIDENT DISTRICT'!$D$8</f>
        <v>0</v>
      </c>
      <c r="I174" s="200">
        <f t="shared" si="15"/>
        <v>-117.16900000000001</v>
      </c>
      <c r="J174" s="201">
        <f t="shared" si="16"/>
        <v>-1</v>
      </c>
      <c r="K174" s="200" t="str">
        <f t="shared" si="17"/>
        <v>n</v>
      </c>
    </row>
    <row r="175" spans="1:11" s="155" customFormat="1" ht="11.25">
      <c r="A175" s="288">
        <v>220801</v>
      </c>
      <c r="B175" s="156" t="s">
        <v>1020</v>
      </c>
      <c r="C175" s="289" t="s">
        <v>761</v>
      </c>
      <c r="D175" s="289" t="s">
        <v>676</v>
      </c>
      <c r="E175" s="289">
        <v>480</v>
      </c>
      <c r="F175" s="157"/>
      <c r="G175" s="200">
        <v>237.24600000000004</v>
      </c>
      <c r="H175" s="200">
        <f>'RESIDENT DISTRICT'!$D$8</f>
        <v>0</v>
      </c>
      <c r="I175" s="200">
        <f t="shared" si="15"/>
        <v>-237.24600000000004</v>
      </c>
      <c r="J175" s="201">
        <f t="shared" si="16"/>
        <v>-1</v>
      </c>
      <c r="K175" s="200" t="str">
        <f t="shared" si="17"/>
        <v>n</v>
      </c>
    </row>
    <row r="176" spans="1:11" s="155" customFormat="1" ht="11.25">
      <c r="A176" s="288">
        <v>220802</v>
      </c>
      <c r="B176" s="156" t="s">
        <v>1020</v>
      </c>
      <c r="C176" s="289" t="s">
        <v>762</v>
      </c>
      <c r="D176" s="289" t="s">
        <v>677</v>
      </c>
      <c r="E176" s="289">
        <v>800</v>
      </c>
      <c r="F176" s="157"/>
      <c r="G176" s="200">
        <v>421.865</v>
      </c>
      <c r="H176" s="200">
        <f>'RESIDENT DISTRICT'!$D$8</f>
        <v>0</v>
      </c>
      <c r="I176" s="200">
        <f t="shared" si="15"/>
        <v>-421.865</v>
      </c>
      <c r="J176" s="201">
        <f t="shared" si="16"/>
        <v>-1</v>
      </c>
      <c r="K176" s="200" t="str">
        <f t="shared" si="17"/>
        <v>n</v>
      </c>
    </row>
    <row r="177" spans="1:11" s="155" customFormat="1" ht="11.25">
      <c r="A177" s="288">
        <v>220804</v>
      </c>
      <c r="B177" s="156" t="s">
        <v>1020</v>
      </c>
      <c r="C177" s="289" t="s">
        <v>763</v>
      </c>
      <c r="D177" s="289" t="s">
        <v>84</v>
      </c>
      <c r="E177" s="289">
        <v>1000</v>
      </c>
      <c r="F177" s="157"/>
      <c r="G177" s="200">
        <v>655.634</v>
      </c>
      <c r="H177" s="200">
        <f>'RESIDENT DISTRICT'!$D$8</f>
        <v>0</v>
      </c>
      <c r="I177" s="200">
        <f t="shared" si="15"/>
        <v>-655.634</v>
      </c>
      <c r="J177" s="201">
        <f t="shared" si="16"/>
        <v>-1</v>
      </c>
      <c r="K177" s="200" t="str">
        <f t="shared" si="17"/>
        <v>n</v>
      </c>
    </row>
    <row r="178" spans="1:11" s="155" customFormat="1" ht="11.25">
      <c r="A178" s="288">
        <v>220806</v>
      </c>
      <c r="B178" s="156" t="s">
        <v>1020</v>
      </c>
      <c r="C178" s="289" t="s">
        <v>764</v>
      </c>
      <c r="D178" s="289" t="s">
        <v>180</v>
      </c>
      <c r="E178" s="289">
        <v>300</v>
      </c>
      <c r="F178" s="157"/>
      <c r="G178" s="200">
        <v>112.87</v>
      </c>
      <c r="H178" s="200">
        <f>'RESIDENT DISTRICT'!$D$8</f>
        <v>0</v>
      </c>
      <c r="I178" s="200">
        <f t="shared" si="15"/>
        <v>-112.87</v>
      </c>
      <c r="J178" s="201">
        <f t="shared" si="16"/>
        <v>-1</v>
      </c>
      <c r="K178" s="200" t="str">
        <f t="shared" si="17"/>
        <v>n</v>
      </c>
    </row>
    <row r="179" spans="1:11" s="155" customFormat="1" ht="11.25">
      <c r="A179" s="288">
        <v>220808</v>
      </c>
      <c r="B179" s="156" t="s">
        <v>1020</v>
      </c>
      <c r="C179" s="289" t="s">
        <v>678</v>
      </c>
      <c r="D179" s="289" t="s">
        <v>679</v>
      </c>
      <c r="E179" s="289">
        <v>1000</v>
      </c>
      <c r="F179" s="157"/>
      <c r="G179" s="200">
        <v>271.43399999999997</v>
      </c>
      <c r="H179" s="200">
        <f>'RESIDENT DISTRICT'!$D$8</f>
        <v>0</v>
      </c>
      <c r="I179" s="200">
        <f t="shared" si="15"/>
        <v>-271.43399999999997</v>
      </c>
      <c r="J179" s="201">
        <f t="shared" si="16"/>
        <v>-1</v>
      </c>
      <c r="K179" s="200" t="str">
        <f t="shared" si="17"/>
        <v>n</v>
      </c>
    </row>
    <row r="180" spans="1:11" s="155" customFormat="1" ht="11.25">
      <c r="A180" s="288">
        <v>220809</v>
      </c>
      <c r="B180" s="156" t="s">
        <v>1020</v>
      </c>
      <c r="C180" s="289" t="s">
        <v>765</v>
      </c>
      <c r="D180" s="289" t="s">
        <v>680</v>
      </c>
      <c r="E180" s="289">
        <v>500</v>
      </c>
      <c r="F180" s="157"/>
      <c r="G180" s="200">
        <v>354.31399999999996</v>
      </c>
      <c r="H180" s="200">
        <f>'RESIDENT DISTRICT'!$D$8</f>
        <v>0</v>
      </c>
      <c r="I180" s="200">
        <f t="shared" si="15"/>
        <v>-354.31399999999996</v>
      </c>
      <c r="J180" s="201">
        <f t="shared" si="16"/>
        <v>-1</v>
      </c>
      <c r="K180" s="200" t="str">
        <f t="shared" si="17"/>
        <v>n</v>
      </c>
    </row>
    <row r="181" spans="1:11" s="155" customFormat="1" ht="11.25">
      <c r="A181" s="288">
        <v>220810</v>
      </c>
      <c r="B181" s="156" t="s">
        <v>997</v>
      </c>
      <c r="C181" s="289" t="s">
        <v>681</v>
      </c>
      <c r="D181" s="289" t="s">
        <v>682</v>
      </c>
      <c r="E181" s="289">
        <v>800</v>
      </c>
      <c r="F181" s="157"/>
      <c r="G181" s="200">
        <v>353.429</v>
      </c>
      <c r="H181" s="200">
        <f>'RESIDENT DISTRICT'!$D$8</f>
        <v>0</v>
      </c>
      <c r="I181" s="200">
        <f t="shared" si="15"/>
        <v>-353.429</v>
      </c>
      <c r="J181" s="201">
        <f t="shared" si="16"/>
        <v>-1</v>
      </c>
      <c r="K181" s="200" t="str">
        <f t="shared" si="17"/>
        <v>n</v>
      </c>
    </row>
    <row r="182" spans="1:11" s="155" customFormat="1" ht="11.25">
      <c r="A182" s="288">
        <v>220811</v>
      </c>
      <c r="B182" s="156" t="s">
        <v>997</v>
      </c>
      <c r="C182" s="289" t="s">
        <v>943</v>
      </c>
      <c r="D182" s="289" t="s">
        <v>683</v>
      </c>
      <c r="E182" s="289">
        <v>497</v>
      </c>
      <c r="F182" s="157"/>
      <c r="G182" s="200">
        <v>214.675</v>
      </c>
      <c r="H182" s="200">
        <f>'RESIDENT DISTRICT'!$D$8</f>
        <v>0</v>
      </c>
      <c r="I182" s="200">
        <f t="shared" si="15"/>
        <v>-214.675</v>
      </c>
      <c r="J182" s="201">
        <f t="shared" si="16"/>
        <v>-1</v>
      </c>
      <c r="K182" s="200" t="str">
        <f t="shared" si="17"/>
        <v>n</v>
      </c>
    </row>
    <row r="183" spans="1:11" s="155" customFormat="1" ht="11.25">
      <c r="A183" s="288">
        <v>220812</v>
      </c>
      <c r="B183" s="156" t="s">
        <v>997</v>
      </c>
      <c r="C183" s="289" t="s">
        <v>944</v>
      </c>
      <c r="D183" s="289" t="s">
        <v>140</v>
      </c>
      <c r="E183" s="289">
        <v>1000</v>
      </c>
      <c r="F183" s="157"/>
      <c r="G183" s="200">
        <v>144.981</v>
      </c>
      <c r="H183" s="200">
        <f>'RESIDENT DISTRICT'!$D$8</f>
        <v>0</v>
      </c>
      <c r="I183" s="200">
        <f t="shared" si="15"/>
        <v>-144.981</v>
      </c>
      <c r="J183" s="201">
        <f t="shared" si="16"/>
        <v>-1</v>
      </c>
      <c r="K183" s="200" t="str">
        <f t="shared" si="17"/>
        <v>n</v>
      </c>
    </row>
    <row r="184" spans="1:11" s="155" customFormat="1" ht="11.25">
      <c r="A184" s="288">
        <v>220813</v>
      </c>
      <c r="B184" s="156" t="s">
        <v>997</v>
      </c>
      <c r="C184" s="289" t="s">
        <v>684</v>
      </c>
      <c r="D184" s="289" t="s">
        <v>98</v>
      </c>
      <c r="E184" s="289">
        <v>900</v>
      </c>
      <c r="F184" s="157"/>
      <c r="G184" s="200">
        <v>395.088</v>
      </c>
      <c r="H184" s="200">
        <f>'RESIDENT DISTRICT'!$D$8</f>
        <v>0</v>
      </c>
      <c r="I184" s="200">
        <f t="shared" si="15"/>
        <v>-395.088</v>
      </c>
      <c r="J184" s="201">
        <f t="shared" si="16"/>
        <v>-1</v>
      </c>
      <c r="K184" s="200" t="str">
        <f t="shared" si="17"/>
        <v>n</v>
      </c>
    </row>
    <row r="185" spans="1:11" s="155" customFormat="1" ht="11.25">
      <c r="A185" s="288">
        <v>220814</v>
      </c>
      <c r="B185" s="156" t="s">
        <v>997</v>
      </c>
      <c r="C185" s="289" t="s">
        <v>846</v>
      </c>
      <c r="D185" s="289" t="s">
        <v>847</v>
      </c>
      <c r="E185" s="289">
        <v>400</v>
      </c>
      <c r="F185" s="157"/>
      <c r="G185" s="200">
        <v>130.285</v>
      </c>
      <c r="H185" s="200">
        <f>'RESIDENT DISTRICT'!$D$8</f>
        <v>0</v>
      </c>
      <c r="I185" s="200">
        <f t="shared" si="15"/>
        <v>-130.285</v>
      </c>
      <c r="J185" s="201">
        <f t="shared" si="16"/>
        <v>-1</v>
      </c>
      <c r="K185" s="200" t="str">
        <f t="shared" si="17"/>
        <v>n</v>
      </c>
    </row>
    <row r="186" spans="1:11" s="155" customFormat="1" ht="11.25">
      <c r="A186" s="290">
        <v>220815</v>
      </c>
      <c r="B186" s="291" t="s">
        <v>997</v>
      </c>
      <c r="C186" s="292" t="s">
        <v>256</v>
      </c>
      <c r="D186" s="292" t="s">
        <v>257</v>
      </c>
      <c r="E186" s="289">
        <v>520</v>
      </c>
      <c r="F186" s="293" t="s">
        <v>240</v>
      </c>
      <c r="G186" s="200">
        <v>520</v>
      </c>
      <c r="H186" s="200">
        <f>'RESIDENT DISTRICT'!$D$8</f>
        <v>0</v>
      </c>
      <c r="I186" s="200">
        <f t="shared" si="15"/>
        <v>-520</v>
      </c>
      <c r="J186" s="201">
        <f t="shared" si="16"/>
        <v>-1</v>
      </c>
      <c r="K186" s="200" t="str">
        <f t="shared" si="17"/>
        <v>n</v>
      </c>
    </row>
    <row r="187" spans="1:11" s="155" customFormat="1" ht="11.25">
      <c r="A187" s="290">
        <v>220816</v>
      </c>
      <c r="B187" s="291" t="s">
        <v>997</v>
      </c>
      <c r="C187" s="292" t="s">
        <v>258</v>
      </c>
      <c r="D187" s="292" t="s">
        <v>245</v>
      </c>
      <c r="E187" s="289">
        <v>1108</v>
      </c>
      <c r="F187" s="293" t="s">
        <v>240</v>
      </c>
      <c r="G187" s="200">
        <v>1108</v>
      </c>
      <c r="H187" s="200">
        <f>'RESIDENT DISTRICT'!$D$8</f>
        <v>0</v>
      </c>
      <c r="I187" s="200">
        <f t="shared" si="15"/>
        <v>-1108</v>
      </c>
      <c r="J187" s="201">
        <f t="shared" si="16"/>
        <v>-1</v>
      </c>
      <c r="K187" s="200" t="str">
        <f t="shared" si="17"/>
        <v>n</v>
      </c>
    </row>
    <row r="188" spans="1:11" s="155" customFormat="1" ht="33.75">
      <c r="A188" s="288">
        <v>221801</v>
      </c>
      <c r="B188" s="156" t="s">
        <v>1020</v>
      </c>
      <c r="C188" s="289" t="s">
        <v>873</v>
      </c>
      <c r="D188" s="289" t="s">
        <v>855</v>
      </c>
      <c r="E188" s="289">
        <v>8400</v>
      </c>
      <c r="F188" s="223" t="s">
        <v>259</v>
      </c>
      <c r="G188" s="200">
        <v>2473.395</v>
      </c>
      <c r="H188" s="200">
        <f>'RESIDENT DISTRICT'!$D$8</f>
        <v>0</v>
      </c>
      <c r="I188" s="200">
        <f t="shared" si="15"/>
        <v>-2473.395</v>
      </c>
      <c r="J188" s="201">
        <f t="shared" si="16"/>
        <v>-1</v>
      </c>
      <c r="K188" s="200" t="str">
        <f t="shared" si="17"/>
        <v>n</v>
      </c>
    </row>
    <row r="189" spans="1:11" s="155" customFormat="1" ht="11.25">
      <c r="A189" s="288">
        <v>227801</v>
      </c>
      <c r="B189" s="156" t="s">
        <v>1020</v>
      </c>
      <c r="C189" s="289" t="s">
        <v>685</v>
      </c>
      <c r="D189" s="289" t="s">
        <v>686</v>
      </c>
      <c r="E189" s="289">
        <v>750</v>
      </c>
      <c r="F189" s="157"/>
      <c r="G189" s="200">
        <v>246.71399999999994</v>
      </c>
      <c r="H189" s="200">
        <f>'RESIDENT DISTRICT'!$D$8</f>
        <v>0</v>
      </c>
      <c r="I189" s="200">
        <f t="shared" si="15"/>
        <v>-246.71399999999994</v>
      </c>
      <c r="J189" s="201">
        <f t="shared" si="16"/>
        <v>-1</v>
      </c>
      <c r="K189" s="200" t="str">
        <f t="shared" si="17"/>
        <v>n</v>
      </c>
    </row>
    <row r="190" spans="1:11" s="155" customFormat="1" ht="11.25">
      <c r="A190" s="288">
        <v>227803</v>
      </c>
      <c r="B190" s="156" t="s">
        <v>1020</v>
      </c>
      <c r="C190" s="289" t="s">
        <v>766</v>
      </c>
      <c r="D190" s="289" t="s">
        <v>687</v>
      </c>
      <c r="E190" s="289">
        <v>240</v>
      </c>
      <c r="F190" s="157"/>
      <c r="G190" s="200">
        <v>152.70899999999995</v>
      </c>
      <c r="H190" s="200">
        <f>'RESIDENT DISTRICT'!$D$8</f>
        <v>0</v>
      </c>
      <c r="I190" s="200">
        <f t="shared" si="15"/>
        <v>-152.70899999999995</v>
      </c>
      <c r="J190" s="201">
        <f t="shared" si="16"/>
        <v>-1</v>
      </c>
      <c r="K190" s="200" t="str">
        <f t="shared" si="17"/>
        <v>n</v>
      </c>
    </row>
    <row r="191" spans="1:11" s="155" customFormat="1" ht="11.25">
      <c r="A191" s="288">
        <v>227804</v>
      </c>
      <c r="B191" s="156" t="s">
        <v>1020</v>
      </c>
      <c r="C191" s="289" t="s">
        <v>767</v>
      </c>
      <c r="D191" s="289" t="s">
        <v>688</v>
      </c>
      <c r="E191" s="289">
        <v>640</v>
      </c>
      <c r="F191" s="157"/>
      <c r="G191" s="200">
        <v>571.113</v>
      </c>
      <c r="H191" s="200">
        <f>'RESIDENT DISTRICT'!$D$8</f>
        <v>0</v>
      </c>
      <c r="I191" s="200">
        <f t="shared" si="15"/>
        <v>-571.113</v>
      </c>
      <c r="J191" s="201">
        <f t="shared" si="16"/>
        <v>-1</v>
      </c>
      <c r="K191" s="200" t="str">
        <f t="shared" si="17"/>
        <v>n</v>
      </c>
    </row>
    <row r="192" spans="1:11" s="155" customFormat="1" ht="11.25">
      <c r="A192" s="288">
        <v>227805</v>
      </c>
      <c r="B192" s="156" t="s">
        <v>1020</v>
      </c>
      <c r="C192" s="289" t="s">
        <v>768</v>
      </c>
      <c r="D192" s="289" t="s">
        <v>689</v>
      </c>
      <c r="E192" s="289">
        <v>225</v>
      </c>
      <c r="F192" s="157"/>
      <c r="G192" s="200">
        <v>118.177</v>
      </c>
      <c r="H192" s="200">
        <f>'RESIDENT DISTRICT'!$D$8</f>
        <v>0</v>
      </c>
      <c r="I192" s="200">
        <f t="shared" si="15"/>
        <v>-118.177</v>
      </c>
      <c r="J192" s="201">
        <f t="shared" si="16"/>
        <v>-1</v>
      </c>
      <c r="K192" s="200" t="str">
        <f t="shared" si="17"/>
        <v>n</v>
      </c>
    </row>
    <row r="193" spans="1:11" s="155" customFormat="1" ht="11.25">
      <c r="A193" s="288">
        <v>227806</v>
      </c>
      <c r="B193" s="156" t="s">
        <v>1020</v>
      </c>
      <c r="C193" s="289" t="s">
        <v>722</v>
      </c>
      <c r="D193" s="289" t="s">
        <v>723</v>
      </c>
      <c r="E193" s="289">
        <v>2000</v>
      </c>
      <c r="F193" s="157"/>
      <c r="G193" s="200">
        <v>956.7560000000001</v>
      </c>
      <c r="H193" s="200">
        <f>'RESIDENT DISTRICT'!$D$8</f>
        <v>0</v>
      </c>
      <c r="I193" s="200">
        <f t="shared" si="15"/>
        <v>-956.7560000000001</v>
      </c>
      <c r="J193" s="201">
        <f t="shared" si="16"/>
        <v>-1</v>
      </c>
      <c r="K193" s="200" t="str">
        <f t="shared" si="17"/>
        <v>n</v>
      </c>
    </row>
    <row r="194" spans="1:11" s="155" customFormat="1" ht="11.25">
      <c r="A194" s="288">
        <v>227812</v>
      </c>
      <c r="B194" s="156" t="s">
        <v>1020</v>
      </c>
      <c r="C194" s="289" t="s">
        <v>769</v>
      </c>
      <c r="D194" s="289" t="s">
        <v>724</v>
      </c>
      <c r="E194" s="289">
        <v>500</v>
      </c>
      <c r="F194" s="157"/>
      <c r="G194" s="200">
        <v>30.867</v>
      </c>
      <c r="H194" s="200">
        <f>'RESIDENT DISTRICT'!$D$8</f>
        <v>0</v>
      </c>
      <c r="I194" s="200">
        <f aca="true" t="shared" si="18" ref="I194:I200">H194-G194</f>
        <v>-30.867</v>
      </c>
      <c r="J194" s="201">
        <f aca="true" t="shared" si="19" ref="J194:J200">I194/G194</f>
        <v>-1</v>
      </c>
      <c r="K194" s="200" t="str">
        <f aca="true" t="shared" si="20" ref="K194:K210">IF(ISERROR(J194),0,IF(J194&gt;0.25,"y","n"))</f>
        <v>n</v>
      </c>
    </row>
    <row r="195" spans="1:11" s="155" customFormat="1" ht="11.25">
      <c r="A195" s="288">
        <v>227814</v>
      </c>
      <c r="B195" s="156" t="s">
        <v>1020</v>
      </c>
      <c r="C195" s="289" t="s">
        <v>770</v>
      </c>
      <c r="D195" s="289" t="s">
        <v>725</v>
      </c>
      <c r="E195" s="289">
        <v>360</v>
      </c>
      <c r="F195" s="157"/>
      <c r="G195" s="200">
        <v>290.11</v>
      </c>
      <c r="H195" s="200">
        <f>'RESIDENT DISTRICT'!$D$8</f>
        <v>0</v>
      </c>
      <c r="I195" s="200">
        <f t="shared" si="18"/>
        <v>-290.11</v>
      </c>
      <c r="J195" s="201">
        <f t="shared" si="19"/>
        <v>-1</v>
      </c>
      <c r="K195" s="200" t="str">
        <f t="shared" si="20"/>
        <v>n</v>
      </c>
    </row>
    <row r="196" spans="1:11" s="155" customFormat="1" ht="11.25">
      <c r="A196" s="288">
        <v>227816</v>
      </c>
      <c r="B196" s="156" t="s">
        <v>997</v>
      </c>
      <c r="C196" s="289" t="s">
        <v>726</v>
      </c>
      <c r="D196" s="289" t="s">
        <v>98</v>
      </c>
      <c r="E196" s="289">
        <v>400</v>
      </c>
      <c r="F196" s="157"/>
      <c r="G196" s="200">
        <v>275.478</v>
      </c>
      <c r="H196" s="200">
        <f>'RESIDENT DISTRICT'!$D$8</f>
        <v>0</v>
      </c>
      <c r="I196" s="200">
        <f t="shared" si="18"/>
        <v>-275.478</v>
      </c>
      <c r="J196" s="201">
        <f t="shared" si="19"/>
        <v>-1</v>
      </c>
      <c r="K196" s="200" t="str">
        <f t="shared" si="20"/>
        <v>n</v>
      </c>
    </row>
    <row r="197" spans="1:11" s="155" customFormat="1" ht="11.25">
      <c r="A197" s="288">
        <v>227817</v>
      </c>
      <c r="B197" s="156" t="s">
        <v>1020</v>
      </c>
      <c r="C197" s="289" t="s">
        <v>771</v>
      </c>
      <c r="D197" s="289" t="s">
        <v>727</v>
      </c>
      <c r="E197" s="289">
        <v>500</v>
      </c>
      <c r="F197" s="157"/>
      <c r="G197" s="200">
        <v>156.988</v>
      </c>
      <c r="H197" s="200">
        <f>'RESIDENT DISTRICT'!$D$8</f>
        <v>0</v>
      </c>
      <c r="I197" s="200">
        <f t="shared" si="18"/>
        <v>-156.988</v>
      </c>
      <c r="J197" s="201">
        <f t="shared" si="19"/>
        <v>-1</v>
      </c>
      <c r="K197" s="200" t="str">
        <f t="shared" si="20"/>
        <v>n</v>
      </c>
    </row>
    <row r="198" spans="1:11" s="155" customFormat="1" ht="11.25">
      <c r="A198" s="288">
        <v>227818</v>
      </c>
      <c r="B198" s="156" t="s">
        <v>997</v>
      </c>
      <c r="C198" s="289" t="s">
        <v>772</v>
      </c>
      <c r="D198" s="289" t="s">
        <v>84</v>
      </c>
      <c r="E198" s="289">
        <v>500</v>
      </c>
      <c r="F198" s="157"/>
      <c r="G198" s="200">
        <v>254.667</v>
      </c>
      <c r="H198" s="200">
        <f>'RESIDENT DISTRICT'!$D$8</f>
        <v>0</v>
      </c>
      <c r="I198" s="200">
        <f t="shared" si="18"/>
        <v>-254.667</v>
      </c>
      <c r="J198" s="201">
        <f t="shared" si="19"/>
        <v>-1</v>
      </c>
      <c r="K198" s="200" t="str">
        <f t="shared" si="20"/>
        <v>n</v>
      </c>
    </row>
    <row r="199" spans="1:11" s="155" customFormat="1" ht="11.25">
      <c r="A199" s="288">
        <v>227819</v>
      </c>
      <c r="B199" s="156" t="s">
        <v>997</v>
      </c>
      <c r="C199" s="289" t="s">
        <v>728</v>
      </c>
      <c r="D199" s="289" t="s">
        <v>723</v>
      </c>
      <c r="E199" s="289">
        <v>300</v>
      </c>
      <c r="F199" s="157"/>
      <c r="G199" s="200">
        <v>236.674</v>
      </c>
      <c r="H199" s="200">
        <f>'RESIDENT DISTRICT'!$D$8</f>
        <v>0</v>
      </c>
      <c r="I199" s="200">
        <f t="shared" si="18"/>
        <v>-236.674</v>
      </c>
      <c r="J199" s="201">
        <f t="shared" si="19"/>
        <v>-1</v>
      </c>
      <c r="K199" s="200" t="str">
        <f t="shared" si="20"/>
        <v>n</v>
      </c>
    </row>
    <row r="200" spans="1:11" s="155" customFormat="1" ht="33.75">
      <c r="A200" s="288">
        <v>227820</v>
      </c>
      <c r="B200" s="156" t="s">
        <v>997</v>
      </c>
      <c r="C200" s="289" t="s">
        <v>773</v>
      </c>
      <c r="D200" s="289" t="s">
        <v>729</v>
      </c>
      <c r="E200" s="289">
        <v>5280</v>
      </c>
      <c r="F200" s="223" t="s">
        <v>260</v>
      </c>
      <c r="G200" s="200">
        <v>352.75</v>
      </c>
      <c r="H200" s="200">
        <f>'RESIDENT DISTRICT'!$D$8</f>
        <v>0</v>
      </c>
      <c r="I200" s="200">
        <f t="shared" si="18"/>
        <v>-352.75</v>
      </c>
      <c r="J200" s="201">
        <f t="shared" si="19"/>
        <v>-1</v>
      </c>
      <c r="K200" s="200" t="str">
        <f t="shared" si="20"/>
        <v>n</v>
      </c>
    </row>
    <row r="201" spans="1:11" s="155" customFormat="1" ht="11.25">
      <c r="A201" s="288">
        <v>227821</v>
      </c>
      <c r="B201" s="156" t="s">
        <v>997</v>
      </c>
      <c r="C201" s="289" t="s">
        <v>862</v>
      </c>
      <c r="D201" s="289" t="s">
        <v>730</v>
      </c>
      <c r="E201" s="289">
        <v>240</v>
      </c>
      <c r="F201" s="157"/>
      <c r="G201" s="200">
        <v>218.485</v>
      </c>
      <c r="H201" s="200">
        <f>'RESIDENT DISTRICT'!$D$8</f>
        <v>0</v>
      </c>
      <c r="I201" s="200">
        <f aca="true" t="shared" si="21" ref="I201:I210">H201-G201</f>
        <v>-218.485</v>
      </c>
      <c r="J201" s="201">
        <f aca="true" t="shared" si="22" ref="J201:J210">I201/G201</f>
        <v>-1</v>
      </c>
      <c r="K201" s="200" t="str">
        <f t="shared" si="20"/>
        <v>n</v>
      </c>
    </row>
    <row r="202" spans="1:11" ht="12.75">
      <c r="A202" s="288">
        <v>227822</v>
      </c>
      <c r="B202" s="156" t="s">
        <v>997</v>
      </c>
      <c r="C202" s="289" t="s">
        <v>731</v>
      </c>
      <c r="D202" s="289" t="s">
        <v>98</v>
      </c>
      <c r="E202" s="289">
        <v>450</v>
      </c>
      <c r="F202" s="157"/>
      <c r="G202" s="200">
        <v>259.349</v>
      </c>
      <c r="H202" s="200">
        <f>'RESIDENT DISTRICT'!$D$8</f>
        <v>0</v>
      </c>
      <c r="I202" s="200">
        <f t="shared" si="21"/>
        <v>-259.349</v>
      </c>
      <c r="J202" s="201">
        <f t="shared" si="22"/>
        <v>-1</v>
      </c>
      <c r="K202" s="200" t="str">
        <f t="shared" si="20"/>
        <v>n</v>
      </c>
    </row>
    <row r="203" spans="1:11" ht="12.75">
      <c r="A203" s="288">
        <v>227823</v>
      </c>
      <c r="B203" s="156" t="s">
        <v>997</v>
      </c>
      <c r="C203" s="289" t="s">
        <v>852</v>
      </c>
      <c r="D203" s="289" t="s">
        <v>853</v>
      </c>
      <c r="E203" s="289">
        <v>500</v>
      </c>
      <c r="F203" s="157"/>
      <c r="G203" s="200">
        <v>159.937</v>
      </c>
      <c r="H203" s="200">
        <f>'RESIDENT DISTRICT'!$D$8</f>
        <v>0</v>
      </c>
      <c r="I203" s="200">
        <f t="shared" si="21"/>
        <v>-159.937</v>
      </c>
      <c r="J203" s="201">
        <f t="shared" si="22"/>
        <v>-1</v>
      </c>
      <c r="K203" s="200" t="str">
        <f t="shared" si="20"/>
        <v>n</v>
      </c>
    </row>
    <row r="204" spans="1:11" ht="12.75">
      <c r="A204" s="288">
        <v>232801</v>
      </c>
      <c r="B204" s="156" t="s">
        <v>1020</v>
      </c>
      <c r="C204" s="289" t="s">
        <v>774</v>
      </c>
      <c r="D204" s="289" t="s">
        <v>732</v>
      </c>
      <c r="E204" s="289">
        <v>250</v>
      </c>
      <c r="F204" s="157"/>
      <c r="G204" s="200">
        <v>118.877</v>
      </c>
      <c r="H204" s="200">
        <f>'RESIDENT DISTRICT'!$D$8</f>
        <v>0</v>
      </c>
      <c r="I204" s="200">
        <f t="shared" si="21"/>
        <v>-118.877</v>
      </c>
      <c r="J204" s="201">
        <f t="shared" si="22"/>
        <v>-1</v>
      </c>
      <c r="K204" s="200" t="str">
        <f t="shared" si="20"/>
        <v>n</v>
      </c>
    </row>
    <row r="205" spans="1:11" ht="22.5">
      <c r="A205" s="288">
        <v>234801</v>
      </c>
      <c r="B205" s="156" t="s">
        <v>1020</v>
      </c>
      <c r="C205" s="289" t="s">
        <v>775</v>
      </c>
      <c r="D205" s="289" t="s">
        <v>733</v>
      </c>
      <c r="E205" s="289">
        <v>150</v>
      </c>
      <c r="F205" s="223" t="s">
        <v>261</v>
      </c>
      <c r="G205" s="200">
        <v>44.542</v>
      </c>
      <c r="H205" s="200">
        <f>'RESIDENT DISTRICT'!$D$8</f>
        <v>0</v>
      </c>
      <c r="I205" s="200">
        <f t="shared" si="21"/>
        <v>-44.542</v>
      </c>
      <c r="J205" s="201">
        <f t="shared" si="22"/>
        <v>-1</v>
      </c>
      <c r="K205" s="200" t="str">
        <f t="shared" si="20"/>
        <v>n</v>
      </c>
    </row>
    <row r="206" spans="1:11" ht="12.75">
      <c r="A206" s="288">
        <v>235801</v>
      </c>
      <c r="B206" s="156" t="s">
        <v>997</v>
      </c>
      <c r="C206" s="289" t="s">
        <v>776</v>
      </c>
      <c r="D206" s="289" t="s">
        <v>734</v>
      </c>
      <c r="E206" s="289">
        <v>500</v>
      </c>
      <c r="F206" s="157"/>
      <c r="G206" s="200">
        <v>169.348</v>
      </c>
      <c r="H206" s="200">
        <f>'RESIDENT DISTRICT'!$D$8</f>
        <v>0</v>
      </c>
      <c r="I206" s="200">
        <f t="shared" si="21"/>
        <v>-169.348</v>
      </c>
      <c r="J206" s="201">
        <f t="shared" si="22"/>
        <v>-1</v>
      </c>
      <c r="K206" s="200" t="str">
        <f t="shared" si="20"/>
        <v>n</v>
      </c>
    </row>
    <row r="207" spans="1:11" ht="12.75">
      <c r="A207" s="288">
        <v>236801</v>
      </c>
      <c r="B207" s="156" t="s">
        <v>1020</v>
      </c>
      <c r="C207" s="289" t="s">
        <v>777</v>
      </c>
      <c r="D207" s="289" t="s">
        <v>735</v>
      </c>
      <c r="E207" s="289">
        <v>400</v>
      </c>
      <c r="F207" s="157"/>
      <c r="G207" s="200">
        <v>173.813</v>
      </c>
      <c r="H207" s="200">
        <f>'RESIDENT DISTRICT'!$D$8</f>
        <v>0</v>
      </c>
      <c r="I207" s="200">
        <f t="shared" si="21"/>
        <v>-173.813</v>
      </c>
      <c r="J207" s="201">
        <f t="shared" si="22"/>
        <v>-1</v>
      </c>
      <c r="K207" s="200" t="str">
        <f t="shared" si="20"/>
        <v>n</v>
      </c>
    </row>
    <row r="208" spans="1:11" ht="12.75">
      <c r="A208" s="288">
        <v>240801</v>
      </c>
      <c r="B208" s="156" t="s">
        <v>1020</v>
      </c>
      <c r="C208" s="289" t="s">
        <v>736</v>
      </c>
      <c r="D208" s="289" t="s">
        <v>143</v>
      </c>
      <c r="E208" s="289">
        <v>700</v>
      </c>
      <c r="F208" s="157"/>
      <c r="G208" s="200">
        <v>341.78700000000003</v>
      </c>
      <c r="H208" s="200">
        <f>'RESIDENT DISTRICT'!$D$8</f>
        <v>0</v>
      </c>
      <c r="I208" s="200">
        <f t="shared" si="21"/>
        <v>-341.78700000000003</v>
      </c>
      <c r="J208" s="201">
        <f t="shared" si="22"/>
        <v>-1</v>
      </c>
      <c r="K208" s="200" t="str">
        <f t="shared" si="20"/>
        <v>n</v>
      </c>
    </row>
    <row r="209" spans="1:11" ht="12.75">
      <c r="A209" s="290">
        <v>240804</v>
      </c>
      <c r="B209" s="291" t="s">
        <v>997</v>
      </c>
      <c r="C209" s="292" t="s">
        <v>262</v>
      </c>
      <c r="D209" s="292" t="s">
        <v>98</v>
      </c>
      <c r="E209" s="289">
        <v>900</v>
      </c>
      <c r="F209" s="293" t="s">
        <v>240</v>
      </c>
      <c r="G209" s="200">
        <v>900</v>
      </c>
      <c r="H209" s="200">
        <f>'RESIDENT DISTRICT'!$D$8</f>
        <v>0</v>
      </c>
      <c r="I209" s="200">
        <f t="shared" si="21"/>
        <v>-900</v>
      </c>
      <c r="J209" s="201">
        <f t="shared" si="22"/>
        <v>-1</v>
      </c>
      <c r="K209" s="200" t="str">
        <f t="shared" si="20"/>
        <v>n</v>
      </c>
    </row>
    <row r="210" spans="1:11" ht="12.75">
      <c r="A210" s="288">
        <v>243801</v>
      </c>
      <c r="B210" s="156" t="s">
        <v>1020</v>
      </c>
      <c r="C210" s="289" t="s">
        <v>778</v>
      </c>
      <c r="D210" s="289" t="s">
        <v>737</v>
      </c>
      <c r="E210" s="289">
        <v>400</v>
      </c>
      <c r="F210" s="157"/>
      <c r="G210" s="200">
        <v>145.04</v>
      </c>
      <c r="H210" s="200">
        <f>'RESIDENT DISTRICT'!$D$8</f>
        <v>0</v>
      </c>
      <c r="I210" s="200">
        <f t="shared" si="21"/>
        <v>-145.04</v>
      </c>
      <c r="J210" s="201">
        <f t="shared" si="22"/>
        <v>-1</v>
      </c>
      <c r="K210" s="200" t="str">
        <f t="shared" si="20"/>
        <v>n</v>
      </c>
    </row>
  </sheetData>
  <sheetProtection password="EE9D" sheet="1" objects="1" scenarios="1"/>
  <printOptions horizontalCentered="1"/>
  <pageMargins left="0.75" right="0.75" top="1" bottom="1" header="0.5" footer="0.5"/>
  <pageSetup horizontalDpi="600" verticalDpi="600" orientation="portrait" scale="70" r:id="rId1"/>
</worksheet>
</file>

<file path=xl/worksheets/sheet13.xml><?xml version="1.0" encoding="utf-8"?>
<worksheet xmlns="http://schemas.openxmlformats.org/spreadsheetml/2006/main" xmlns:r="http://schemas.openxmlformats.org/officeDocument/2006/relationships">
  <dimension ref="A1:AG42"/>
  <sheetViews>
    <sheetView zoomScalePageLayoutView="0" workbookViewId="0" topLeftCell="A1">
      <pane xSplit="3" ySplit="1" topLeftCell="D16" activePane="bottomRight" state="frozen"/>
      <selection pane="topLeft" activeCell="A1" sqref="A1"/>
      <selection pane="topRight" activeCell="D1" sqref="D1"/>
      <selection pane="bottomLeft" activeCell="A2" sqref="A2"/>
      <selection pane="bottomRight" activeCell="A16" sqref="A16"/>
    </sheetView>
  </sheetViews>
  <sheetFormatPr defaultColWidth="9.140625" defaultRowHeight="12.75"/>
  <cols>
    <col min="1" max="1" width="17.57421875" style="27" customWidth="1"/>
    <col min="2" max="2" width="7.00390625" style="25" bestFit="1" customWidth="1"/>
    <col min="3" max="3" width="15.28125" style="25" bestFit="1" customWidth="1"/>
    <col min="4" max="4" width="12.421875" style="27" bestFit="1" customWidth="1"/>
    <col min="5" max="5" width="15.28125" style="27" bestFit="1" customWidth="1"/>
    <col min="6" max="6" width="12.140625" style="27" bestFit="1" customWidth="1"/>
    <col min="7" max="7" width="8.28125" style="27" bestFit="1" customWidth="1"/>
    <col min="8" max="8" width="7.8515625" style="27" bestFit="1" customWidth="1"/>
    <col min="9" max="9" width="9.421875" style="27" bestFit="1" customWidth="1"/>
    <col min="10" max="10" width="21.00390625" style="27" bestFit="1" customWidth="1"/>
    <col min="11" max="11" width="26.421875" style="27" bestFit="1" customWidth="1"/>
    <col min="12" max="12" width="18.421875" style="27" bestFit="1" customWidth="1"/>
    <col min="13" max="13" width="7.57421875" style="27" bestFit="1" customWidth="1"/>
    <col min="14" max="14" width="13.57421875" style="27" bestFit="1" customWidth="1"/>
    <col min="15" max="15" width="20.140625" style="27" bestFit="1" customWidth="1"/>
    <col min="16" max="16" width="16.7109375" style="27" bestFit="1" customWidth="1"/>
    <col min="17" max="17" width="12.7109375" style="27" bestFit="1" customWidth="1"/>
    <col min="18" max="18" width="12.00390625" style="27" bestFit="1" customWidth="1"/>
    <col min="19" max="19" width="9.140625" style="27" bestFit="1" customWidth="1"/>
    <col min="20" max="20" width="9.57421875" style="27" bestFit="1" customWidth="1"/>
    <col min="21" max="21" width="7.57421875" style="27" bestFit="1" customWidth="1"/>
    <col min="22" max="22" width="13.57421875" style="27" bestFit="1" customWidth="1"/>
    <col min="23" max="23" width="13.8515625" style="27" bestFit="1" customWidth="1"/>
    <col min="24" max="24" width="9.28125" style="25" bestFit="1" customWidth="1"/>
    <col min="25" max="25" width="18.00390625" style="25" bestFit="1" customWidth="1"/>
    <col min="26" max="26" width="12.8515625" style="25" bestFit="1" customWidth="1"/>
    <col min="27" max="27" width="12.421875" style="25" bestFit="1" customWidth="1"/>
    <col min="28" max="28" width="14.140625" style="25" bestFit="1" customWidth="1"/>
    <col min="29" max="29" width="13.140625" style="25" bestFit="1" customWidth="1"/>
    <col min="30" max="30" width="21.8515625" style="25" bestFit="1" customWidth="1"/>
    <col min="31" max="31" width="9.00390625" style="25" bestFit="1" customWidth="1"/>
    <col min="32" max="32" width="16.8515625" style="25" bestFit="1" customWidth="1"/>
    <col min="33" max="33" width="18.8515625" style="25" bestFit="1" customWidth="1"/>
    <col min="34" max="16384" width="9.140625" style="25" customWidth="1"/>
  </cols>
  <sheetData>
    <row r="1" spans="1:33" ht="12.75">
      <c r="A1" s="26" t="s">
        <v>951</v>
      </c>
      <c r="B1" s="24" t="s">
        <v>898</v>
      </c>
      <c r="C1" s="24" t="s">
        <v>952</v>
      </c>
      <c r="D1" s="26" t="s">
        <v>875</v>
      </c>
      <c r="E1" s="26" t="s">
        <v>953</v>
      </c>
      <c r="F1" s="26" t="s">
        <v>954</v>
      </c>
      <c r="G1" s="26" t="s">
        <v>955</v>
      </c>
      <c r="H1" s="26" t="s">
        <v>956</v>
      </c>
      <c r="I1" s="26" t="s">
        <v>957</v>
      </c>
      <c r="J1" s="26" t="s">
        <v>958</v>
      </c>
      <c r="K1" s="26" t="s">
        <v>959</v>
      </c>
      <c r="L1" s="26" t="s">
        <v>960</v>
      </c>
      <c r="M1" s="26" t="s">
        <v>961</v>
      </c>
      <c r="N1" s="26" t="s">
        <v>962</v>
      </c>
      <c r="O1" s="26" t="s">
        <v>963</v>
      </c>
      <c r="P1" s="26" t="s">
        <v>964</v>
      </c>
      <c r="Q1" s="26" t="s">
        <v>965</v>
      </c>
      <c r="R1" s="26" t="s">
        <v>966</v>
      </c>
      <c r="S1" s="26" t="s">
        <v>967</v>
      </c>
      <c r="T1" s="26" t="s">
        <v>968</v>
      </c>
      <c r="U1" s="26" t="s">
        <v>969</v>
      </c>
      <c r="V1" s="26" t="s">
        <v>970</v>
      </c>
      <c r="W1" s="26" t="s">
        <v>971</v>
      </c>
      <c r="X1" s="24" t="s">
        <v>972</v>
      </c>
      <c r="Y1" s="24" t="s">
        <v>973</v>
      </c>
      <c r="Z1" s="24" t="s">
        <v>974</v>
      </c>
      <c r="AA1" s="24" t="s">
        <v>975</v>
      </c>
      <c r="AB1" s="24" t="s">
        <v>976</v>
      </c>
      <c r="AC1" s="24" t="s">
        <v>977</v>
      </c>
      <c r="AD1" s="24" t="s">
        <v>978</v>
      </c>
      <c r="AE1" s="24" t="s">
        <v>979</v>
      </c>
      <c r="AF1" s="24" t="s">
        <v>980</v>
      </c>
      <c r="AG1" s="24" t="s">
        <v>981</v>
      </c>
    </row>
    <row r="2" spans="1:33" ht="12.75">
      <c r="A2" s="27">
        <f>ENROLLMENT!$A$4</f>
        <v>0</v>
      </c>
      <c r="B2" s="23">
        <f>IF(C2&gt;0,'RISD1-8'!$A$2,0)</f>
        <v>0</v>
      </c>
      <c r="C2" s="23">
        <f>IF(A2="STATE AVG","NULL",ENROLLMENT!B$8)</f>
        <v>0</v>
      </c>
      <c r="D2" s="30">
        <f>'RISD1-8'!$B$7</f>
        <v>0</v>
      </c>
      <c r="E2" s="30">
        <v>0</v>
      </c>
      <c r="F2" s="30">
        <f>'RISD1-8'!$B$9</f>
        <v>0</v>
      </c>
      <c r="G2" s="30">
        <f>'RISD1-8'!$B$10</f>
        <v>0</v>
      </c>
      <c r="H2" s="30">
        <f>'RISD1-8'!$B$11</f>
        <v>0</v>
      </c>
      <c r="I2" s="30">
        <f>'RISD1-8'!$B$12</f>
        <v>0</v>
      </c>
      <c r="J2" s="30">
        <f>'RISD1-8'!$B$13</f>
        <v>0</v>
      </c>
      <c r="K2" s="30">
        <f>'RISD1-8'!$B$14</f>
        <v>0</v>
      </c>
      <c r="L2" s="30">
        <f>'RISD1-8'!$B$15</f>
        <v>0</v>
      </c>
      <c r="M2" s="30">
        <f>'RISD1-8'!$B$16</f>
        <v>0</v>
      </c>
      <c r="N2" s="30">
        <f>'RISD1-8'!$B$17</f>
        <v>0</v>
      </c>
      <c r="O2" s="30">
        <f>'RISD1-8'!$B$18</f>
        <v>0</v>
      </c>
      <c r="P2" s="30">
        <f>'RISD1-8'!$B$19</f>
        <v>0</v>
      </c>
      <c r="Q2" s="30">
        <f>'RISD1-8'!$B$22</f>
        <v>0</v>
      </c>
      <c r="R2" s="30">
        <f>'RISD1-8'!$B$24</f>
        <v>0</v>
      </c>
      <c r="S2" s="30">
        <f>'RISD1-8'!$B$25</f>
        <v>0</v>
      </c>
      <c r="T2" s="30">
        <f>'RISD1-8'!$B$27</f>
        <v>0</v>
      </c>
      <c r="U2" s="30">
        <f>'RISD1-8'!$B$28</f>
        <v>0</v>
      </c>
      <c r="V2" s="30">
        <f>'RISD1-8'!$B$29</f>
        <v>0</v>
      </c>
      <c r="W2" s="30">
        <f>'RISD1-8'!$B$23</f>
        <v>0</v>
      </c>
      <c r="X2" s="29">
        <v>0</v>
      </c>
      <c r="Y2" s="29">
        <v>0</v>
      </c>
      <c r="Z2" s="29">
        <v>0</v>
      </c>
      <c r="AA2" s="29">
        <v>0</v>
      </c>
      <c r="AB2" s="29">
        <v>0</v>
      </c>
      <c r="AC2" s="29">
        <v>0</v>
      </c>
      <c r="AD2" s="29">
        <v>0</v>
      </c>
      <c r="AE2" s="29">
        <v>0</v>
      </c>
      <c r="AF2" s="29">
        <v>0</v>
      </c>
      <c r="AG2" s="29">
        <v>0</v>
      </c>
    </row>
    <row r="3" spans="1:33" ht="12.75">
      <c r="A3" s="27">
        <f>ENROLLMENT!$A$4</f>
        <v>0</v>
      </c>
      <c r="B3" s="23">
        <f>IF(C3&gt;0,'RISD1-8'!$A$2,0)</f>
        <v>0</v>
      </c>
      <c r="C3" s="23">
        <f>IF(A3="STATE AVG","NULL",ENROLLMENT!C$8)</f>
        <v>0</v>
      </c>
      <c r="D3" s="30">
        <f>'RISD1-8'!$C$7</f>
        <v>0</v>
      </c>
      <c r="E3" s="30">
        <v>0</v>
      </c>
      <c r="F3" s="30">
        <f>'RISD1-8'!$C$9</f>
        <v>0</v>
      </c>
      <c r="G3" s="30">
        <f>'RISD1-8'!$C$10</f>
        <v>0</v>
      </c>
      <c r="H3" s="30">
        <f>'RISD1-8'!$C$11</f>
        <v>0</v>
      </c>
      <c r="I3" s="30">
        <f>'RISD1-8'!$C$12</f>
        <v>0</v>
      </c>
      <c r="J3" s="30">
        <f>'RISD1-8'!$C$13</f>
        <v>0</v>
      </c>
      <c r="K3" s="30">
        <f>'RISD1-8'!$C$14</f>
        <v>0</v>
      </c>
      <c r="L3" s="30">
        <f>'RISD1-8'!$C$15</f>
        <v>0</v>
      </c>
      <c r="M3" s="30">
        <f>'RISD1-8'!$C$16</f>
        <v>0</v>
      </c>
      <c r="N3" s="30">
        <f>'RISD1-8'!$C$17</f>
        <v>0</v>
      </c>
      <c r="O3" s="30">
        <f>'RISD1-8'!$C$18</f>
        <v>0</v>
      </c>
      <c r="P3" s="30">
        <f>'RISD1-8'!$C$19</f>
        <v>0</v>
      </c>
      <c r="Q3" s="30">
        <f>'RISD1-8'!$C$22</f>
        <v>0</v>
      </c>
      <c r="R3" s="30">
        <f>'RISD1-8'!$C$24</f>
        <v>0</v>
      </c>
      <c r="S3" s="30">
        <f>'RISD1-8'!$C$25</f>
        <v>0</v>
      </c>
      <c r="T3" s="30">
        <f>'RISD1-8'!$C$27</f>
        <v>0</v>
      </c>
      <c r="U3" s="30">
        <f>'RISD1-8'!$C$28</f>
        <v>0</v>
      </c>
      <c r="V3" s="30">
        <f>'RISD1-8'!$C$29</f>
        <v>0</v>
      </c>
      <c r="W3" s="30">
        <f>'RISD1-8'!$C$23</f>
        <v>0</v>
      </c>
      <c r="X3" s="29">
        <v>0</v>
      </c>
      <c r="Y3" s="29">
        <v>0</v>
      </c>
      <c r="Z3" s="29">
        <v>0</v>
      </c>
      <c r="AA3" s="29">
        <v>0</v>
      </c>
      <c r="AB3" s="29">
        <v>0</v>
      </c>
      <c r="AC3" s="29">
        <v>0</v>
      </c>
      <c r="AD3" s="29">
        <v>0</v>
      </c>
      <c r="AE3" s="29">
        <v>0</v>
      </c>
      <c r="AF3" s="29">
        <v>0</v>
      </c>
      <c r="AG3" s="29">
        <v>0</v>
      </c>
    </row>
    <row r="4" spans="1:33" ht="12.75">
      <c r="A4" s="27">
        <f>ENROLLMENT!$A$4</f>
        <v>0</v>
      </c>
      <c r="B4" s="23">
        <f>IF(C4&gt;0,'RISD1-8'!$A$2,0)</f>
        <v>0</v>
      </c>
      <c r="C4" s="23">
        <f>IF(A4="STATE AVG","NULL",ENROLLMENT!D$8)</f>
        <v>0</v>
      </c>
      <c r="D4" s="30">
        <f>'RISD1-8'!$D$7</f>
        <v>0</v>
      </c>
      <c r="E4" s="30">
        <v>0</v>
      </c>
      <c r="F4" s="30">
        <f>'RISD1-8'!$D$9</f>
        <v>0</v>
      </c>
      <c r="G4" s="30">
        <f>'RISD1-8'!$D$10</f>
        <v>0</v>
      </c>
      <c r="H4" s="30">
        <f>'RISD1-8'!$D$11</f>
        <v>0</v>
      </c>
      <c r="I4" s="30">
        <f>'RISD1-8'!$D$12</f>
        <v>0</v>
      </c>
      <c r="J4" s="30">
        <f>'RISD1-8'!$D$13</f>
        <v>0</v>
      </c>
      <c r="K4" s="30">
        <f>'RISD1-8'!$D$14</f>
        <v>0</v>
      </c>
      <c r="L4" s="30">
        <f>'RISD1-8'!$D$15</f>
        <v>0</v>
      </c>
      <c r="M4" s="30">
        <f>'RISD1-8'!$D$16</f>
        <v>0</v>
      </c>
      <c r="N4" s="30">
        <f>'RISD1-8'!$D$17</f>
        <v>0</v>
      </c>
      <c r="O4" s="30">
        <f>'RISD1-8'!$D$18</f>
        <v>0</v>
      </c>
      <c r="P4" s="30">
        <f>'RISD1-8'!$D$19</f>
        <v>0</v>
      </c>
      <c r="Q4" s="30">
        <f>'RISD1-8'!$D$22</f>
        <v>0</v>
      </c>
      <c r="R4" s="30">
        <f>'RISD1-8'!$D$24</f>
        <v>0</v>
      </c>
      <c r="S4" s="30">
        <f>'RISD1-8'!$D$25</f>
        <v>0</v>
      </c>
      <c r="T4" s="30">
        <f>'RISD1-8'!$D$27</f>
        <v>0</v>
      </c>
      <c r="U4" s="30">
        <f>'RISD1-8'!$D$28</f>
        <v>0</v>
      </c>
      <c r="V4" s="30">
        <f>'RISD1-8'!$D$29</f>
        <v>0</v>
      </c>
      <c r="W4" s="30">
        <f>'RISD1-8'!$D$23</f>
        <v>0</v>
      </c>
      <c r="X4" s="29">
        <v>0</v>
      </c>
      <c r="Y4" s="29">
        <v>0</v>
      </c>
      <c r="Z4" s="29">
        <v>0</v>
      </c>
      <c r="AA4" s="29">
        <v>0</v>
      </c>
      <c r="AB4" s="29">
        <v>0</v>
      </c>
      <c r="AC4" s="29">
        <v>0</v>
      </c>
      <c r="AD4" s="29">
        <v>0</v>
      </c>
      <c r="AE4" s="29">
        <v>0</v>
      </c>
      <c r="AF4" s="29">
        <v>0</v>
      </c>
      <c r="AG4" s="29">
        <v>0</v>
      </c>
    </row>
    <row r="5" spans="1:33" ht="12.75">
      <c r="A5" s="27">
        <f>ENROLLMENT!$A$4</f>
        <v>0</v>
      </c>
      <c r="B5" s="23">
        <f>IF(C5&gt;0,'RISD1-8'!$A$2,0)</f>
        <v>0</v>
      </c>
      <c r="C5" s="23">
        <f>IF(A5="STATE AVG","NULL",ENROLLMENT!E$8)</f>
        <v>0</v>
      </c>
      <c r="D5" s="30">
        <f>'RISD1-8'!$E$7</f>
        <v>0</v>
      </c>
      <c r="E5" s="30">
        <v>0</v>
      </c>
      <c r="F5" s="30">
        <f>'RISD1-8'!$E$9</f>
        <v>0</v>
      </c>
      <c r="G5" s="30">
        <f>'RISD1-8'!$E$10</f>
        <v>0</v>
      </c>
      <c r="H5" s="30">
        <f>'RISD1-8'!$E$11</f>
        <v>0</v>
      </c>
      <c r="I5" s="30">
        <f>'RISD1-8'!$E$12</f>
        <v>0</v>
      </c>
      <c r="J5" s="30">
        <f>'RISD1-8'!$E$13</f>
        <v>0</v>
      </c>
      <c r="K5" s="30">
        <f>'RISD1-8'!$E$14</f>
        <v>0</v>
      </c>
      <c r="L5" s="30">
        <f>'RISD1-8'!$E$15</f>
        <v>0</v>
      </c>
      <c r="M5" s="30">
        <f>'RISD1-8'!$E$16</f>
        <v>0</v>
      </c>
      <c r="N5" s="30">
        <f>'RISD1-8'!$E$17</f>
        <v>0</v>
      </c>
      <c r="O5" s="30">
        <f>'RISD1-8'!$E$18</f>
        <v>0</v>
      </c>
      <c r="P5" s="30">
        <f>'RISD1-8'!$E$19</f>
        <v>0</v>
      </c>
      <c r="Q5" s="30">
        <f>'RISD1-8'!$E$22</f>
        <v>0</v>
      </c>
      <c r="R5" s="30">
        <f>'RISD1-8'!$E$24</f>
        <v>0</v>
      </c>
      <c r="S5" s="30">
        <f>'RISD1-8'!$E$25</f>
        <v>0</v>
      </c>
      <c r="T5" s="30">
        <f>'RISD1-8'!$E$27</f>
        <v>0</v>
      </c>
      <c r="U5" s="30">
        <f>'RISD1-8'!$E$28</f>
        <v>0</v>
      </c>
      <c r="V5" s="30">
        <f>'RISD1-8'!$E$29</f>
        <v>0</v>
      </c>
      <c r="W5" s="30">
        <f>'RISD1-8'!$E$23</f>
        <v>0</v>
      </c>
      <c r="X5" s="29">
        <v>0</v>
      </c>
      <c r="Y5" s="29">
        <v>0</v>
      </c>
      <c r="Z5" s="29">
        <v>0</v>
      </c>
      <c r="AA5" s="29">
        <v>0</v>
      </c>
      <c r="AB5" s="29">
        <v>0</v>
      </c>
      <c r="AC5" s="29">
        <v>0</v>
      </c>
      <c r="AD5" s="29">
        <v>0</v>
      </c>
      <c r="AE5" s="29">
        <v>0</v>
      </c>
      <c r="AF5" s="29">
        <v>0</v>
      </c>
      <c r="AG5" s="29">
        <v>0</v>
      </c>
    </row>
    <row r="6" spans="1:33" ht="12.75">
      <c r="A6" s="27">
        <f>ENROLLMENT!$A$4</f>
        <v>0</v>
      </c>
      <c r="B6" s="23">
        <f>IF(C6&gt;0,'RISD1-8'!$A$2,0)</f>
        <v>0</v>
      </c>
      <c r="C6" s="23">
        <f>IF(A6="STATE AVG","NULL",ENROLLMENT!F$8)</f>
        <v>0</v>
      </c>
      <c r="D6" s="30">
        <f>'RISD1-8'!$F$7</f>
        <v>0</v>
      </c>
      <c r="E6" s="30">
        <v>0</v>
      </c>
      <c r="F6" s="30">
        <f>'RISD1-8'!$F$9</f>
        <v>0</v>
      </c>
      <c r="G6" s="30">
        <f>'RISD1-8'!$F$10</f>
        <v>0</v>
      </c>
      <c r="H6" s="30">
        <f>'RISD1-8'!$F$11</f>
        <v>0</v>
      </c>
      <c r="I6" s="30">
        <f>'RISD1-8'!$F$12</f>
        <v>0</v>
      </c>
      <c r="J6" s="30">
        <f>'RISD1-8'!$F$13</f>
        <v>0</v>
      </c>
      <c r="K6" s="30">
        <f>'RISD1-8'!$F$14</f>
        <v>0</v>
      </c>
      <c r="L6" s="30">
        <f>'RISD1-8'!$F$15</f>
        <v>0</v>
      </c>
      <c r="M6" s="30">
        <f>'RISD1-8'!$F$16</f>
        <v>0</v>
      </c>
      <c r="N6" s="30">
        <f>'RISD1-8'!$F$17</f>
        <v>0</v>
      </c>
      <c r="O6" s="30">
        <f>'RISD1-8'!$F$18</f>
        <v>0</v>
      </c>
      <c r="P6" s="30">
        <f>'RISD1-8'!$F$19</f>
        <v>0</v>
      </c>
      <c r="Q6" s="30">
        <f>'RISD1-8'!$F$22</f>
        <v>0</v>
      </c>
      <c r="R6" s="30">
        <f>'RISD1-8'!$F$24</f>
        <v>0</v>
      </c>
      <c r="S6" s="30">
        <f>'RISD1-8'!$F$25</f>
        <v>0</v>
      </c>
      <c r="T6" s="30">
        <f>'RISD1-8'!$F$27</f>
        <v>0</v>
      </c>
      <c r="U6" s="30">
        <f>'RISD1-8'!$F$28</f>
        <v>0</v>
      </c>
      <c r="V6" s="30">
        <f>'RISD1-8'!$F$29</f>
        <v>0</v>
      </c>
      <c r="W6" s="30">
        <f>'RISD1-8'!$F$23</f>
        <v>0</v>
      </c>
      <c r="X6" s="29">
        <v>0</v>
      </c>
      <c r="Y6" s="29">
        <v>0</v>
      </c>
      <c r="Z6" s="29">
        <v>0</v>
      </c>
      <c r="AA6" s="29">
        <v>0</v>
      </c>
      <c r="AB6" s="29">
        <v>0</v>
      </c>
      <c r="AC6" s="29">
        <v>0</v>
      </c>
      <c r="AD6" s="29">
        <v>0</v>
      </c>
      <c r="AE6" s="29">
        <v>0</v>
      </c>
      <c r="AF6" s="29">
        <v>0</v>
      </c>
      <c r="AG6" s="29">
        <v>0</v>
      </c>
    </row>
    <row r="7" spans="1:33" ht="12.75">
      <c r="A7" s="27">
        <f>ENROLLMENT!$A$4</f>
        <v>0</v>
      </c>
      <c r="B7" s="23">
        <f>IF(C7&gt;0,'RISD1-8'!$A$2,0)</f>
        <v>0</v>
      </c>
      <c r="C7" s="23">
        <f>IF(A7="STATE AVG","NULL",ENROLLMENT!G$8)</f>
        <v>0</v>
      </c>
      <c r="D7" s="30">
        <f>'RISD1-8'!$G$7</f>
        <v>0</v>
      </c>
      <c r="E7" s="30">
        <v>0</v>
      </c>
      <c r="F7" s="30">
        <f>'RISD1-8'!$G$9</f>
        <v>0</v>
      </c>
      <c r="G7" s="30">
        <f>'RISD1-8'!$G$10</f>
        <v>0</v>
      </c>
      <c r="H7" s="30">
        <f>'RISD1-8'!$G$11</f>
        <v>0</v>
      </c>
      <c r="I7" s="30">
        <f>'RISD1-8'!$G$12</f>
        <v>0</v>
      </c>
      <c r="J7" s="30">
        <f>'RISD1-8'!$G$13</f>
        <v>0</v>
      </c>
      <c r="K7" s="30">
        <f>'RISD1-8'!$G$14</f>
        <v>0</v>
      </c>
      <c r="L7" s="30">
        <f>'RISD1-8'!$G$15</f>
        <v>0</v>
      </c>
      <c r="M7" s="30">
        <f>'RISD1-8'!$G$16</f>
        <v>0</v>
      </c>
      <c r="N7" s="30">
        <f>'RISD1-8'!$G$17</f>
        <v>0</v>
      </c>
      <c r="O7" s="30">
        <f>'RISD1-8'!$G$18</f>
        <v>0</v>
      </c>
      <c r="P7" s="30">
        <f>'RISD1-8'!$G$19</f>
        <v>0</v>
      </c>
      <c r="Q7" s="30">
        <f>'RISD1-8'!$G$22</f>
        <v>0</v>
      </c>
      <c r="R7" s="30">
        <f>'RISD1-8'!$G$24</f>
        <v>0</v>
      </c>
      <c r="S7" s="30">
        <f>'RISD1-8'!$G$25</f>
        <v>0</v>
      </c>
      <c r="T7" s="30">
        <f>'RISD1-8'!$G$27</f>
        <v>0</v>
      </c>
      <c r="U7" s="30">
        <f>'RISD1-8'!$G$28</f>
        <v>0</v>
      </c>
      <c r="V7" s="30">
        <f>'RISD1-8'!$G$29</f>
        <v>0</v>
      </c>
      <c r="W7" s="30">
        <f>'RISD1-8'!$G$23</f>
        <v>0</v>
      </c>
      <c r="X7" s="29">
        <v>0</v>
      </c>
      <c r="Y7" s="29">
        <v>0</v>
      </c>
      <c r="Z7" s="29">
        <v>0</v>
      </c>
      <c r="AA7" s="29">
        <v>0</v>
      </c>
      <c r="AB7" s="29">
        <v>0</v>
      </c>
      <c r="AC7" s="29">
        <v>0</v>
      </c>
      <c r="AD7" s="29">
        <v>0</v>
      </c>
      <c r="AE7" s="29">
        <v>0</v>
      </c>
      <c r="AF7" s="29">
        <v>0</v>
      </c>
      <c r="AG7" s="29">
        <v>0</v>
      </c>
    </row>
    <row r="8" spans="1:33" ht="12.75">
      <c r="A8" s="27">
        <f>ENROLLMENT!$A$4</f>
        <v>0</v>
      </c>
      <c r="B8" s="23">
        <f>IF(C8&gt;0,'RISD1-8'!$A$2,0)</f>
        <v>0</v>
      </c>
      <c r="C8" s="23">
        <f>IF(A8="STATE AVG","NULL",ENROLLMENT!H$8)</f>
        <v>0</v>
      </c>
      <c r="D8" s="30">
        <f>'RISD1-8'!$H$7</f>
        <v>0</v>
      </c>
      <c r="E8" s="30">
        <v>0</v>
      </c>
      <c r="F8" s="30">
        <f>'RISD1-8'!$H$9</f>
        <v>0</v>
      </c>
      <c r="G8" s="30">
        <f>'RISD1-8'!$H$10</f>
        <v>0</v>
      </c>
      <c r="H8" s="30">
        <f>'RISD1-8'!$H$11</f>
        <v>0</v>
      </c>
      <c r="I8" s="30">
        <f>'RISD1-8'!$H$12</f>
        <v>0</v>
      </c>
      <c r="J8" s="30">
        <f>'RISD1-8'!$H$13</f>
        <v>0</v>
      </c>
      <c r="K8" s="30">
        <f>'RISD1-8'!$H$14</f>
        <v>0</v>
      </c>
      <c r="L8" s="30">
        <f>'RISD1-8'!$H$15</f>
        <v>0</v>
      </c>
      <c r="M8" s="30">
        <f>'RISD1-8'!$H$16</f>
        <v>0</v>
      </c>
      <c r="N8" s="30">
        <f>'RISD1-8'!$H$17</f>
        <v>0</v>
      </c>
      <c r="O8" s="30">
        <f>'RISD1-8'!$H$18</f>
        <v>0</v>
      </c>
      <c r="P8" s="30">
        <f>'RISD1-8'!$H$19</f>
        <v>0</v>
      </c>
      <c r="Q8" s="30">
        <f>'RISD1-8'!$H$22</f>
        <v>0</v>
      </c>
      <c r="R8" s="30">
        <f>'RISD1-8'!$H$24</f>
        <v>0</v>
      </c>
      <c r="S8" s="30">
        <f>'RISD1-8'!$H$25</f>
        <v>0</v>
      </c>
      <c r="T8" s="30">
        <f>'RISD1-8'!$H$27</f>
        <v>0</v>
      </c>
      <c r="U8" s="30">
        <f>'RISD1-8'!$H$28</f>
        <v>0</v>
      </c>
      <c r="V8" s="30">
        <f>'RISD1-8'!$H$29</f>
        <v>0</v>
      </c>
      <c r="W8" s="30">
        <f>'RISD1-8'!$H$23</f>
        <v>0</v>
      </c>
      <c r="X8" s="29">
        <v>0</v>
      </c>
      <c r="Y8" s="29">
        <v>0</v>
      </c>
      <c r="Z8" s="29">
        <v>0</v>
      </c>
      <c r="AA8" s="29">
        <v>0</v>
      </c>
      <c r="AB8" s="29">
        <v>0</v>
      </c>
      <c r="AC8" s="29">
        <v>0</v>
      </c>
      <c r="AD8" s="29">
        <v>0</v>
      </c>
      <c r="AE8" s="29">
        <v>0</v>
      </c>
      <c r="AF8" s="29">
        <v>0</v>
      </c>
      <c r="AG8" s="29">
        <v>0</v>
      </c>
    </row>
    <row r="9" spans="1:33" ht="12.75">
      <c r="A9" s="27">
        <f>ENROLLMENT!$A$4</f>
        <v>0</v>
      </c>
      <c r="B9" s="23">
        <f>IF(C9&gt;0,'RISD1-8'!$A$2,0)</f>
        <v>0</v>
      </c>
      <c r="C9" s="23">
        <f>IF(A9="STATE AVG","NULL",ENROLLMENT!I$8)</f>
        <v>0</v>
      </c>
      <c r="D9" s="30">
        <f>'RISD1-8'!$I$7</f>
        <v>0</v>
      </c>
      <c r="E9" s="30">
        <v>0</v>
      </c>
      <c r="F9" s="30">
        <f>'RISD1-8'!$I$9</f>
        <v>0</v>
      </c>
      <c r="G9" s="30">
        <f>'RISD1-8'!$I$10</f>
        <v>0</v>
      </c>
      <c r="H9" s="30">
        <f>'RISD1-8'!$I$11</f>
        <v>0</v>
      </c>
      <c r="I9" s="30">
        <f>'RISD1-8'!$I$12</f>
        <v>0</v>
      </c>
      <c r="J9" s="30">
        <f>'RISD1-8'!$I$13</f>
        <v>0</v>
      </c>
      <c r="K9" s="30">
        <f>'RISD1-8'!$I$14</f>
        <v>0</v>
      </c>
      <c r="L9" s="30">
        <f>'RISD1-8'!$I$15</f>
        <v>0</v>
      </c>
      <c r="M9" s="30">
        <f>'RISD1-8'!$I$16</f>
        <v>0</v>
      </c>
      <c r="N9" s="30">
        <f>'RISD1-8'!$I$17</f>
        <v>0</v>
      </c>
      <c r="O9" s="30">
        <f>'RISD1-8'!$I$18</f>
        <v>0</v>
      </c>
      <c r="P9" s="30">
        <f>'RISD1-8'!$I$19</f>
        <v>0</v>
      </c>
      <c r="Q9" s="30">
        <f>'RISD1-8'!$I$22</f>
        <v>0</v>
      </c>
      <c r="R9" s="30">
        <f>'RISD1-8'!$I$24</f>
        <v>0</v>
      </c>
      <c r="S9" s="30">
        <f>'RISD1-8'!$I$25</f>
        <v>0</v>
      </c>
      <c r="T9" s="30">
        <f>'RISD1-8'!$I$27</f>
        <v>0</v>
      </c>
      <c r="U9" s="30">
        <f>'RISD1-8'!$I$28</f>
        <v>0</v>
      </c>
      <c r="V9" s="30">
        <f>'RISD1-8'!$I$29</f>
        <v>0</v>
      </c>
      <c r="W9" s="30">
        <f>'RISD1-8'!$I$23</f>
        <v>0</v>
      </c>
      <c r="X9" s="29">
        <v>0</v>
      </c>
      <c r="Y9" s="29">
        <v>0</v>
      </c>
      <c r="Z9" s="29">
        <v>0</v>
      </c>
      <c r="AA9" s="29">
        <v>0</v>
      </c>
      <c r="AB9" s="29">
        <v>0</v>
      </c>
      <c r="AC9" s="29">
        <v>0</v>
      </c>
      <c r="AD9" s="29">
        <v>0</v>
      </c>
      <c r="AE9" s="29">
        <v>0</v>
      </c>
      <c r="AF9" s="29">
        <v>0</v>
      </c>
      <c r="AG9" s="29">
        <v>0</v>
      </c>
    </row>
    <row r="10" spans="1:33" ht="12.75">
      <c r="A10" s="27">
        <f>ENROLLMENT!$A$4</f>
        <v>0</v>
      </c>
      <c r="B10" s="23">
        <f>IF(C10&gt;0,'RISD1-8'!$A$2,0)</f>
        <v>0</v>
      </c>
      <c r="C10" s="23">
        <f>IF(A10="STATE AVG","NULL",ENROLLMENT!J$8)</f>
        <v>0</v>
      </c>
      <c r="D10" s="30">
        <f>'RISD9-16'!$B$7</f>
        <v>0</v>
      </c>
      <c r="E10" s="30">
        <v>0</v>
      </c>
      <c r="F10" s="30">
        <f>'RISD9-16'!$B$9</f>
        <v>0</v>
      </c>
      <c r="G10" s="30">
        <f>'RISD9-16'!$B$10</f>
        <v>0</v>
      </c>
      <c r="H10" s="30">
        <f>'RISD9-16'!$B$11</f>
        <v>0</v>
      </c>
      <c r="I10" s="30">
        <f>'RISD9-16'!$B$12</f>
        <v>0</v>
      </c>
      <c r="J10" s="30">
        <f>'RISD9-16'!$B$13</f>
        <v>0</v>
      </c>
      <c r="K10" s="30">
        <f>'RISD9-16'!$B$14</f>
        <v>0</v>
      </c>
      <c r="L10" s="30">
        <f>'RISD9-16'!$B$15</f>
        <v>0</v>
      </c>
      <c r="M10" s="30">
        <f>'RISD9-16'!$B$16</f>
        <v>0</v>
      </c>
      <c r="N10" s="30">
        <f>'RISD9-16'!$B$17</f>
        <v>0</v>
      </c>
      <c r="O10" s="30">
        <f>'RISD9-16'!$B$18</f>
        <v>0</v>
      </c>
      <c r="P10" s="30">
        <f>'RISD9-16'!$B$19</f>
        <v>0</v>
      </c>
      <c r="Q10" s="30">
        <f>'RISD9-16'!$B$22</f>
        <v>0</v>
      </c>
      <c r="R10" s="30">
        <f>'RISD9-16'!$B$24</f>
        <v>0</v>
      </c>
      <c r="S10" s="30">
        <f>'RISD9-16'!$B$25</f>
        <v>0</v>
      </c>
      <c r="T10" s="30">
        <f>'RISD9-16'!$B$27</f>
        <v>0</v>
      </c>
      <c r="U10" s="30">
        <f>'RISD9-16'!$B$28</f>
        <v>0</v>
      </c>
      <c r="V10" s="30">
        <f>'RISD9-16'!$B$29</f>
        <v>0</v>
      </c>
      <c r="W10" s="30">
        <f>'RISD9-16'!$B$23</f>
        <v>0</v>
      </c>
      <c r="X10" s="29">
        <v>0</v>
      </c>
      <c r="Y10" s="29">
        <v>0</v>
      </c>
      <c r="Z10" s="29">
        <v>0</v>
      </c>
      <c r="AA10" s="29">
        <v>0</v>
      </c>
      <c r="AB10" s="29">
        <v>0</v>
      </c>
      <c r="AC10" s="29">
        <v>0</v>
      </c>
      <c r="AD10" s="29">
        <v>0</v>
      </c>
      <c r="AE10" s="29">
        <v>0</v>
      </c>
      <c r="AF10" s="29">
        <v>0</v>
      </c>
      <c r="AG10" s="29">
        <v>0</v>
      </c>
    </row>
    <row r="11" spans="1:33" ht="12.75">
      <c r="A11" s="27">
        <f>ENROLLMENT!$A$4</f>
        <v>0</v>
      </c>
      <c r="B11" s="23">
        <f>IF(C11&gt;0,'RISD1-8'!$A$2,0)</f>
        <v>0</v>
      </c>
      <c r="C11" s="23">
        <f>IF(A11="STATE AVG","NULL",ENROLLMENT!K$8)</f>
        <v>0</v>
      </c>
      <c r="D11" s="30">
        <f>'RISD9-16'!$C$7</f>
        <v>0</v>
      </c>
      <c r="E11" s="30">
        <v>0</v>
      </c>
      <c r="F11" s="30">
        <f>'RISD9-16'!$C$9</f>
        <v>0</v>
      </c>
      <c r="G11" s="30">
        <f>'RISD9-16'!$C$10</f>
        <v>0</v>
      </c>
      <c r="H11" s="30">
        <f>'RISD9-16'!$C$11</f>
        <v>0</v>
      </c>
      <c r="I11" s="30">
        <f>'RISD9-16'!$C$12</f>
        <v>0</v>
      </c>
      <c r="J11" s="30">
        <f>'RISD9-16'!$C$13</f>
        <v>0</v>
      </c>
      <c r="K11" s="30">
        <f>'RISD9-16'!$C$14</f>
        <v>0</v>
      </c>
      <c r="L11" s="30">
        <f>'RISD9-16'!$C$15</f>
        <v>0</v>
      </c>
      <c r="M11" s="30">
        <f>'RISD9-16'!$C$16</f>
        <v>0</v>
      </c>
      <c r="N11" s="30">
        <f>'RISD9-16'!$C$17</f>
        <v>0</v>
      </c>
      <c r="O11" s="30">
        <f>'RISD9-16'!$C$18</f>
        <v>0</v>
      </c>
      <c r="P11" s="30">
        <f>'RISD9-16'!$C$19</f>
        <v>0</v>
      </c>
      <c r="Q11" s="30">
        <f>'RISD9-16'!$C$22</f>
        <v>0</v>
      </c>
      <c r="R11" s="30">
        <f>'RISD9-16'!$C$24</f>
        <v>0</v>
      </c>
      <c r="S11" s="30">
        <f>'RISD9-16'!$C$25</f>
        <v>0</v>
      </c>
      <c r="T11" s="30">
        <f>'RISD9-16'!$C$27</f>
        <v>0</v>
      </c>
      <c r="U11" s="30">
        <f>'RISD9-16'!$C$28</f>
        <v>0</v>
      </c>
      <c r="V11" s="30">
        <f>'RISD9-16'!$C$29</f>
        <v>0</v>
      </c>
      <c r="W11" s="30">
        <f>'RISD9-16'!$C$23</f>
        <v>0</v>
      </c>
      <c r="X11" s="29">
        <v>0</v>
      </c>
      <c r="Y11" s="29">
        <v>0</v>
      </c>
      <c r="Z11" s="29">
        <v>0</v>
      </c>
      <c r="AA11" s="29">
        <v>0</v>
      </c>
      <c r="AB11" s="29">
        <v>0</v>
      </c>
      <c r="AC11" s="29">
        <v>0</v>
      </c>
      <c r="AD11" s="29">
        <v>0</v>
      </c>
      <c r="AE11" s="29">
        <v>0</v>
      </c>
      <c r="AF11" s="29">
        <v>0</v>
      </c>
      <c r="AG11" s="29">
        <v>0</v>
      </c>
    </row>
    <row r="12" spans="1:33" ht="12.75">
      <c r="A12" s="27">
        <f>ENROLLMENT!$A$4</f>
        <v>0</v>
      </c>
      <c r="B12" s="23">
        <f>IF(C12&gt;0,'RISD1-8'!$A$2,0)</f>
        <v>0</v>
      </c>
      <c r="C12" s="23">
        <f>IF(A12="STATE AVG","NULL",ENROLLMENT!L$8)</f>
        <v>0</v>
      </c>
      <c r="D12" s="30">
        <f>'RISD9-16'!$D$7</f>
        <v>0</v>
      </c>
      <c r="E12" s="30">
        <v>0</v>
      </c>
      <c r="F12" s="30">
        <f>'RISD9-16'!$D$9</f>
        <v>0</v>
      </c>
      <c r="G12" s="30">
        <f>'RISD9-16'!$D$10</f>
        <v>0</v>
      </c>
      <c r="H12" s="30">
        <f>'RISD9-16'!$D$11</f>
        <v>0</v>
      </c>
      <c r="I12" s="30">
        <f>'RISD9-16'!$D$12</f>
        <v>0</v>
      </c>
      <c r="J12" s="30">
        <f>'RISD9-16'!$D$13</f>
        <v>0</v>
      </c>
      <c r="K12" s="30">
        <f>'RISD9-16'!$D$14</f>
        <v>0</v>
      </c>
      <c r="L12" s="30">
        <f>'RISD9-16'!$D$15</f>
        <v>0</v>
      </c>
      <c r="M12" s="30">
        <f>'RISD9-16'!$D$16</f>
        <v>0</v>
      </c>
      <c r="N12" s="30">
        <f>'RISD9-16'!$D$17</f>
        <v>0</v>
      </c>
      <c r="O12" s="30">
        <f>'RISD9-16'!$D$18</f>
        <v>0</v>
      </c>
      <c r="P12" s="30">
        <f>'RISD9-16'!$D$19</f>
        <v>0</v>
      </c>
      <c r="Q12" s="30">
        <f>'RISD9-16'!$D$22</f>
        <v>0</v>
      </c>
      <c r="R12" s="30">
        <f>'RISD9-16'!$D$24</f>
        <v>0</v>
      </c>
      <c r="S12" s="30">
        <f>'RISD9-16'!$D$25</f>
        <v>0</v>
      </c>
      <c r="T12" s="30">
        <f>'RISD9-16'!$D$27</f>
        <v>0</v>
      </c>
      <c r="U12" s="30">
        <f>'RISD9-16'!$D$28</f>
        <v>0</v>
      </c>
      <c r="V12" s="30">
        <f>'RISD9-16'!$D$29</f>
        <v>0</v>
      </c>
      <c r="W12" s="30">
        <f>'RISD9-16'!$D$23</f>
        <v>0</v>
      </c>
      <c r="X12" s="29">
        <v>0</v>
      </c>
      <c r="Y12" s="29">
        <v>0</v>
      </c>
      <c r="Z12" s="29">
        <v>0</v>
      </c>
      <c r="AA12" s="29">
        <v>0</v>
      </c>
      <c r="AB12" s="29">
        <v>0</v>
      </c>
      <c r="AC12" s="29">
        <v>0</v>
      </c>
      <c r="AD12" s="29">
        <v>0</v>
      </c>
      <c r="AE12" s="29">
        <v>0</v>
      </c>
      <c r="AF12" s="29">
        <v>0</v>
      </c>
      <c r="AG12" s="29">
        <v>0</v>
      </c>
    </row>
    <row r="13" spans="1:33" ht="12.75">
      <c r="A13" s="27">
        <f>ENROLLMENT!$A$4</f>
        <v>0</v>
      </c>
      <c r="B13" s="23">
        <f>IF(C13&gt;0,'RISD1-8'!$A$2,0)</f>
        <v>0</v>
      </c>
      <c r="C13" s="23">
        <f>IF(A13="STATE AVG","NULL",ENROLLMENT!M$8)</f>
        <v>0</v>
      </c>
      <c r="D13" s="30">
        <f>'RISD9-16'!$E$7</f>
        <v>0</v>
      </c>
      <c r="E13" s="30">
        <v>0</v>
      </c>
      <c r="F13" s="30">
        <f>'RISD9-16'!$E$9</f>
        <v>0</v>
      </c>
      <c r="G13" s="30">
        <f>'RISD9-16'!$E$10</f>
        <v>0</v>
      </c>
      <c r="H13" s="30">
        <f>'RISD9-16'!$E$11</f>
        <v>0</v>
      </c>
      <c r="I13" s="30">
        <f>'RISD9-16'!$E$12</f>
        <v>0</v>
      </c>
      <c r="J13" s="30">
        <f>'RISD9-16'!$E$13</f>
        <v>0</v>
      </c>
      <c r="K13" s="30">
        <f>'RISD9-16'!$E$14</f>
        <v>0</v>
      </c>
      <c r="L13" s="30">
        <f>'RISD9-16'!$E$15</f>
        <v>0</v>
      </c>
      <c r="M13" s="30">
        <f>'RISD9-16'!$E$16</f>
        <v>0</v>
      </c>
      <c r="N13" s="30">
        <f>'RISD9-16'!$E$17</f>
        <v>0</v>
      </c>
      <c r="O13" s="30">
        <f>'RISD9-16'!$E$18</f>
        <v>0</v>
      </c>
      <c r="P13" s="30">
        <f>'RISD9-16'!$E$19</f>
        <v>0</v>
      </c>
      <c r="Q13" s="30">
        <f>'RISD9-16'!$E$22</f>
        <v>0</v>
      </c>
      <c r="R13" s="30">
        <f>'RISD9-16'!$E$24</f>
        <v>0</v>
      </c>
      <c r="S13" s="30">
        <f>'RISD9-16'!$E$25</f>
        <v>0</v>
      </c>
      <c r="T13" s="30">
        <f>'RISD9-16'!$E$27</f>
        <v>0</v>
      </c>
      <c r="U13" s="30">
        <f>'RISD9-16'!$E$28</f>
        <v>0</v>
      </c>
      <c r="V13" s="30">
        <f>'RISD9-16'!$E$29</f>
        <v>0</v>
      </c>
      <c r="W13" s="30">
        <f>'RISD9-16'!$E$23</f>
        <v>0</v>
      </c>
      <c r="X13" s="29">
        <v>0</v>
      </c>
      <c r="Y13" s="29">
        <v>0</v>
      </c>
      <c r="Z13" s="29">
        <v>0</v>
      </c>
      <c r="AA13" s="29">
        <v>0</v>
      </c>
      <c r="AB13" s="29">
        <v>0</v>
      </c>
      <c r="AC13" s="29">
        <v>0</v>
      </c>
      <c r="AD13" s="29">
        <v>0</v>
      </c>
      <c r="AE13" s="29">
        <v>0</v>
      </c>
      <c r="AF13" s="29">
        <v>0</v>
      </c>
      <c r="AG13" s="29">
        <v>0</v>
      </c>
    </row>
    <row r="14" spans="1:33" ht="12.75">
      <c r="A14" s="27">
        <f>ENROLLMENT!$A$4</f>
        <v>0</v>
      </c>
      <c r="B14" s="23">
        <f>IF(C14&gt;0,'RISD1-8'!$A$2,0)</f>
        <v>0</v>
      </c>
      <c r="C14" s="23">
        <f>IF(A14="STATE AVG","NULL",ENROLLMENT!N$8)</f>
        <v>0</v>
      </c>
      <c r="D14" s="30">
        <f>'RISD9-16'!$F$7</f>
        <v>0</v>
      </c>
      <c r="E14" s="30">
        <v>0</v>
      </c>
      <c r="F14" s="30">
        <f>'RISD9-16'!$F$9</f>
        <v>0</v>
      </c>
      <c r="G14" s="30">
        <f>'RISD9-16'!$F$10</f>
        <v>0</v>
      </c>
      <c r="H14" s="30">
        <f>'RISD9-16'!$F$11</f>
        <v>0</v>
      </c>
      <c r="I14" s="30">
        <f>'RISD9-16'!$F$12</f>
        <v>0</v>
      </c>
      <c r="J14" s="30">
        <f>'RISD9-16'!$F$13</f>
        <v>0</v>
      </c>
      <c r="K14" s="30">
        <f>'RISD9-16'!$F$14</f>
        <v>0</v>
      </c>
      <c r="L14" s="30">
        <f>'RISD9-16'!$F$15</f>
        <v>0</v>
      </c>
      <c r="M14" s="30">
        <f>'RISD9-16'!$F$16</f>
        <v>0</v>
      </c>
      <c r="N14" s="30">
        <f>'RISD9-16'!$F$17</f>
        <v>0</v>
      </c>
      <c r="O14" s="30">
        <f>'RISD9-16'!$F$18</f>
        <v>0</v>
      </c>
      <c r="P14" s="30">
        <f>'RISD9-16'!$F$19</f>
        <v>0</v>
      </c>
      <c r="Q14" s="30">
        <f>'RISD9-16'!$F$22</f>
        <v>0</v>
      </c>
      <c r="R14" s="30">
        <f>'RISD9-16'!$F$24</f>
        <v>0</v>
      </c>
      <c r="S14" s="30">
        <f>'RISD9-16'!$F$25</f>
        <v>0</v>
      </c>
      <c r="T14" s="30">
        <f>'RISD9-16'!$F$27</f>
        <v>0</v>
      </c>
      <c r="U14" s="30">
        <f>'RISD9-16'!$F$28</f>
        <v>0</v>
      </c>
      <c r="V14" s="30">
        <f>'RISD9-16'!$F$29</f>
        <v>0</v>
      </c>
      <c r="W14" s="30">
        <f>'RISD9-16'!$F$23</f>
        <v>0</v>
      </c>
      <c r="X14" s="29">
        <v>0</v>
      </c>
      <c r="Y14" s="29">
        <v>0</v>
      </c>
      <c r="Z14" s="29">
        <v>0</v>
      </c>
      <c r="AA14" s="29">
        <v>0</v>
      </c>
      <c r="AB14" s="29">
        <v>0</v>
      </c>
      <c r="AC14" s="29">
        <v>0</v>
      </c>
      <c r="AD14" s="29">
        <v>0</v>
      </c>
      <c r="AE14" s="29">
        <v>0</v>
      </c>
      <c r="AF14" s="29">
        <v>0</v>
      </c>
      <c r="AG14" s="29">
        <v>0</v>
      </c>
    </row>
    <row r="15" spans="1:33" ht="12.75">
      <c r="A15" s="27">
        <f>ENROLLMENT!$A$4</f>
        <v>0</v>
      </c>
      <c r="B15" s="23">
        <f>IF(C15&gt;0,'RISD1-8'!$A$2,0)</f>
        <v>0</v>
      </c>
      <c r="C15" s="23">
        <f>IF(A15="STATE AVG","NULL",ENROLLMENT!O$8)</f>
        <v>0</v>
      </c>
      <c r="D15" s="30">
        <f>'RISD9-16'!$G$7</f>
        <v>0</v>
      </c>
      <c r="E15" s="30">
        <v>0</v>
      </c>
      <c r="F15" s="30">
        <f>'RISD9-16'!$G$9</f>
        <v>0</v>
      </c>
      <c r="G15" s="30">
        <f>'RISD9-16'!$G$10</f>
        <v>0</v>
      </c>
      <c r="H15" s="30">
        <f>'RISD9-16'!$G$11</f>
        <v>0</v>
      </c>
      <c r="I15" s="30">
        <f>'RISD9-16'!$G$12</f>
        <v>0</v>
      </c>
      <c r="J15" s="30">
        <f>'RISD9-16'!$G$13</f>
        <v>0</v>
      </c>
      <c r="K15" s="30">
        <f>'RISD9-16'!$G$14</f>
        <v>0</v>
      </c>
      <c r="L15" s="30">
        <f>'RISD9-16'!$G$15</f>
        <v>0</v>
      </c>
      <c r="M15" s="30">
        <f>'RISD9-16'!$G$16</f>
        <v>0</v>
      </c>
      <c r="N15" s="30">
        <f>'RISD9-16'!$G$17</f>
        <v>0</v>
      </c>
      <c r="O15" s="30">
        <f>'RISD9-16'!$G$18</f>
        <v>0</v>
      </c>
      <c r="P15" s="30">
        <f>'RISD9-16'!$G$19</f>
        <v>0</v>
      </c>
      <c r="Q15" s="30">
        <f>'RISD9-16'!$G$22</f>
        <v>0</v>
      </c>
      <c r="R15" s="30">
        <f>'RISD9-16'!$G$24</f>
        <v>0</v>
      </c>
      <c r="S15" s="30">
        <f>'RISD9-16'!$G$25</f>
        <v>0</v>
      </c>
      <c r="T15" s="30">
        <f>'RISD9-16'!$G$27</f>
        <v>0</v>
      </c>
      <c r="U15" s="30">
        <f>'RISD9-16'!$G$28</f>
        <v>0</v>
      </c>
      <c r="V15" s="30">
        <f>'RISD9-16'!$G$29</f>
        <v>0</v>
      </c>
      <c r="W15" s="30">
        <f>'RISD9-16'!$G$23</f>
        <v>0</v>
      </c>
      <c r="X15" s="29">
        <v>0</v>
      </c>
      <c r="Y15" s="29">
        <v>0</v>
      </c>
      <c r="Z15" s="29">
        <v>0</v>
      </c>
      <c r="AA15" s="29">
        <v>0</v>
      </c>
      <c r="AB15" s="29">
        <v>0</v>
      </c>
      <c r="AC15" s="29">
        <v>0</v>
      </c>
      <c r="AD15" s="29">
        <v>0</v>
      </c>
      <c r="AE15" s="29">
        <v>0</v>
      </c>
      <c r="AF15" s="29">
        <v>0</v>
      </c>
      <c r="AG15" s="29">
        <v>0</v>
      </c>
    </row>
    <row r="16" spans="1:33" ht="12.75">
      <c r="A16" s="27">
        <f>ENROLLMENT!$A$4</f>
        <v>0</v>
      </c>
      <c r="B16" s="23">
        <f>IF(C16&gt;0,'RISD1-8'!$A$2,0)</f>
        <v>0</v>
      </c>
      <c r="C16" s="23">
        <f>IF(A16="STATE AVG","NULL",ENROLLMENT!P$8)</f>
        <v>0</v>
      </c>
      <c r="D16" s="30">
        <f>'RISD9-16'!$H$7</f>
        <v>0</v>
      </c>
      <c r="E16" s="30">
        <v>0</v>
      </c>
      <c r="F16" s="30">
        <f>'RISD9-16'!$H$9</f>
        <v>0</v>
      </c>
      <c r="G16" s="30">
        <f>'RISD9-16'!$H$10</f>
        <v>0</v>
      </c>
      <c r="H16" s="30">
        <f>'RISD9-16'!$H$11</f>
        <v>0</v>
      </c>
      <c r="I16" s="30">
        <f>'RISD9-16'!$H$12</f>
        <v>0</v>
      </c>
      <c r="J16" s="30">
        <f>'RISD9-16'!$H$13</f>
        <v>0</v>
      </c>
      <c r="K16" s="30">
        <f>'RISD9-16'!$H$14</f>
        <v>0</v>
      </c>
      <c r="L16" s="30">
        <f>'RISD9-16'!$H$15</f>
        <v>0</v>
      </c>
      <c r="M16" s="30">
        <f>'RISD9-16'!$H$16</f>
        <v>0</v>
      </c>
      <c r="N16" s="30">
        <f>'RISD9-16'!$H$17</f>
        <v>0</v>
      </c>
      <c r="O16" s="30">
        <f>'RISD9-16'!$H$18</f>
        <v>0</v>
      </c>
      <c r="P16" s="30">
        <f>'RISD9-16'!$H$19</f>
        <v>0</v>
      </c>
      <c r="Q16" s="30">
        <f>'RISD9-16'!$H$22</f>
        <v>0</v>
      </c>
      <c r="R16" s="30">
        <f>'RISD9-16'!$H$24</f>
        <v>0</v>
      </c>
      <c r="S16" s="30">
        <f>'RISD9-16'!$H$25</f>
        <v>0</v>
      </c>
      <c r="T16" s="30">
        <f>'RISD9-16'!$H$27</f>
        <v>0</v>
      </c>
      <c r="U16" s="30">
        <f>'RISD9-16'!$H$28</f>
        <v>0</v>
      </c>
      <c r="V16" s="30">
        <f>'RISD9-16'!$H$29</f>
        <v>0</v>
      </c>
      <c r="W16" s="30">
        <f>'RISD9-16'!$H$23</f>
        <v>0</v>
      </c>
      <c r="X16" s="29">
        <v>0</v>
      </c>
      <c r="Y16" s="29">
        <v>0</v>
      </c>
      <c r="Z16" s="29">
        <v>0</v>
      </c>
      <c r="AA16" s="29">
        <v>0</v>
      </c>
      <c r="AB16" s="29">
        <v>0</v>
      </c>
      <c r="AC16" s="29">
        <v>0</v>
      </c>
      <c r="AD16" s="29">
        <v>0</v>
      </c>
      <c r="AE16" s="29">
        <v>0</v>
      </c>
      <c r="AF16" s="29">
        <v>0</v>
      </c>
      <c r="AG16" s="29">
        <v>0</v>
      </c>
    </row>
    <row r="17" spans="1:33" ht="12.75">
      <c r="A17" s="27">
        <f>ENROLLMENT!$A$4</f>
        <v>0</v>
      </c>
      <c r="B17" s="23">
        <f>IF(C17&gt;0,'RISD1-8'!$A$2,0)</f>
        <v>0</v>
      </c>
      <c r="C17" s="23">
        <f>IF(A17="STATE AVG","NULL",ENROLLMENT!Q$8)</f>
        <v>0</v>
      </c>
      <c r="D17" s="30">
        <f>'RISD9-16'!$I$7</f>
        <v>0</v>
      </c>
      <c r="E17" s="30">
        <v>0</v>
      </c>
      <c r="F17" s="30">
        <f>'RISD9-16'!$I$9</f>
        <v>0</v>
      </c>
      <c r="G17" s="30">
        <f>'RISD9-16'!$I$10</f>
        <v>0</v>
      </c>
      <c r="H17" s="30">
        <f>'RISD9-16'!$I$11</f>
        <v>0</v>
      </c>
      <c r="I17" s="30">
        <f>'RISD9-16'!$I$12</f>
        <v>0</v>
      </c>
      <c r="J17" s="30">
        <f>'RISD9-16'!$I$13</f>
        <v>0</v>
      </c>
      <c r="K17" s="30">
        <f>'RISD9-16'!$I$14</f>
        <v>0</v>
      </c>
      <c r="L17" s="30">
        <f>'RISD9-16'!$I$15</f>
        <v>0</v>
      </c>
      <c r="M17" s="30">
        <f>'RISD9-16'!$I$16</f>
        <v>0</v>
      </c>
      <c r="N17" s="30">
        <f>'RISD9-16'!$I$17</f>
        <v>0</v>
      </c>
      <c r="O17" s="30">
        <f>'RISD9-16'!$I$18</f>
        <v>0</v>
      </c>
      <c r="P17" s="30">
        <f>'RISD9-16'!$I$19</f>
        <v>0</v>
      </c>
      <c r="Q17" s="30">
        <f>'RISD9-16'!$I$22</f>
        <v>0</v>
      </c>
      <c r="R17" s="30">
        <f>'RISD9-16'!$I$24</f>
        <v>0</v>
      </c>
      <c r="S17" s="30">
        <f>'RISD9-16'!$I$25</f>
        <v>0</v>
      </c>
      <c r="T17" s="30">
        <f>'RISD9-16'!$I$27</f>
        <v>0</v>
      </c>
      <c r="U17" s="30">
        <f>'RISD9-16'!$I$28</f>
        <v>0</v>
      </c>
      <c r="V17" s="30">
        <f>'RISD9-16'!$I$29</f>
        <v>0</v>
      </c>
      <c r="W17" s="30">
        <f>'RISD9-16'!$I$23</f>
        <v>0</v>
      </c>
      <c r="X17" s="29">
        <v>0</v>
      </c>
      <c r="Y17" s="29">
        <v>0</v>
      </c>
      <c r="Z17" s="29">
        <v>0</v>
      </c>
      <c r="AA17" s="29">
        <v>0</v>
      </c>
      <c r="AB17" s="29">
        <v>0</v>
      </c>
      <c r="AC17" s="29">
        <v>0</v>
      </c>
      <c r="AD17" s="29">
        <v>0</v>
      </c>
      <c r="AE17" s="29">
        <v>0</v>
      </c>
      <c r="AF17" s="29">
        <v>0</v>
      </c>
      <c r="AG17" s="29">
        <v>0</v>
      </c>
    </row>
    <row r="18" spans="1:33" ht="12.75">
      <c r="A18" s="27">
        <f>ENROLLMENT!$A$4</f>
        <v>0</v>
      </c>
      <c r="B18" s="23">
        <f>IF(C18&gt;0,'RISD1-8'!$A$2,0)</f>
        <v>0</v>
      </c>
      <c r="C18" s="23">
        <f>IF(A18="STATE AVG","NULL",ENROLLMENT!R$8)</f>
        <v>0</v>
      </c>
      <c r="D18" s="30">
        <f>'RISD17-24'!$B$7</f>
        <v>0</v>
      </c>
      <c r="E18" s="30">
        <v>0</v>
      </c>
      <c r="F18" s="30">
        <f>'RISD17-24'!$B$9</f>
        <v>0</v>
      </c>
      <c r="G18" s="30">
        <f>'RISD17-24'!$B$10</f>
        <v>0</v>
      </c>
      <c r="H18" s="30">
        <f>'RISD17-24'!$B$11</f>
        <v>0</v>
      </c>
      <c r="I18" s="30">
        <f>'RISD17-24'!$B$12</f>
        <v>0</v>
      </c>
      <c r="J18" s="30">
        <f>'RISD17-24'!$B$13</f>
        <v>0</v>
      </c>
      <c r="K18" s="30">
        <f>'RISD17-24'!$B$14</f>
        <v>0</v>
      </c>
      <c r="L18" s="30">
        <f>'RISD17-24'!$B$15</f>
        <v>0</v>
      </c>
      <c r="M18" s="30">
        <f>'RISD17-24'!$B$16</f>
        <v>0</v>
      </c>
      <c r="N18" s="30">
        <f>'RISD17-24'!$B$17</f>
        <v>0</v>
      </c>
      <c r="O18" s="30">
        <f>'RISD17-24'!$B$18</f>
        <v>0</v>
      </c>
      <c r="P18" s="30">
        <f>'RISD17-24'!$B$19</f>
        <v>0</v>
      </c>
      <c r="Q18" s="30">
        <f>'RISD17-24'!$B$22</f>
        <v>0</v>
      </c>
      <c r="R18" s="30">
        <f>'RISD17-24'!$B$24</f>
        <v>0</v>
      </c>
      <c r="S18" s="30">
        <f>'RISD17-24'!$B$25</f>
        <v>0</v>
      </c>
      <c r="T18" s="30">
        <f>'RISD17-24'!$B$27</f>
        <v>0</v>
      </c>
      <c r="U18" s="30">
        <f>'RISD17-24'!$B$28</f>
        <v>0</v>
      </c>
      <c r="V18" s="30">
        <f>'RISD17-24'!$B$29</f>
        <v>0</v>
      </c>
      <c r="W18" s="30">
        <f>'RISD17-24'!$B$23</f>
        <v>0</v>
      </c>
      <c r="X18" s="29">
        <v>0</v>
      </c>
      <c r="Y18" s="29">
        <v>0</v>
      </c>
      <c r="Z18" s="29">
        <v>0</v>
      </c>
      <c r="AA18" s="29">
        <v>0</v>
      </c>
      <c r="AB18" s="29">
        <v>0</v>
      </c>
      <c r="AC18" s="29">
        <v>0</v>
      </c>
      <c r="AD18" s="29">
        <v>0</v>
      </c>
      <c r="AE18" s="29">
        <v>0</v>
      </c>
      <c r="AF18" s="29">
        <v>0</v>
      </c>
      <c r="AG18" s="29">
        <v>0</v>
      </c>
    </row>
    <row r="19" spans="1:33" ht="12.75">
      <c r="A19" s="27">
        <f>ENROLLMENT!$A$4</f>
        <v>0</v>
      </c>
      <c r="B19" s="23">
        <f>IF(C19&gt;0,'RISD1-8'!$A$2,0)</f>
        <v>0</v>
      </c>
      <c r="C19" s="23">
        <f>IF(A19="STATE AVG","NULL",ENROLLMENT!S$8)</f>
        <v>0</v>
      </c>
      <c r="D19" s="30">
        <f>'RISD17-24'!$C$7</f>
        <v>0</v>
      </c>
      <c r="E19" s="30">
        <v>0</v>
      </c>
      <c r="F19" s="30">
        <f>'RISD17-24'!$C$9</f>
        <v>0</v>
      </c>
      <c r="G19" s="30">
        <f>'RISD17-24'!$C$10</f>
        <v>0</v>
      </c>
      <c r="H19" s="30">
        <f>'RISD17-24'!$C$11</f>
        <v>0</v>
      </c>
      <c r="I19" s="30">
        <f>'RISD17-24'!$C$12</f>
        <v>0</v>
      </c>
      <c r="J19" s="30">
        <f>'RISD17-24'!$C$13</f>
        <v>0</v>
      </c>
      <c r="K19" s="30">
        <f>'RISD17-24'!$C$14</f>
        <v>0</v>
      </c>
      <c r="L19" s="30">
        <f>'RISD17-24'!$C$15</f>
        <v>0</v>
      </c>
      <c r="M19" s="30">
        <f>'RISD17-24'!$C$16</f>
        <v>0</v>
      </c>
      <c r="N19" s="30">
        <f>'RISD17-24'!$C$17</f>
        <v>0</v>
      </c>
      <c r="O19" s="30">
        <f>'RISD17-24'!$C$18</f>
        <v>0</v>
      </c>
      <c r="P19" s="30">
        <f>'RISD17-24'!$C$19</f>
        <v>0</v>
      </c>
      <c r="Q19" s="30">
        <f>'RISD17-24'!$C$22</f>
        <v>0</v>
      </c>
      <c r="R19" s="30">
        <f>'RISD17-24'!$C$24</f>
        <v>0</v>
      </c>
      <c r="S19" s="30">
        <f>'RISD17-24'!$C$25</f>
        <v>0</v>
      </c>
      <c r="T19" s="30">
        <f>'RISD17-24'!$C$27</f>
        <v>0</v>
      </c>
      <c r="U19" s="30">
        <f>'RISD17-24'!$C$28</f>
        <v>0</v>
      </c>
      <c r="V19" s="30">
        <f>'RISD17-24'!$C$29</f>
        <v>0</v>
      </c>
      <c r="W19" s="30">
        <f>'RISD17-24'!$C$23</f>
        <v>0</v>
      </c>
      <c r="X19" s="29">
        <v>0</v>
      </c>
      <c r="Y19" s="29">
        <v>0</v>
      </c>
      <c r="Z19" s="29">
        <v>0</v>
      </c>
      <c r="AA19" s="29">
        <v>0</v>
      </c>
      <c r="AB19" s="29">
        <v>0</v>
      </c>
      <c r="AC19" s="29">
        <v>0</v>
      </c>
      <c r="AD19" s="29">
        <v>0</v>
      </c>
      <c r="AE19" s="29">
        <v>0</v>
      </c>
      <c r="AF19" s="29">
        <v>0</v>
      </c>
      <c r="AG19" s="29">
        <v>0</v>
      </c>
    </row>
    <row r="20" spans="1:33" ht="12.75">
      <c r="A20" s="27">
        <f>ENROLLMENT!$A$4</f>
        <v>0</v>
      </c>
      <c r="B20" s="23">
        <f>IF(C20&gt;0,'RISD1-8'!$A$2,0)</f>
        <v>0</v>
      </c>
      <c r="C20" s="23">
        <f>IF(A20="STATE AVG","NULL",ENROLLMENT!T$8)</f>
        <v>0</v>
      </c>
      <c r="D20" s="30">
        <f>'RISD17-24'!$D$7</f>
        <v>0</v>
      </c>
      <c r="E20" s="30">
        <v>0</v>
      </c>
      <c r="F20" s="30">
        <f>'RISD17-24'!$D$9</f>
        <v>0</v>
      </c>
      <c r="G20" s="30">
        <f>'RISD17-24'!$D$10</f>
        <v>0</v>
      </c>
      <c r="H20" s="30">
        <f>'RISD17-24'!$D$11</f>
        <v>0</v>
      </c>
      <c r="I20" s="30">
        <f>'RISD17-24'!$D$12</f>
        <v>0</v>
      </c>
      <c r="J20" s="30">
        <f>'RISD17-24'!$D$13</f>
        <v>0</v>
      </c>
      <c r="K20" s="30">
        <f>'RISD17-24'!$D$14</f>
        <v>0</v>
      </c>
      <c r="L20" s="30">
        <f>'RISD17-24'!$D$15</f>
        <v>0</v>
      </c>
      <c r="M20" s="30">
        <f>'RISD17-24'!$D$16</f>
        <v>0</v>
      </c>
      <c r="N20" s="30">
        <f>'RISD17-24'!$D$17</f>
        <v>0</v>
      </c>
      <c r="O20" s="30">
        <f>'RISD17-24'!$D$18</f>
        <v>0</v>
      </c>
      <c r="P20" s="30">
        <f>'RISD17-24'!$D$19</f>
        <v>0</v>
      </c>
      <c r="Q20" s="30">
        <f>'RISD17-24'!$D$22</f>
        <v>0</v>
      </c>
      <c r="R20" s="30">
        <f>'RISD17-24'!$D$24</f>
        <v>0</v>
      </c>
      <c r="S20" s="30">
        <f>'RISD17-24'!$D$25</f>
        <v>0</v>
      </c>
      <c r="T20" s="30">
        <f>'RISD17-24'!$D$27</f>
        <v>0</v>
      </c>
      <c r="U20" s="30">
        <f>'RISD17-24'!$D$28</f>
        <v>0</v>
      </c>
      <c r="V20" s="30">
        <f>'RISD17-24'!$D$29</f>
        <v>0</v>
      </c>
      <c r="W20" s="30">
        <f>'RISD17-24'!$D$23</f>
        <v>0</v>
      </c>
      <c r="X20" s="29">
        <v>0</v>
      </c>
      <c r="Y20" s="29">
        <v>0</v>
      </c>
      <c r="Z20" s="29">
        <v>0</v>
      </c>
      <c r="AA20" s="29">
        <v>0</v>
      </c>
      <c r="AB20" s="29">
        <v>0</v>
      </c>
      <c r="AC20" s="29">
        <v>0</v>
      </c>
      <c r="AD20" s="29">
        <v>0</v>
      </c>
      <c r="AE20" s="29">
        <v>0</v>
      </c>
      <c r="AF20" s="29">
        <v>0</v>
      </c>
      <c r="AG20" s="29">
        <v>0</v>
      </c>
    </row>
    <row r="21" spans="1:33" ht="12.75">
      <c r="A21" s="27">
        <f>ENROLLMENT!$A$4</f>
        <v>0</v>
      </c>
      <c r="B21" s="23">
        <f>IF(C21&gt;0,'RISD1-8'!$A$2,0)</f>
        <v>0</v>
      </c>
      <c r="C21" s="23">
        <f>IF(A21="STATE AVG","NULL",ENROLLMENT!U$8)</f>
        <v>0</v>
      </c>
      <c r="D21" s="30">
        <f>'RISD17-24'!$E$7</f>
        <v>0</v>
      </c>
      <c r="E21" s="30">
        <v>0</v>
      </c>
      <c r="F21" s="30">
        <f>'RISD17-24'!$E$9</f>
        <v>0</v>
      </c>
      <c r="G21" s="30">
        <f>'RISD17-24'!$E$10</f>
        <v>0</v>
      </c>
      <c r="H21" s="30">
        <f>'RISD17-24'!$E$11</f>
        <v>0</v>
      </c>
      <c r="I21" s="30">
        <f>'RISD17-24'!$E$12</f>
        <v>0</v>
      </c>
      <c r="J21" s="30">
        <f>'RISD17-24'!$E$13</f>
        <v>0</v>
      </c>
      <c r="K21" s="30">
        <f>'RISD17-24'!$E$14</f>
        <v>0</v>
      </c>
      <c r="L21" s="30">
        <f>'RISD17-24'!$E$15</f>
        <v>0</v>
      </c>
      <c r="M21" s="30">
        <f>'RISD17-24'!$E$16</f>
        <v>0</v>
      </c>
      <c r="N21" s="30">
        <f>'RISD17-24'!$E$17</f>
        <v>0</v>
      </c>
      <c r="O21" s="30">
        <f>'RISD17-24'!$E$18</f>
        <v>0</v>
      </c>
      <c r="P21" s="30">
        <f>'RISD17-24'!$E$19</f>
        <v>0</v>
      </c>
      <c r="Q21" s="30">
        <f>'RISD17-24'!$E$22</f>
        <v>0</v>
      </c>
      <c r="R21" s="30">
        <f>'RISD17-24'!$E$24</f>
        <v>0</v>
      </c>
      <c r="S21" s="30">
        <f>'RISD17-24'!$E$25</f>
        <v>0</v>
      </c>
      <c r="T21" s="30">
        <f>'RISD17-24'!$E$27</f>
        <v>0</v>
      </c>
      <c r="U21" s="30">
        <f>'RISD17-24'!$E$28</f>
        <v>0</v>
      </c>
      <c r="V21" s="30">
        <f>'RISD17-24'!$E$29</f>
        <v>0</v>
      </c>
      <c r="W21" s="30">
        <f>'RISD17-24'!$E$23</f>
        <v>0</v>
      </c>
      <c r="X21" s="29">
        <v>0</v>
      </c>
      <c r="Y21" s="29">
        <v>0</v>
      </c>
      <c r="Z21" s="29">
        <v>0</v>
      </c>
      <c r="AA21" s="29">
        <v>0</v>
      </c>
      <c r="AB21" s="29">
        <v>0</v>
      </c>
      <c r="AC21" s="29">
        <v>0</v>
      </c>
      <c r="AD21" s="29">
        <v>0</v>
      </c>
      <c r="AE21" s="29">
        <v>0</v>
      </c>
      <c r="AF21" s="29">
        <v>0</v>
      </c>
      <c r="AG21" s="29">
        <v>0</v>
      </c>
    </row>
    <row r="22" spans="1:33" ht="12.75">
      <c r="A22" s="27">
        <f>ENROLLMENT!$A$4</f>
        <v>0</v>
      </c>
      <c r="B22" s="23">
        <f>IF(C22&gt;0,'RISD1-8'!$A$2,0)</f>
        <v>0</v>
      </c>
      <c r="C22" s="23">
        <f>IF(A22="STATE AVG","NULL",ENROLLMENT!V$8)</f>
        <v>0</v>
      </c>
      <c r="D22" s="30">
        <f>'RISD17-24'!$F$7</f>
        <v>0</v>
      </c>
      <c r="E22" s="30">
        <v>0</v>
      </c>
      <c r="F22" s="30">
        <f>'RISD17-24'!$F$9</f>
        <v>0</v>
      </c>
      <c r="G22" s="30">
        <f>'RISD17-24'!$F$10</f>
        <v>0</v>
      </c>
      <c r="H22" s="30">
        <f>'RISD17-24'!$F$11</f>
        <v>0</v>
      </c>
      <c r="I22" s="30">
        <f>'RISD17-24'!$F$12</f>
        <v>0</v>
      </c>
      <c r="J22" s="30">
        <f>'RISD17-24'!$F$13</f>
        <v>0</v>
      </c>
      <c r="K22" s="30">
        <f>'RISD17-24'!$F$14</f>
        <v>0</v>
      </c>
      <c r="L22" s="30">
        <f>'RISD17-24'!$F$15</f>
        <v>0</v>
      </c>
      <c r="M22" s="30">
        <f>'RISD17-24'!$F$16</f>
        <v>0</v>
      </c>
      <c r="N22" s="30">
        <f>'RISD17-24'!$F$17</f>
        <v>0</v>
      </c>
      <c r="O22" s="30">
        <f>'RISD17-24'!$F$18</f>
        <v>0</v>
      </c>
      <c r="P22" s="30">
        <f>'RISD17-24'!$F$19</f>
        <v>0</v>
      </c>
      <c r="Q22" s="30">
        <f>'RISD17-24'!$F$22</f>
        <v>0</v>
      </c>
      <c r="R22" s="30">
        <f>'RISD17-24'!$F$24</f>
        <v>0</v>
      </c>
      <c r="S22" s="30">
        <f>'RISD17-24'!$F$25</f>
        <v>0</v>
      </c>
      <c r="T22" s="30">
        <f>'RISD17-24'!$F$27</f>
        <v>0</v>
      </c>
      <c r="U22" s="30">
        <f>'RISD17-24'!$F$28</f>
        <v>0</v>
      </c>
      <c r="V22" s="30">
        <f>'RISD17-24'!$F$29</f>
        <v>0</v>
      </c>
      <c r="W22" s="30">
        <f>'RISD17-24'!$F$23</f>
        <v>0</v>
      </c>
      <c r="X22" s="29">
        <v>0</v>
      </c>
      <c r="Y22" s="29">
        <v>0</v>
      </c>
      <c r="Z22" s="29">
        <v>0</v>
      </c>
      <c r="AA22" s="29">
        <v>0</v>
      </c>
      <c r="AB22" s="29">
        <v>0</v>
      </c>
      <c r="AC22" s="29">
        <v>0</v>
      </c>
      <c r="AD22" s="29">
        <v>0</v>
      </c>
      <c r="AE22" s="29">
        <v>0</v>
      </c>
      <c r="AF22" s="29">
        <v>0</v>
      </c>
      <c r="AG22" s="29">
        <v>0</v>
      </c>
    </row>
    <row r="23" spans="1:33" ht="12.75">
      <c r="A23" s="27">
        <f>ENROLLMENT!$A$4</f>
        <v>0</v>
      </c>
      <c r="B23" s="23">
        <f>IF(C23&gt;0,'RISD1-8'!$A$2,0)</f>
        <v>0</v>
      </c>
      <c r="C23" s="23">
        <f>IF(A23="STATE AVG","NULL",ENROLLMENT!W$8)</f>
        <v>0</v>
      </c>
      <c r="D23" s="30">
        <f>'RISD17-24'!$G$7</f>
        <v>0</v>
      </c>
      <c r="E23" s="30">
        <v>0</v>
      </c>
      <c r="F23" s="30">
        <f>'RISD17-24'!$G$9</f>
        <v>0</v>
      </c>
      <c r="G23" s="30">
        <f>'RISD17-24'!$G$10</f>
        <v>0</v>
      </c>
      <c r="H23" s="30">
        <f>'RISD17-24'!$G$11</f>
        <v>0</v>
      </c>
      <c r="I23" s="30">
        <f>'RISD17-24'!$G$12</f>
        <v>0</v>
      </c>
      <c r="J23" s="30">
        <f>'RISD17-24'!$G$13</f>
        <v>0</v>
      </c>
      <c r="K23" s="30">
        <f>'RISD17-24'!$G$14</f>
        <v>0</v>
      </c>
      <c r="L23" s="30">
        <f>'RISD17-24'!$G$15</f>
        <v>0</v>
      </c>
      <c r="M23" s="30">
        <f>'RISD17-24'!$G$16</f>
        <v>0</v>
      </c>
      <c r="N23" s="30">
        <f>'RISD17-24'!$G$17</f>
        <v>0</v>
      </c>
      <c r="O23" s="30">
        <f>'RISD17-24'!$G$18</f>
        <v>0</v>
      </c>
      <c r="P23" s="30">
        <f>'RISD17-24'!$G$19</f>
        <v>0</v>
      </c>
      <c r="Q23" s="30">
        <f>'RISD17-24'!$G$22</f>
        <v>0</v>
      </c>
      <c r="R23" s="30">
        <f>'RISD17-24'!$G$24</f>
        <v>0</v>
      </c>
      <c r="S23" s="30">
        <f>'RISD17-24'!$G$25</f>
        <v>0</v>
      </c>
      <c r="T23" s="30">
        <f>'RISD17-24'!$G$27</f>
        <v>0</v>
      </c>
      <c r="U23" s="30">
        <f>'RISD17-24'!$G$28</f>
        <v>0</v>
      </c>
      <c r="V23" s="30">
        <f>'RISD17-24'!$G$29</f>
        <v>0</v>
      </c>
      <c r="W23" s="30">
        <f>'RISD17-24'!$G$23</f>
        <v>0</v>
      </c>
      <c r="X23" s="29">
        <v>0</v>
      </c>
      <c r="Y23" s="29">
        <v>0</v>
      </c>
      <c r="Z23" s="29">
        <v>0</v>
      </c>
      <c r="AA23" s="29">
        <v>0</v>
      </c>
      <c r="AB23" s="29">
        <v>0</v>
      </c>
      <c r="AC23" s="29">
        <v>0</v>
      </c>
      <c r="AD23" s="29">
        <v>0</v>
      </c>
      <c r="AE23" s="29">
        <v>0</v>
      </c>
      <c r="AF23" s="29">
        <v>0</v>
      </c>
      <c r="AG23" s="29">
        <v>0</v>
      </c>
    </row>
    <row r="24" spans="1:33" ht="12.75">
      <c r="A24" s="27">
        <f>ENROLLMENT!$A$4</f>
        <v>0</v>
      </c>
      <c r="B24" s="23">
        <f>IF(C24&gt;0,'RISD1-8'!$A$2,0)</f>
        <v>0</v>
      </c>
      <c r="C24" s="23">
        <f>IF(A24="STATE AVG","NULL",ENROLLMENT!X$8)</f>
        <v>0</v>
      </c>
      <c r="D24" s="30">
        <f>'RISD17-24'!$H$7</f>
        <v>0</v>
      </c>
      <c r="E24" s="30">
        <v>0</v>
      </c>
      <c r="F24" s="30">
        <f>'RISD17-24'!$H$9</f>
        <v>0</v>
      </c>
      <c r="G24" s="30">
        <f>'RISD17-24'!$H$10</f>
        <v>0</v>
      </c>
      <c r="H24" s="30">
        <f>'RISD17-24'!$H$11</f>
        <v>0</v>
      </c>
      <c r="I24" s="30">
        <f>'RISD17-24'!$H$12</f>
        <v>0</v>
      </c>
      <c r="J24" s="30">
        <f>'RISD17-24'!$H$13</f>
        <v>0</v>
      </c>
      <c r="K24" s="30">
        <f>'RISD17-24'!$H$14</f>
        <v>0</v>
      </c>
      <c r="L24" s="30">
        <f>'RISD17-24'!$H$15</f>
        <v>0</v>
      </c>
      <c r="M24" s="30">
        <f>'RISD17-24'!$H$16</f>
        <v>0</v>
      </c>
      <c r="N24" s="30">
        <f>'RISD17-24'!$H$17</f>
        <v>0</v>
      </c>
      <c r="O24" s="30">
        <f>'RISD17-24'!$H$18</f>
        <v>0</v>
      </c>
      <c r="P24" s="30">
        <f>'RISD17-24'!$H$19</f>
        <v>0</v>
      </c>
      <c r="Q24" s="30">
        <f>'RISD17-24'!$H$22</f>
        <v>0</v>
      </c>
      <c r="R24" s="30">
        <f>'RISD17-24'!$H$24</f>
        <v>0</v>
      </c>
      <c r="S24" s="30">
        <f>'RISD17-24'!$H$25</f>
        <v>0</v>
      </c>
      <c r="T24" s="30">
        <f>'RISD17-24'!$H$27</f>
        <v>0</v>
      </c>
      <c r="U24" s="30">
        <f>'RISD17-24'!$H$28</f>
        <v>0</v>
      </c>
      <c r="V24" s="30">
        <f>'RISD17-24'!$H$29</f>
        <v>0</v>
      </c>
      <c r="W24" s="30">
        <f>'RISD17-24'!$H$23</f>
        <v>0</v>
      </c>
      <c r="X24" s="29">
        <v>0</v>
      </c>
      <c r="Y24" s="29">
        <v>0</v>
      </c>
      <c r="Z24" s="29">
        <v>0</v>
      </c>
      <c r="AA24" s="29">
        <v>0</v>
      </c>
      <c r="AB24" s="29">
        <v>0</v>
      </c>
      <c r="AC24" s="29">
        <v>0</v>
      </c>
      <c r="AD24" s="29">
        <v>0</v>
      </c>
      <c r="AE24" s="29">
        <v>0</v>
      </c>
      <c r="AF24" s="29">
        <v>0</v>
      </c>
      <c r="AG24" s="29">
        <v>0</v>
      </c>
    </row>
    <row r="25" spans="1:33" ht="12.75">
      <c r="A25" s="27">
        <f>ENROLLMENT!$A$4</f>
        <v>0</v>
      </c>
      <c r="B25" s="23">
        <f>IF(C25&gt;0,'RISD1-8'!$A$2,0)</f>
        <v>0</v>
      </c>
      <c r="C25" s="23">
        <f>IF(A25="STATE AVG","NULL",ENROLLMENT!Y$8)</f>
        <v>0</v>
      </c>
      <c r="D25" s="30">
        <f>'RISD17-24'!$I$7</f>
        <v>0</v>
      </c>
      <c r="E25" s="30">
        <v>0</v>
      </c>
      <c r="F25" s="30">
        <f>'RISD17-24'!$I$9</f>
        <v>0</v>
      </c>
      <c r="G25" s="30">
        <f>'RISD17-24'!$I$10</f>
        <v>0</v>
      </c>
      <c r="H25" s="30">
        <f>'RISD17-24'!$I$11</f>
        <v>0</v>
      </c>
      <c r="I25" s="30">
        <f>'RISD17-24'!$I$12</f>
        <v>0</v>
      </c>
      <c r="J25" s="30">
        <f>'RISD17-24'!$I$13</f>
        <v>0</v>
      </c>
      <c r="K25" s="30">
        <f>'RISD17-24'!$I$14</f>
        <v>0</v>
      </c>
      <c r="L25" s="30">
        <f>'RISD17-24'!$I$15</f>
        <v>0</v>
      </c>
      <c r="M25" s="30">
        <f>'RISD17-24'!$I$16</f>
        <v>0</v>
      </c>
      <c r="N25" s="30">
        <f>'RISD17-24'!$I$17</f>
        <v>0</v>
      </c>
      <c r="O25" s="30">
        <f>'RISD17-24'!$I$18</f>
        <v>0</v>
      </c>
      <c r="P25" s="30">
        <f>'RISD17-24'!$I$19</f>
        <v>0</v>
      </c>
      <c r="Q25" s="30">
        <f>'RISD17-24'!$I$22</f>
        <v>0</v>
      </c>
      <c r="R25" s="30">
        <f>'RISD17-24'!$I$24</f>
        <v>0</v>
      </c>
      <c r="S25" s="30">
        <f>'RISD17-24'!$I$25</f>
        <v>0</v>
      </c>
      <c r="T25" s="30">
        <f>'RISD17-24'!$I$27</f>
        <v>0</v>
      </c>
      <c r="U25" s="30">
        <f>'RISD17-24'!$I$28</f>
        <v>0</v>
      </c>
      <c r="V25" s="30">
        <f>'RISD17-24'!$I$29</f>
        <v>0</v>
      </c>
      <c r="W25" s="30">
        <f>'RISD17-24'!$I$23</f>
        <v>0</v>
      </c>
      <c r="X25" s="29">
        <v>0</v>
      </c>
      <c r="Y25" s="29">
        <v>0</v>
      </c>
      <c r="Z25" s="29">
        <v>0</v>
      </c>
      <c r="AA25" s="29">
        <v>0</v>
      </c>
      <c r="AB25" s="29">
        <v>0</v>
      </c>
      <c r="AC25" s="29">
        <v>0</v>
      </c>
      <c r="AD25" s="29">
        <v>0</v>
      </c>
      <c r="AE25" s="29">
        <v>0</v>
      </c>
      <c r="AF25" s="29">
        <v>0</v>
      </c>
      <c r="AG25" s="29">
        <v>0</v>
      </c>
    </row>
    <row r="26" spans="1:33" ht="12.75">
      <c r="A26" s="27">
        <f>ENROLLMENT!$A$4</f>
        <v>0</v>
      </c>
      <c r="B26" s="23">
        <f>IF(C26&gt;0,'RISD1-8'!$A$2,0)</f>
        <v>0</v>
      </c>
      <c r="C26" s="23">
        <f>IF(A26="STATE AVG","NULL",ENROLLMENT!Z$8)</f>
        <v>0</v>
      </c>
      <c r="D26" s="30">
        <f>'RISD25-32'!$B$7</f>
        <v>0</v>
      </c>
      <c r="E26" s="30">
        <v>0</v>
      </c>
      <c r="F26" s="30">
        <f>'RISD25-32'!$B$9</f>
        <v>0</v>
      </c>
      <c r="G26" s="30">
        <f>'RISD25-32'!$B$10</f>
        <v>0</v>
      </c>
      <c r="H26" s="30">
        <f>'RISD25-32'!$B$11</f>
        <v>0</v>
      </c>
      <c r="I26" s="30">
        <f>'RISD25-32'!$B$12</f>
        <v>0</v>
      </c>
      <c r="J26" s="30">
        <f>'RISD25-32'!$B$13</f>
        <v>0</v>
      </c>
      <c r="K26" s="30">
        <f>'RISD25-32'!$B$14</f>
        <v>0</v>
      </c>
      <c r="L26" s="30">
        <f>'RISD25-32'!$B$15</f>
        <v>0</v>
      </c>
      <c r="M26" s="30">
        <f>'RISD25-32'!$B$16</f>
        <v>0</v>
      </c>
      <c r="N26" s="30">
        <f>'RISD25-32'!$B$17</f>
        <v>0</v>
      </c>
      <c r="O26" s="30">
        <f>'RISD25-32'!$B$18</f>
        <v>0</v>
      </c>
      <c r="P26" s="30">
        <f>'RISD25-32'!$B$19</f>
        <v>0</v>
      </c>
      <c r="Q26" s="30">
        <f>'RISD25-32'!$B$22</f>
        <v>0</v>
      </c>
      <c r="R26" s="30">
        <f>'RISD25-32'!$B$24</f>
        <v>0</v>
      </c>
      <c r="S26" s="30">
        <f>'RISD25-32'!$B$25</f>
        <v>0</v>
      </c>
      <c r="T26" s="30">
        <f>'RISD25-32'!$B$27</f>
        <v>0</v>
      </c>
      <c r="U26" s="30">
        <f>'RISD25-32'!$B$28</f>
        <v>0</v>
      </c>
      <c r="V26" s="30">
        <f>'RISD25-32'!$B$29</f>
        <v>0</v>
      </c>
      <c r="W26" s="30">
        <f>'RISD25-32'!$B$23</f>
        <v>0</v>
      </c>
      <c r="X26" s="29">
        <v>0</v>
      </c>
      <c r="Y26" s="29">
        <v>0</v>
      </c>
      <c r="Z26" s="29">
        <v>0</v>
      </c>
      <c r="AA26" s="29">
        <v>0</v>
      </c>
      <c r="AB26" s="29">
        <v>0</v>
      </c>
      <c r="AC26" s="29">
        <v>0</v>
      </c>
      <c r="AD26" s="29">
        <v>0</v>
      </c>
      <c r="AE26" s="29">
        <v>0</v>
      </c>
      <c r="AF26" s="29">
        <v>0</v>
      </c>
      <c r="AG26" s="29">
        <v>0</v>
      </c>
    </row>
    <row r="27" spans="1:33" ht="12.75">
      <c r="A27" s="27">
        <f>ENROLLMENT!$A$4</f>
        <v>0</v>
      </c>
      <c r="B27" s="23">
        <f>IF(C27&gt;0,'RISD1-8'!$A$2,0)</f>
        <v>0</v>
      </c>
      <c r="C27" s="23">
        <f>IF(A27="STATE AVG","NULL",ENROLLMENT!AA$8)</f>
        <v>0</v>
      </c>
      <c r="D27" s="30">
        <f>'RISD25-32'!$C$7</f>
        <v>0</v>
      </c>
      <c r="E27" s="30">
        <v>0</v>
      </c>
      <c r="F27" s="30">
        <f>'RISD25-32'!$C$9</f>
        <v>0</v>
      </c>
      <c r="G27" s="30">
        <f>'RISD25-32'!$C$10</f>
        <v>0</v>
      </c>
      <c r="H27" s="30">
        <f>'RISD25-32'!$C$11</f>
        <v>0</v>
      </c>
      <c r="I27" s="30">
        <f>'RISD25-32'!$C$12</f>
        <v>0</v>
      </c>
      <c r="J27" s="30">
        <f>'RISD25-32'!$C$13</f>
        <v>0</v>
      </c>
      <c r="K27" s="30">
        <f>'RISD25-32'!$C$14</f>
        <v>0</v>
      </c>
      <c r="L27" s="30">
        <f>'RISD25-32'!$C$15</f>
        <v>0</v>
      </c>
      <c r="M27" s="30">
        <f>'RISD25-32'!$C$16</f>
        <v>0</v>
      </c>
      <c r="N27" s="30">
        <f>'RISD25-32'!$C$17</f>
        <v>0</v>
      </c>
      <c r="O27" s="30">
        <f>'RISD25-32'!$C$18</f>
        <v>0</v>
      </c>
      <c r="P27" s="30">
        <f>'RISD25-32'!$C$19</f>
        <v>0</v>
      </c>
      <c r="Q27" s="30">
        <f>'RISD25-32'!$C$22</f>
        <v>0</v>
      </c>
      <c r="R27" s="30">
        <f>'RISD25-32'!$C$24</f>
        <v>0</v>
      </c>
      <c r="S27" s="30">
        <f>'RISD25-32'!$C$25</f>
        <v>0</v>
      </c>
      <c r="T27" s="30">
        <f>'RISD25-32'!$C$27</f>
        <v>0</v>
      </c>
      <c r="U27" s="30">
        <f>'RISD25-32'!$C$28</f>
        <v>0</v>
      </c>
      <c r="V27" s="30">
        <f>'RISD25-32'!$C$29</f>
        <v>0</v>
      </c>
      <c r="W27" s="30">
        <f>'RISD25-32'!$C$23</f>
        <v>0</v>
      </c>
      <c r="X27" s="29">
        <v>0</v>
      </c>
      <c r="Y27" s="29">
        <v>0</v>
      </c>
      <c r="Z27" s="29">
        <v>0</v>
      </c>
      <c r="AA27" s="29">
        <v>0</v>
      </c>
      <c r="AB27" s="29">
        <v>0</v>
      </c>
      <c r="AC27" s="29">
        <v>0</v>
      </c>
      <c r="AD27" s="29">
        <v>0</v>
      </c>
      <c r="AE27" s="29">
        <v>0</v>
      </c>
      <c r="AF27" s="29">
        <v>0</v>
      </c>
      <c r="AG27" s="29">
        <v>0</v>
      </c>
    </row>
    <row r="28" spans="1:33" ht="12.75">
      <c r="A28" s="27">
        <f>ENROLLMENT!$A$4</f>
        <v>0</v>
      </c>
      <c r="B28" s="23">
        <f>IF(C28&gt;0,'RISD1-8'!$A$2,0)</f>
        <v>0</v>
      </c>
      <c r="C28" s="23">
        <f>IF(A28="STATE AVG","NULL",ENROLLMENT!AB$8)</f>
        <v>0</v>
      </c>
      <c r="D28" s="30">
        <f>'RISD25-32'!$D$7</f>
        <v>0</v>
      </c>
      <c r="E28" s="30">
        <v>0</v>
      </c>
      <c r="F28" s="30">
        <f>'RISD25-32'!$D$9</f>
        <v>0</v>
      </c>
      <c r="G28" s="30">
        <f>'RISD25-32'!$D$10</f>
        <v>0</v>
      </c>
      <c r="H28" s="30">
        <f>'RISD25-32'!$D$11</f>
        <v>0</v>
      </c>
      <c r="I28" s="30">
        <f>'RISD25-32'!$D$12</f>
        <v>0</v>
      </c>
      <c r="J28" s="30">
        <f>'RISD25-32'!$D$13</f>
        <v>0</v>
      </c>
      <c r="K28" s="30">
        <f>'RISD25-32'!$D$14</f>
        <v>0</v>
      </c>
      <c r="L28" s="30">
        <f>'RISD25-32'!$D$15</f>
        <v>0</v>
      </c>
      <c r="M28" s="30">
        <f>'RISD25-32'!$D$16</f>
        <v>0</v>
      </c>
      <c r="N28" s="30">
        <f>'RISD25-32'!$D$17</f>
        <v>0</v>
      </c>
      <c r="O28" s="30">
        <f>'RISD25-32'!$D$18</f>
        <v>0</v>
      </c>
      <c r="P28" s="30">
        <f>'RISD25-32'!$D$19</f>
        <v>0</v>
      </c>
      <c r="Q28" s="30">
        <f>'RISD25-32'!$D$22</f>
        <v>0</v>
      </c>
      <c r="R28" s="30">
        <f>'RISD25-32'!$D$24</f>
        <v>0</v>
      </c>
      <c r="S28" s="30">
        <f>'RISD25-32'!$D$25</f>
        <v>0</v>
      </c>
      <c r="T28" s="30">
        <f>'RISD25-32'!$D$27</f>
        <v>0</v>
      </c>
      <c r="U28" s="30">
        <f>'RISD25-32'!$D$28</f>
        <v>0</v>
      </c>
      <c r="V28" s="30">
        <f>'RISD25-32'!$D$29</f>
        <v>0</v>
      </c>
      <c r="W28" s="30">
        <f>'RISD25-32'!$D$23</f>
        <v>0</v>
      </c>
      <c r="X28" s="29">
        <v>0</v>
      </c>
      <c r="Y28" s="29">
        <v>0</v>
      </c>
      <c r="Z28" s="29">
        <v>0</v>
      </c>
      <c r="AA28" s="29">
        <v>0</v>
      </c>
      <c r="AB28" s="29">
        <v>0</v>
      </c>
      <c r="AC28" s="29">
        <v>0</v>
      </c>
      <c r="AD28" s="29">
        <v>0</v>
      </c>
      <c r="AE28" s="29">
        <v>0</v>
      </c>
      <c r="AF28" s="29">
        <v>0</v>
      </c>
      <c r="AG28" s="29">
        <v>0</v>
      </c>
    </row>
    <row r="29" spans="1:33" ht="12.75">
      <c r="A29" s="27">
        <f>ENROLLMENT!$A$4</f>
        <v>0</v>
      </c>
      <c r="B29" s="23">
        <f>IF(C29&gt;0,'RISD1-8'!$A$2,0)</f>
        <v>0</v>
      </c>
      <c r="C29" s="23">
        <f>IF(A29="STATE AVG","NULL",ENROLLMENT!AC$8)</f>
        <v>0</v>
      </c>
      <c r="D29" s="30">
        <f>'RISD25-32'!$E$7</f>
        <v>0</v>
      </c>
      <c r="E29" s="30">
        <v>0</v>
      </c>
      <c r="F29" s="30">
        <f>'RISD25-32'!$E$9</f>
        <v>0</v>
      </c>
      <c r="G29" s="30">
        <f>'RISD25-32'!$E$10</f>
        <v>0</v>
      </c>
      <c r="H29" s="30">
        <f>'RISD25-32'!$E$11</f>
        <v>0</v>
      </c>
      <c r="I29" s="30">
        <f>'RISD25-32'!$E$12</f>
        <v>0</v>
      </c>
      <c r="J29" s="30">
        <f>'RISD25-32'!$E$13</f>
        <v>0</v>
      </c>
      <c r="K29" s="30">
        <f>'RISD25-32'!$E$14</f>
        <v>0</v>
      </c>
      <c r="L29" s="30">
        <f>'RISD25-32'!$E$15</f>
        <v>0</v>
      </c>
      <c r="M29" s="30">
        <f>'RISD25-32'!$E$16</f>
        <v>0</v>
      </c>
      <c r="N29" s="30">
        <f>'RISD25-32'!$E$17</f>
        <v>0</v>
      </c>
      <c r="O29" s="30">
        <f>'RISD25-32'!$E$18</f>
        <v>0</v>
      </c>
      <c r="P29" s="30">
        <f>'RISD25-32'!$E$19</f>
        <v>0</v>
      </c>
      <c r="Q29" s="30">
        <f>'RISD25-32'!$E$22</f>
        <v>0</v>
      </c>
      <c r="R29" s="30">
        <f>'RISD25-32'!$E$24</f>
        <v>0</v>
      </c>
      <c r="S29" s="30">
        <f>'RISD25-32'!$E$25</f>
        <v>0</v>
      </c>
      <c r="T29" s="30">
        <f>'RISD25-32'!$E$27</f>
        <v>0</v>
      </c>
      <c r="U29" s="30">
        <f>'RISD25-32'!$E$28</f>
        <v>0</v>
      </c>
      <c r="V29" s="30">
        <f>'RISD25-32'!$E$29</f>
        <v>0</v>
      </c>
      <c r="W29" s="30">
        <f>'RISD25-32'!$E$23</f>
        <v>0</v>
      </c>
      <c r="X29" s="29">
        <v>0</v>
      </c>
      <c r="Y29" s="29">
        <v>0</v>
      </c>
      <c r="Z29" s="29">
        <v>0</v>
      </c>
      <c r="AA29" s="29">
        <v>0</v>
      </c>
      <c r="AB29" s="29">
        <v>0</v>
      </c>
      <c r="AC29" s="29">
        <v>0</v>
      </c>
      <c r="AD29" s="29">
        <v>0</v>
      </c>
      <c r="AE29" s="29">
        <v>0</v>
      </c>
      <c r="AF29" s="29">
        <v>0</v>
      </c>
      <c r="AG29" s="29">
        <v>0</v>
      </c>
    </row>
    <row r="30" spans="1:33" ht="12.75">
      <c r="A30" s="27">
        <f>ENROLLMENT!$A$4</f>
        <v>0</v>
      </c>
      <c r="B30" s="23">
        <f>IF(C30&gt;0,'RISD1-8'!$A$2,0)</f>
        <v>0</v>
      </c>
      <c r="C30" s="23">
        <f>IF(A30="STATE AVG","NULL",ENROLLMENT!AD$8)</f>
        <v>0</v>
      </c>
      <c r="D30" s="30">
        <f>'RISD25-32'!$F$7</f>
        <v>0</v>
      </c>
      <c r="E30" s="30">
        <v>0</v>
      </c>
      <c r="F30" s="30">
        <f>'RISD25-32'!$F$9</f>
        <v>0</v>
      </c>
      <c r="G30" s="30">
        <f>'RISD25-32'!$F$10</f>
        <v>0</v>
      </c>
      <c r="H30" s="30">
        <f>'RISD25-32'!$F$11</f>
        <v>0</v>
      </c>
      <c r="I30" s="30">
        <f>'RISD25-32'!$F$12</f>
        <v>0</v>
      </c>
      <c r="J30" s="30">
        <f>'RISD25-32'!$F$13</f>
        <v>0</v>
      </c>
      <c r="K30" s="30">
        <f>'RISD25-32'!$F$14</f>
        <v>0</v>
      </c>
      <c r="L30" s="30">
        <f>'RISD25-32'!$F$15</f>
        <v>0</v>
      </c>
      <c r="M30" s="30">
        <f>'RISD25-32'!$F$16</f>
        <v>0</v>
      </c>
      <c r="N30" s="30">
        <f>'RISD25-32'!$F$17</f>
        <v>0</v>
      </c>
      <c r="O30" s="30">
        <f>'RISD25-32'!$F$18</f>
        <v>0</v>
      </c>
      <c r="P30" s="30">
        <f>'RISD25-32'!$F$19</f>
        <v>0</v>
      </c>
      <c r="Q30" s="30">
        <f>'RISD25-32'!$F$22</f>
        <v>0</v>
      </c>
      <c r="R30" s="30">
        <f>'RISD25-32'!$F$24</f>
        <v>0</v>
      </c>
      <c r="S30" s="30">
        <f>'RISD25-32'!$F$25</f>
        <v>0</v>
      </c>
      <c r="T30" s="30">
        <f>'RISD25-32'!$F$27</f>
        <v>0</v>
      </c>
      <c r="U30" s="30">
        <f>'RISD25-32'!$F$28</f>
        <v>0</v>
      </c>
      <c r="V30" s="30">
        <f>'RISD25-32'!$F$29</f>
        <v>0</v>
      </c>
      <c r="W30" s="30">
        <f>'RISD25-32'!$F$23</f>
        <v>0</v>
      </c>
      <c r="X30" s="29">
        <v>0</v>
      </c>
      <c r="Y30" s="29">
        <v>0</v>
      </c>
      <c r="Z30" s="29">
        <v>0</v>
      </c>
      <c r="AA30" s="29">
        <v>0</v>
      </c>
      <c r="AB30" s="29">
        <v>0</v>
      </c>
      <c r="AC30" s="29">
        <v>0</v>
      </c>
      <c r="AD30" s="29">
        <v>0</v>
      </c>
      <c r="AE30" s="29">
        <v>0</v>
      </c>
      <c r="AF30" s="29">
        <v>0</v>
      </c>
      <c r="AG30" s="29">
        <v>0</v>
      </c>
    </row>
    <row r="31" spans="1:33" ht="12.75">
      <c r="A31" s="27">
        <f>ENROLLMENT!$A$4</f>
        <v>0</v>
      </c>
      <c r="B31" s="23">
        <f>IF(C31&gt;0,'RISD1-8'!$A$2,0)</f>
        <v>0</v>
      </c>
      <c r="C31" s="23">
        <f>IF(A31="STATE AVG","NULL",ENROLLMENT!AE$8)</f>
        <v>0</v>
      </c>
      <c r="D31" s="30">
        <f>'RISD25-32'!$G$7</f>
        <v>0</v>
      </c>
      <c r="E31" s="30">
        <v>0</v>
      </c>
      <c r="F31" s="30">
        <f>'RISD25-32'!$G$9</f>
        <v>0</v>
      </c>
      <c r="G31" s="30">
        <f>'RISD25-32'!$G$10</f>
        <v>0</v>
      </c>
      <c r="H31" s="30">
        <f>'RISD25-32'!$G$11</f>
        <v>0</v>
      </c>
      <c r="I31" s="30">
        <f>'RISD25-32'!$G$12</f>
        <v>0</v>
      </c>
      <c r="J31" s="30">
        <f>'RISD25-32'!$G$13</f>
        <v>0</v>
      </c>
      <c r="K31" s="30">
        <f>'RISD25-32'!$G$14</f>
        <v>0</v>
      </c>
      <c r="L31" s="30">
        <f>'RISD25-32'!$G$15</f>
        <v>0</v>
      </c>
      <c r="M31" s="30">
        <f>'RISD25-32'!$G$16</f>
        <v>0</v>
      </c>
      <c r="N31" s="30">
        <f>'RISD25-32'!$G$17</f>
        <v>0</v>
      </c>
      <c r="O31" s="30">
        <f>'RISD25-32'!$G$18</f>
        <v>0</v>
      </c>
      <c r="P31" s="30">
        <f>'RISD25-32'!$G$19</f>
        <v>0</v>
      </c>
      <c r="Q31" s="30">
        <f>'RISD25-32'!$G$22</f>
        <v>0</v>
      </c>
      <c r="R31" s="30">
        <f>'RISD25-32'!$G$24</f>
        <v>0</v>
      </c>
      <c r="S31" s="30">
        <f>'RISD25-32'!$G$25</f>
        <v>0</v>
      </c>
      <c r="T31" s="30">
        <f>'RISD25-32'!$G$27</f>
        <v>0</v>
      </c>
      <c r="U31" s="30">
        <f>'RISD25-32'!$G$28</f>
        <v>0</v>
      </c>
      <c r="V31" s="30">
        <f>'RISD25-32'!$G$29</f>
        <v>0</v>
      </c>
      <c r="W31" s="30">
        <f>'RISD25-32'!$G$23</f>
        <v>0</v>
      </c>
      <c r="X31" s="29">
        <v>0</v>
      </c>
      <c r="Y31" s="29">
        <v>0</v>
      </c>
      <c r="Z31" s="29">
        <v>0</v>
      </c>
      <c r="AA31" s="29">
        <v>0</v>
      </c>
      <c r="AB31" s="29">
        <v>0</v>
      </c>
      <c r="AC31" s="29">
        <v>0</v>
      </c>
      <c r="AD31" s="29">
        <v>0</v>
      </c>
      <c r="AE31" s="29">
        <v>0</v>
      </c>
      <c r="AF31" s="29">
        <v>0</v>
      </c>
      <c r="AG31" s="29">
        <v>0</v>
      </c>
    </row>
    <row r="32" spans="1:33" ht="12.75">
      <c r="A32" s="27">
        <f>ENROLLMENT!$A$4</f>
        <v>0</v>
      </c>
      <c r="B32" s="23">
        <f>IF(C32&gt;0,'RISD1-8'!$A$2,0)</f>
        <v>0</v>
      </c>
      <c r="C32" s="23">
        <f>IF(A32="STATE AVG","NULL",ENROLLMENT!AF$8)</f>
        <v>0</v>
      </c>
      <c r="D32" s="30">
        <f>'RISD25-32'!$H$7</f>
        <v>0</v>
      </c>
      <c r="E32" s="30">
        <v>0</v>
      </c>
      <c r="F32" s="30">
        <f>'RISD25-32'!$H$9</f>
        <v>0</v>
      </c>
      <c r="G32" s="30">
        <f>'RISD25-32'!$H$10</f>
        <v>0</v>
      </c>
      <c r="H32" s="30">
        <f>'RISD25-32'!$H$11</f>
        <v>0</v>
      </c>
      <c r="I32" s="30">
        <f>'RISD25-32'!$H$12</f>
        <v>0</v>
      </c>
      <c r="J32" s="30">
        <f>'RISD25-32'!$H$13</f>
        <v>0</v>
      </c>
      <c r="K32" s="30">
        <f>'RISD25-32'!$H$14</f>
        <v>0</v>
      </c>
      <c r="L32" s="30">
        <f>'RISD25-32'!$H$15</f>
        <v>0</v>
      </c>
      <c r="M32" s="30">
        <f>'RISD25-32'!$H$16</f>
        <v>0</v>
      </c>
      <c r="N32" s="30">
        <f>'RISD25-32'!$H$17</f>
        <v>0</v>
      </c>
      <c r="O32" s="30">
        <f>'RISD25-32'!$H$18</f>
        <v>0</v>
      </c>
      <c r="P32" s="30">
        <f>'RISD25-32'!$H$19</f>
        <v>0</v>
      </c>
      <c r="Q32" s="30">
        <f>'RISD25-32'!$H$22</f>
        <v>0</v>
      </c>
      <c r="R32" s="30">
        <f>'RISD25-32'!$H$24</f>
        <v>0</v>
      </c>
      <c r="S32" s="30">
        <f>'RISD25-32'!$H$25</f>
        <v>0</v>
      </c>
      <c r="T32" s="30">
        <f>'RISD25-32'!$H$27</f>
        <v>0</v>
      </c>
      <c r="U32" s="30">
        <f>'RISD25-32'!$H$28</f>
        <v>0</v>
      </c>
      <c r="V32" s="30">
        <f>'RISD25-32'!$H$29</f>
        <v>0</v>
      </c>
      <c r="W32" s="30">
        <f>'RISD25-32'!$H$23</f>
        <v>0</v>
      </c>
      <c r="X32" s="29">
        <v>0</v>
      </c>
      <c r="Y32" s="29">
        <v>0</v>
      </c>
      <c r="Z32" s="29">
        <v>0</v>
      </c>
      <c r="AA32" s="29">
        <v>0</v>
      </c>
      <c r="AB32" s="29">
        <v>0</v>
      </c>
      <c r="AC32" s="29">
        <v>0</v>
      </c>
      <c r="AD32" s="29">
        <v>0</v>
      </c>
      <c r="AE32" s="29">
        <v>0</v>
      </c>
      <c r="AF32" s="29">
        <v>0</v>
      </c>
      <c r="AG32" s="29">
        <v>0</v>
      </c>
    </row>
    <row r="33" spans="1:33" ht="12.75">
      <c r="A33" s="27">
        <f>ENROLLMENT!$A$4</f>
        <v>0</v>
      </c>
      <c r="B33" s="23">
        <f>IF(C33&gt;0,'RISD1-8'!$A$2,0)</f>
        <v>0</v>
      </c>
      <c r="C33" s="23">
        <f>IF(A33="STATE AVG","NULL",ENROLLMENT!AG$8)</f>
        <v>0</v>
      </c>
      <c r="D33" s="30">
        <f>'RISD25-32'!$I$7</f>
        <v>0</v>
      </c>
      <c r="E33" s="30">
        <v>0</v>
      </c>
      <c r="F33" s="30">
        <f>'RISD25-32'!$I$9</f>
        <v>0</v>
      </c>
      <c r="G33" s="30">
        <f>'RISD25-32'!$I$10</f>
        <v>0</v>
      </c>
      <c r="H33" s="30">
        <f>'RISD25-32'!$I$11</f>
        <v>0</v>
      </c>
      <c r="I33" s="30">
        <f>'RISD25-32'!$I$12</f>
        <v>0</v>
      </c>
      <c r="J33" s="30">
        <f>'RISD25-32'!$I$13</f>
        <v>0</v>
      </c>
      <c r="K33" s="30">
        <f>'RISD25-32'!$I$14</f>
        <v>0</v>
      </c>
      <c r="L33" s="30">
        <f>'RISD25-32'!$I$15</f>
        <v>0</v>
      </c>
      <c r="M33" s="30">
        <f>'RISD25-32'!$I$16</f>
        <v>0</v>
      </c>
      <c r="N33" s="30">
        <f>'RISD25-32'!$I$17</f>
        <v>0</v>
      </c>
      <c r="O33" s="30">
        <f>'RISD25-32'!$I$18</f>
        <v>0</v>
      </c>
      <c r="P33" s="30">
        <f>'RISD25-32'!$I$19</f>
        <v>0</v>
      </c>
      <c r="Q33" s="30">
        <f>'RISD25-32'!$I$22</f>
        <v>0</v>
      </c>
      <c r="R33" s="30">
        <f>'RISD25-32'!$I$24</f>
        <v>0</v>
      </c>
      <c r="S33" s="30">
        <f>'RISD25-32'!$I$25</f>
        <v>0</v>
      </c>
      <c r="T33" s="30">
        <f>'RISD25-32'!$I$27</f>
        <v>0</v>
      </c>
      <c r="U33" s="30">
        <f>'RISD25-32'!$I$28</f>
        <v>0</v>
      </c>
      <c r="V33" s="30">
        <f>'RISD25-32'!$I$29</f>
        <v>0</v>
      </c>
      <c r="W33" s="30">
        <f>'RISD25-32'!$I$23</f>
        <v>0</v>
      </c>
      <c r="X33" s="29">
        <v>0</v>
      </c>
      <c r="Y33" s="29">
        <v>0</v>
      </c>
      <c r="Z33" s="29">
        <v>0</v>
      </c>
      <c r="AA33" s="29">
        <v>0</v>
      </c>
      <c r="AB33" s="29">
        <v>0</v>
      </c>
      <c r="AC33" s="29">
        <v>0</v>
      </c>
      <c r="AD33" s="29">
        <v>0</v>
      </c>
      <c r="AE33" s="29">
        <v>0</v>
      </c>
      <c r="AF33" s="29">
        <v>0</v>
      </c>
      <c r="AG33" s="29">
        <v>0</v>
      </c>
    </row>
    <row r="34" spans="1:33" ht="12.75">
      <c r="A34" s="27">
        <f>ENROLLMENT!$A$4</f>
        <v>0</v>
      </c>
      <c r="B34" s="23">
        <f>IF(C34&gt;0,'RISD1-8'!$A$2,0)</f>
        <v>0</v>
      </c>
      <c r="C34" s="23">
        <f>IF(A34="STATE AVG","NULL",ENROLLMENT!AH$8)</f>
        <v>0</v>
      </c>
      <c r="D34" s="30">
        <f>'RISD33-40'!$B$7</f>
        <v>0</v>
      </c>
      <c r="E34" s="30">
        <v>0</v>
      </c>
      <c r="F34" s="30">
        <f>'RISD33-40'!$B$9</f>
        <v>0</v>
      </c>
      <c r="G34" s="30">
        <f>'RISD33-40'!$B$10</f>
        <v>0</v>
      </c>
      <c r="H34" s="30">
        <f>'RISD33-40'!$B$11</f>
        <v>0</v>
      </c>
      <c r="I34" s="30">
        <f>'RISD33-40'!$B$12</f>
        <v>0</v>
      </c>
      <c r="J34" s="30">
        <f>'RISD33-40'!$B$13</f>
        <v>0</v>
      </c>
      <c r="K34" s="30">
        <f>'RISD33-40'!$B$14</f>
        <v>0</v>
      </c>
      <c r="L34" s="30">
        <f>'RISD33-40'!$B$15</f>
        <v>0</v>
      </c>
      <c r="M34" s="30">
        <f>'RISD33-40'!$B$16</f>
        <v>0</v>
      </c>
      <c r="N34" s="30">
        <f>'RISD33-40'!$B$17</f>
        <v>0</v>
      </c>
      <c r="O34" s="30">
        <f>'RISD33-40'!$B$18</f>
        <v>0</v>
      </c>
      <c r="P34" s="30">
        <f>'RISD33-40'!$B$19</f>
        <v>0</v>
      </c>
      <c r="Q34" s="30">
        <f>'RISD33-40'!$B$22</f>
        <v>0</v>
      </c>
      <c r="R34" s="30">
        <f>'RISD33-40'!$B$24</f>
        <v>0</v>
      </c>
      <c r="S34" s="30">
        <f>'RISD33-40'!$B$25</f>
        <v>0</v>
      </c>
      <c r="T34" s="30">
        <f>'RISD33-40'!$B$27</f>
        <v>0</v>
      </c>
      <c r="U34" s="30">
        <f>'RISD33-40'!$B$28</f>
        <v>0</v>
      </c>
      <c r="V34" s="30">
        <f>'RISD33-40'!$B$29</f>
        <v>0</v>
      </c>
      <c r="W34" s="30">
        <f>'RISD33-40'!$B$23</f>
        <v>0</v>
      </c>
      <c r="X34" s="29">
        <v>0</v>
      </c>
      <c r="Y34" s="29">
        <v>0</v>
      </c>
      <c r="Z34" s="29">
        <v>0</v>
      </c>
      <c r="AA34" s="29">
        <v>0</v>
      </c>
      <c r="AB34" s="29">
        <v>0</v>
      </c>
      <c r="AC34" s="29">
        <v>0</v>
      </c>
      <c r="AD34" s="29">
        <v>0</v>
      </c>
      <c r="AE34" s="29">
        <v>0</v>
      </c>
      <c r="AF34" s="29">
        <v>0</v>
      </c>
      <c r="AG34" s="29">
        <v>0</v>
      </c>
    </row>
    <row r="35" spans="1:33" ht="12.75">
      <c r="A35" s="27">
        <f>ENROLLMENT!$A$4</f>
        <v>0</v>
      </c>
      <c r="B35" s="23">
        <f>IF(C35&gt;0,'RISD1-8'!$A$2,0)</f>
        <v>0</v>
      </c>
      <c r="C35" s="23">
        <f>IF(A35="STATE AVG","NULL",ENROLLMENT!AI$8)</f>
        <v>0</v>
      </c>
      <c r="D35" s="30">
        <f>'RISD33-40'!$C$7</f>
        <v>0</v>
      </c>
      <c r="E35" s="30">
        <v>0</v>
      </c>
      <c r="F35" s="30">
        <f>'RISD33-40'!$C$9</f>
        <v>0</v>
      </c>
      <c r="G35" s="30">
        <f>'RISD33-40'!$C$10</f>
        <v>0</v>
      </c>
      <c r="H35" s="30">
        <f>'RISD33-40'!$C$11</f>
        <v>0</v>
      </c>
      <c r="I35" s="30">
        <f>'RISD33-40'!$C$12</f>
        <v>0</v>
      </c>
      <c r="J35" s="30">
        <f>'RISD33-40'!$C$13</f>
        <v>0</v>
      </c>
      <c r="K35" s="30">
        <f>'RISD33-40'!$C$14</f>
        <v>0</v>
      </c>
      <c r="L35" s="30">
        <f>'RISD33-40'!$C$15</f>
        <v>0</v>
      </c>
      <c r="M35" s="30">
        <f>'RISD33-40'!$C$16</f>
        <v>0</v>
      </c>
      <c r="N35" s="30">
        <f>'RISD33-40'!$C$17</f>
        <v>0</v>
      </c>
      <c r="O35" s="30">
        <f>'RISD33-40'!$C$18</f>
        <v>0</v>
      </c>
      <c r="P35" s="30">
        <f>'RISD33-40'!$C$19</f>
        <v>0</v>
      </c>
      <c r="Q35" s="30">
        <f>'RISD33-40'!$C$22</f>
        <v>0</v>
      </c>
      <c r="R35" s="30">
        <f>'RISD33-40'!$C$24</f>
        <v>0</v>
      </c>
      <c r="S35" s="30">
        <f>'RISD33-40'!$C$25</f>
        <v>0</v>
      </c>
      <c r="T35" s="30">
        <f>'RISD33-40'!$C$27</f>
        <v>0</v>
      </c>
      <c r="U35" s="30">
        <f>'RISD33-40'!$C$28</f>
        <v>0</v>
      </c>
      <c r="V35" s="30">
        <f>'RISD33-40'!$C$29</f>
        <v>0</v>
      </c>
      <c r="W35" s="30">
        <f>'RISD33-40'!$C$23</f>
        <v>0</v>
      </c>
      <c r="X35" s="29">
        <v>0</v>
      </c>
      <c r="Y35" s="29">
        <v>0</v>
      </c>
      <c r="Z35" s="29">
        <v>0</v>
      </c>
      <c r="AA35" s="29">
        <v>0</v>
      </c>
      <c r="AB35" s="29">
        <v>0</v>
      </c>
      <c r="AC35" s="29">
        <v>0</v>
      </c>
      <c r="AD35" s="29">
        <v>0</v>
      </c>
      <c r="AE35" s="29">
        <v>0</v>
      </c>
      <c r="AF35" s="29">
        <v>0</v>
      </c>
      <c r="AG35" s="29">
        <v>0</v>
      </c>
    </row>
    <row r="36" spans="1:33" ht="12.75">
      <c r="A36" s="27">
        <f>ENROLLMENT!$A$4</f>
        <v>0</v>
      </c>
      <c r="B36" s="23">
        <f>IF(C36&gt;0,'RISD1-8'!$A$2,0)</f>
        <v>0</v>
      </c>
      <c r="C36" s="23">
        <f>IF(A36="STATE AVG","NULL",ENROLLMENT!AJ$8)</f>
        <v>0</v>
      </c>
      <c r="D36" s="30">
        <f>'RISD33-40'!$D$7</f>
        <v>0</v>
      </c>
      <c r="E36" s="30">
        <v>0</v>
      </c>
      <c r="F36" s="30">
        <f>'RISD33-40'!$D$9</f>
        <v>0</v>
      </c>
      <c r="G36" s="30">
        <f>'RISD33-40'!$D$10</f>
        <v>0</v>
      </c>
      <c r="H36" s="30">
        <f>'RISD33-40'!$D$11</f>
        <v>0</v>
      </c>
      <c r="I36" s="30">
        <f>'RISD33-40'!$D$12</f>
        <v>0</v>
      </c>
      <c r="J36" s="30">
        <f>'RISD33-40'!$D$13</f>
        <v>0</v>
      </c>
      <c r="K36" s="30">
        <f>'RISD33-40'!$D$14</f>
        <v>0</v>
      </c>
      <c r="L36" s="30">
        <f>'RISD33-40'!$D$15</f>
        <v>0</v>
      </c>
      <c r="M36" s="30">
        <f>'RISD33-40'!$D$16</f>
        <v>0</v>
      </c>
      <c r="N36" s="30">
        <f>'RISD33-40'!$D$17</f>
        <v>0</v>
      </c>
      <c r="O36" s="30">
        <f>'RISD33-40'!$D$18</f>
        <v>0</v>
      </c>
      <c r="P36" s="30">
        <f>'RISD33-40'!$D$19</f>
        <v>0</v>
      </c>
      <c r="Q36" s="30">
        <f>'RISD33-40'!$D$22</f>
        <v>0</v>
      </c>
      <c r="R36" s="30">
        <f>'RISD33-40'!$D$24</f>
        <v>0</v>
      </c>
      <c r="S36" s="30">
        <f>'RISD33-40'!$D$25</f>
        <v>0</v>
      </c>
      <c r="T36" s="30">
        <f>'RISD33-40'!$D$27</f>
        <v>0</v>
      </c>
      <c r="U36" s="30">
        <f>'RISD33-40'!$D$28</f>
        <v>0</v>
      </c>
      <c r="V36" s="30">
        <f>'RISD33-40'!$D$29</f>
        <v>0</v>
      </c>
      <c r="W36" s="30">
        <f>'RISD33-40'!$D$23</f>
        <v>0</v>
      </c>
      <c r="X36" s="29">
        <v>0</v>
      </c>
      <c r="Y36" s="29">
        <v>0</v>
      </c>
      <c r="Z36" s="29">
        <v>0</v>
      </c>
      <c r="AA36" s="29">
        <v>0</v>
      </c>
      <c r="AB36" s="29">
        <v>0</v>
      </c>
      <c r="AC36" s="29">
        <v>0</v>
      </c>
      <c r="AD36" s="29">
        <v>0</v>
      </c>
      <c r="AE36" s="29">
        <v>0</v>
      </c>
      <c r="AF36" s="29">
        <v>0</v>
      </c>
      <c r="AG36" s="29">
        <v>0</v>
      </c>
    </row>
    <row r="37" spans="1:33" ht="12.75">
      <c r="A37" s="27">
        <f>ENROLLMENT!$A$4</f>
        <v>0</v>
      </c>
      <c r="B37" s="23">
        <f>IF(C37&gt;0,'RISD1-8'!$A$2,0)</f>
        <v>0</v>
      </c>
      <c r="C37" s="23">
        <f>IF(A37="STATE AVG","NULL",ENROLLMENT!AK$8)</f>
        <v>0</v>
      </c>
      <c r="D37" s="30">
        <f>'RISD33-40'!$E$7</f>
        <v>0</v>
      </c>
      <c r="E37" s="30">
        <v>0</v>
      </c>
      <c r="F37" s="30">
        <f>'RISD33-40'!$E$9</f>
        <v>0</v>
      </c>
      <c r="G37" s="30">
        <f>'RISD33-40'!$E$10</f>
        <v>0</v>
      </c>
      <c r="H37" s="30">
        <f>'RISD33-40'!$E$11</f>
        <v>0</v>
      </c>
      <c r="I37" s="30">
        <f>'RISD33-40'!$E$12</f>
        <v>0</v>
      </c>
      <c r="J37" s="30">
        <f>'RISD33-40'!$E$13</f>
        <v>0</v>
      </c>
      <c r="K37" s="30">
        <f>'RISD33-40'!$E$14</f>
        <v>0</v>
      </c>
      <c r="L37" s="30">
        <f>'RISD33-40'!$E$15</f>
        <v>0</v>
      </c>
      <c r="M37" s="30">
        <f>'RISD33-40'!$E$16</f>
        <v>0</v>
      </c>
      <c r="N37" s="30">
        <f>'RISD33-40'!$E$17</f>
        <v>0</v>
      </c>
      <c r="O37" s="30">
        <f>'RISD33-40'!$E$18</f>
        <v>0</v>
      </c>
      <c r="P37" s="30">
        <f>'RISD33-40'!$E$19</f>
        <v>0</v>
      </c>
      <c r="Q37" s="30">
        <f>'RISD33-40'!$E$22</f>
        <v>0</v>
      </c>
      <c r="R37" s="30">
        <f>'RISD33-40'!$E$24</f>
        <v>0</v>
      </c>
      <c r="S37" s="30">
        <f>'RISD33-40'!$E$25</f>
        <v>0</v>
      </c>
      <c r="T37" s="30">
        <f>'RISD33-40'!$E$27</f>
        <v>0</v>
      </c>
      <c r="U37" s="30">
        <f>'RISD33-40'!$E$28</f>
        <v>0</v>
      </c>
      <c r="V37" s="30">
        <f>'RISD33-40'!$E$29</f>
        <v>0</v>
      </c>
      <c r="W37" s="30">
        <f>'RISD33-40'!$E$23</f>
        <v>0</v>
      </c>
      <c r="X37" s="29">
        <v>0</v>
      </c>
      <c r="Y37" s="29">
        <v>0</v>
      </c>
      <c r="Z37" s="29">
        <v>0</v>
      </c>
      <c r="AA37" s="29">
        <v>0</v>
      </c>
      <c r="AB37" s="29">
        <v>0</v>
      </c>
      <c r="AC37" s="29">
        <v>0</v>
      </c>
      <c r="AD37" s="29">
        <v>0</v>
      </c>
      <c r="AE37" s="29">
        <v>0</v>
      </c>
      <c r="AF37" s="29">
        <v>0</v>
      </c>
      <c r="AG37" s="29">
        <v>0</v>
      </c>
    </row>
    <row r="38" spans="1:33" ht="12.75">
      <c r="A38" s="27">
        <f>ENROLLMENT!$A$4</f>
        <v>0</v>
      </c>
      <c r="B38" s="23">
        <f>IF(C38&gt;0,'RISD1-8'!$A$2,0)</f>
        <v>0</v>
      </c>
      <c r="C38" s="23">
        <f>IF(A38="STATE AVG","NULL",ENROLLMENT!AL$8)</f>
        <v>0</v>
      </c>
      <c r="D38" s="30">
        <f>'RISD33-40'!$F$7</f>
        <v>0</v>
      </c>
      <c r="E38" s="30">
        <v>0</v>
      </c>
      <c r="F38" s="30">
        <f>'RISD33-40'!$F$9</f>
        <v>0</v>
      </c>
      <c r="G38" s="30">
        <f>'RISD33-40'!$F$10</f>
        <v>0</v>
      </c>
      <c r="H38" s="30">
        <f>'RISD33-40'!$F$11</f>
        <v>0</v>
      </c>
      <c r="I38" s="30">
        <f>'RISD33-40'!$F$12</f>
        <v>0</v>
      </c>
      <c r="J38" s="30">
        <f>'RISD33-40'!$F$13</f>
        <v>0</v>
      </c>
      <c r="K38" s="30">
        <f>'RISD33-40'!$F$14</f>
        <v>0</v>
      </c>
      <c r="L38" s="30">
        <f>'RISD33-40'!$F$15</f>
        <v>0</v>
      </c>
      <c r="M38" s="30">
        <f>'RISD33-40'!$F$16</f>
        <v>0</v>
      </c>
      <c r="N38" s="30">
        <f>'RISD33-40'!$F$17</f>
        <v>0</v>
      </c>
      <c r="O38" s="30">
        <f>'RISD33-40'!$F$18</f>
        <v>0</v>
      </c>
      <c r="P38" s="30">
        <f>'RISD33-40'!$F$19</f>
        <v>0</v>
      </c>
      <c r="Q38" s="30">
        <f>'RISD33-40'!$F$22</f>
        <v>0</v>
      </c>
      <c r="R38" s="30">
        <f>'RISD33-40'!$F$24</f>
        <v>0</v>
      </c>
      <c r="S38" s="30">
        <f>'RISD33-40'!$F$25</f>
        <v>0</v>
      </c>
      <c r="T38" s="30">
        <f>'RISD33-40'!$F$27</f>
        <v>0</v>
      </c>
      <c r="U38" s="30">
        <f>'RISD33-40'!$F$28</f>
        <v>0</v>
      </c>
      <c r="V38" s="30">
        <f>'RISD33-40'!$F$29</f>
        <v>0</v>
      </c>
      <c r="W38" s="30">
        <f>'RISD33-40'!$F$23</f>
        <v>0</v>
      </c>
      <c r="X38" s="29">
        <v>0</v>
      </c>
      <c r="Y38" s="29">
        <v>0</v>
      </c>
      <c r="Z38" s="29">
        <v>0</v>
      </c>
      <c r="AA38" s="29">
        <v>0</v>
      </c>
      <c r="AB38" s="29">
        <v>0</v>
      </c>
      <c r="AC38" s="29">
        <v>0</v>
      </c>
      <c r="AD38" s="29">
        <v>0</v>
      </c>
      <c r="AE38" s="29">
        <v>0</v>
      </c>
      <c r="AF38" s="29">
        <v>0</v>
      </c>
      <c r="AG38" s="29">
        <v>0</v>
      </c>
    </row>
    <row r="39" spans="1:33" ht="12.75">
      <c r="A39" s="27">
        <f>ENROLLMENT!$A$4</f>
        <v>0</v>
      </c>
      <c r="B39" s="23">
        <f>IF(C39&gt;0,'RISD1-8'!$A$2,0)</f>
        <v>0</v>
      </c>
      <c r="C39" s="23">
        <f>IF(A39="STATE AVG","NULL",ENROLLMENT!AM$8)</f>
        <v>0</v>
      </c>
      <c r="D39" s="30">
        <f>'RISD33-40'!$G$7</f>
        <v>0</v>
      </c>
      <c r="E39" s="30">
        <v>0</v>
      </c>
      <c r="F39" s="30">
        <f>'RISD33-40'!$G$9</f>
        <v>0</v>
      </c>
      <c r="G39" s="30">
        <f>'RISD33-40'!$G$10</f>
        <v>0</v>
      </c>
      <c r="H39" s="30">
        <f>'RISD33-40'!$G$11</f>
        <v>0</v>
      </c>
      <c r="I39" s="30">
        <f>'RISD33-40'!$G$12</f>
        <v>0</v>
      </c>
      <c r="J39" s="30">
        <f>'RISD33-40'!$G$13</f>
        <v>0</v>
      </c>
      <c r="K39" s="30">
        <f>'RISD33-40'!$G$14</f>
        <v>0</v>
      </c>
      <c r="L39" s="30">
        <f>'RISD33-40'!$G$15</f>
        <v>0</v>
      </c>
      <c r="M39" s="30">
        <f>'RISD33-40'!$G$16</f>
        <v>0</v>
      </c>
      <c r="N39" s="30">
        <f>'RISD33-40'!$G$17</f>
        <v>0</v>
      </c>
      <c r="O39" s="30">
        <f>'RISD33-40'!$G$18</f>
        <v>0</v>
      </c>
      <c r="P39" s="30">
        <f>'RISD33-40'!$G$19</f>
        <v>0</v>
      </c>
      <c r="Q39" s="30">
        <f>'RISD33-40'!$G$22</f>
        <v>0</v>
      </c>
      <c r="R39" s="30">
        <f>'RISD33-40'!$G$24</f>
        <v>0</v>
      </c>
      <c r="S39" s="30">
        <f>'RISD33-40'!$G$25</f>
        <v>0</v>
      </c>
      <c r="T39" s="30">
        <f>'RISD33-40'!$G$27</f>
        <v>0</v>
      </c>
      <c r="U39" s="30">
        <f>'RISD33-40'!$G$28</f>
        <v>0</v>
      </c>
      <c r="V39" s="30">
        <f>'RISD33-40'!$G$29</f>
        <v>0</v>
      </c>
      <c r="W39" s="30">
        <f>'RISD33-40'!$G$23</f>
        <v>0</v>
      </c>
      <c r="X39" s="29">
        <v>0</v>
      </c>
      <c r="Y39" s="29">
        <v>0</v>
      </c>
      <c r="Z39" s="29">
        <v>0</v>
      </c>
      <c r="AA39" s="29">
        <v>0</v>
      </c>
      <c r="AB39" s="29">
        <v>0</v>
      </c>
      <c r="AC39" s="29">
        <v>0</v>
      </c>
      <c r="AD39" s="29">
        <v>0</v>
      </c>
      <c r="AE39" s="29">
        <v>0</v>
      </c>
      <c r="AF39" s="29">
        <v>0</v>
      </c>
      <c r="AG39" s="29">
        <v>0</v>
      </c>
    </row>
    <row r="40" spans="1:33" ht="12.75">
      <c r="A40" s="27">
        <f>ENROLLMENT!$A$4</f>
        <v>0</v>
      </c>
      <c r="B40" s="23">
        <f>IF(C40&gt;0,'RISD1-8'!$A$2,0)</f>
        <v>0</v>
      </c>
      <c r="C40" s="23">
        <f>IF(A40="STATE AVG","NULL",ENROLLMENT!AN$8)</f>
        <v>0</v>
      </c>
      <c r="D40" s="30">
        <f>'RISD33-40'!$H$7</f>
        <v>0</v>
      </c>
      <c r="E40" s="30">
        <v>0</v>
      </c>
      <c r="F40" s="30">
        <f>'RISD33-40'!$H$9</f>
        <v>0</v>
      </c>
      <c r="G40" s="30">
        <f>'RISD33-40'!$H$10</f>
        <v>0</v>
      </c>
      <c r="H40" s="30">
        <f>'RISD33-40'!$H$11</f>
        <v>0</v>
      </c>
      <c r="I40" s="30">
        <f>'RISD33-40'!$H$12</f>
        <v>0</v>
      </c>
      <c r="J40" s="30">
        <f>'RISD33-40'!$H$13</f>
        <v>0</v>
      </c>
      <c r="K40" s="30">
        <f>'RISD33-40'!$H$14</f>
        <v>0</v>
      </c>
      <c r="L40" s="30">
        <f>'RISD33-40'!$H$15</f>
        <v>0</v>
      </c>
      <c r="M40" s="30">
        <f>'RISD33-40'!$H$16</f>
        <v>0</v>
      </c>
      <c r="N40" s="30">
        <f>'RISD33-40'!$H$17</f>
        <v>0</v>
      </c>
      <c r="O40" s="30">
        <f>'RISD33-40'!$H$18</f>
        <v>0</v>
      </c>
      <c r="P40" s="30">
        <f>'RISD33-40'!$H$19</f>
        <v>0</v>
      </c>
      <c r="Q40" s="30">
        <f>'RISD33-40'!$H$22</f>
        <v>0</v>
      </c>
      <c r="R40" s="30">
        <f>'RISD33-40'!$H$24</f>
        <v>0</v>
      </c>
      <c r="S40" s="30">
        <f>'RISD33-40'!$H$25</f>
        <v>0</v>
      </c>
      <c r="T40" s="30">
        <f>'RISD33-40'!$H$27</f>
        <v>0</v>
      </c>
      <c r="U40" s="30">
        <f>'RISD33-40'!$H$28</f>
        <v>0</v>
      </c>
      <c r="V40" s="30">
        <f>'RISD33-40'!$H$29</f>
        <v>0</v>
      </c>
      <c r="W40" s="30">
        <f>'RISD33-40'!$H$23</f>
        <v>0</v>
      </c>
      <c r="X40" s="29">
        <v>0</v>
      </c>
      <c r="Y40" s="29">
        <v>0</v>
      </c>
      <c r="Z40" s="29">
        <v>0</v>
      </c>
      <c r="AA40" s="29">
        <v>0</v>
      </c>
      <c r="AB40" s="29">
        <v>0</v>
      </c>
      <c r="AC40" s="29">
        <v>0</v>
      </c>
      <c r="AD40" s="29">
        <v>0</v>
      </c>
      <c r="AE40" s="29">
        <v>0</v>
      </c>
      <c r="AF40" s="29">
        <v>0</v>
      </c>
      <c r="AG40" s="29">
        <v>0</v>
      </c>
    </row>
    <row r="41" spans="1:33" ht="12.75">
      <c r="A41" s="27">
        <f>ENROLLMENT!$A$4</f>
        <v>0</v>
      </c>
      <c r="B41" s="23">
        <f>IF(C41&gt;0,'RISD1-8'!$A$2,0)</f>
        <v>0</v>
      </c>
      <c r="C41" s="23">
        <f>IF(A41="STATE AVG","NULL",ENROLLMENT!AO$8)</f>
        <v>0</v>
      </c>
      <c r="D41" s="30">
        <f>'RISD33-40'!$I$7</f>
        <v>0</v>
      </c>
      <c r="E41" s="30">
        <v>0</v>
      </c>
      <c r="F41" s="30">
        <f>'RISD33-40'!$I$9</f>
        <v>0</v>
      </c>
      <c r="G41" s="30">
        <f>'RISD33-40'!$I$10</f>
        <v>0</v>
      </c>
      <c r="H41" s="30">
        <f>'RISD33-40'!$I$11</f>
        <v>0</v>
      </c>
      <c r="I41" s="30">
        <f>'RISD33-40'!$I$12</f>
        <v>0</v>
      </c>
      <c r="J41" s="30">
        <f>'RISD33-40'!$I$13</f>
        <v>0</v>
      </c>
      <c r="K41" s="30">
        <f>'RISD33-40'!$I$14</f>
        <v>0</v>
      </c>
      <c r="L41" s="30">
        <f>'RISD33-40'!$I$15</f>
        <v>0</v>
      </c>
      <c r="M41" s="30">
        <f>'RISD33-40'!$I$16</f>
        <v>0</v>
      </c>
      <c r="N41" s="30">
        <f>'RISD33-40'!$I$17</f>
        <v>0</v>
      </c>
      <c r="O41" s="30">
        <f>'RISD33-40'!$I$18</f>
        <v>0</v>
      </c>
      <c r="P41" s="30">
        <f>'RISD33-40'!$I$19</f>
        <v>0</v>
      </c>
      <c r="Q41" s="30">
        <f>'RISD33-40'!$I$22</f>
        <v>0</v>
      </c>
      <c r="R41" s="30">
        <f>'RISD33-40'!$I$24</f>
        <v>0</v>
      </c>
      <c r="S41" s="30">
        <f>'RISD33-40'!$I$25</f>
        <v>0</v>
      </c>
      <c r="T41" s="30">
        <f>'RISD33-40'!$I$27</f>
        <v>0</v>
      </c>
      <c r="U41" s="30">
        <f>'RISD33-40'!$I$28</f>
        <v>0</v>
      </c>
      <c r="V41" s="30">
        <f>'RISD33-40'!$I$29</f>
        <v>0</v>
      </c>
      <c r="W41" s="30">
        <f>'RISD33-40'!$I$23</f>
        <v>0</v>
      </c>
      <c r="X41" s="29">
        <v>0</v>
      </c>
      <c r="Y41" s="29">
        <v>0</v>
      </c>
      <c r="Z41" s="29">
        <v>0</v>
      </c>
      <c r="AA41" s="29">
        <v>0</v>
      </c>
      <c r="AB41" s="29">
        <v>0</v>
      </c>
      <c r="AC41" s="29">
        <v>0</v>
      </c>
      <c r="AD41" s="29">
        <v>0</v>
      </c>
      <c r="AE41" s="29">
        <v>0</v>
      </c>
      <c r="AF41" s="29">
        <v>0</v>
      </c>
      <c r="AG41" s="29">
        <v>0</v>
      </c>
    </row>
    <row r="42" spans="1:33" s="67" customFormat="1" ht="12.75">
      <c r="A42" s="63" t="str">
        <f>IF($A$2="state avg",A2,"TOTAL")</f>
        <v>TOTAL</v>
      </c>
      <c r="B42" s="64">
        <f>IF($A$2="state avg",B2,"")</f>
      </c>
      <c r="C42" s="64">
        <f>IF($A$2="state avg",C2,"")</f>
      </c>
      <c r="D42" s="65">
        <f>SUM(D2:D41)</f>
        <v>0</v>
      </c>
      <c r="E42" s="65">
        <f aca="true" t="shared" si="0" ref="E42:AG42">SUM(E2:E41)</f>
        <v>0</v>
      </c>
      <c r="F42" s="65">
        <f t="shared" si="0"/>
        <v>0</v>
      </c>
      <c r="G42" s="65">
        <f t="shared" si="0"/>
        <v>0</v>
      </c>
      <c r="H42" s="65">
        <f t="shared" si="0"/>
        <v>0</v>
      </c>
      <c r="I42" s="65">
        <f t="shared" si="0"/>
        <v>0</v>
      </c>
      <c r="J42" s="65">
        <f t="shared" si="0"/>
        <v>0</v>
      </c>
      <c r="K42" s="65">
        <f t="shared" si="0"/>
        <v>0</v>
      </c>
      <c r="L42" s="65">
        <f t="shared" si="0"/>
        <v>0</v>
      </c>
      <c r="M42" s="65">
        <f t="shared" si="0"/>
        <v>0</v>
      </c>
      <c r="N42" s="65">
        <f t="shared" si="0"/>
        <v>0</v>
      </c>
      <c r="O42" s="65">
        <f t="shared" si="0"/>
        <v>0</v>
      </c>
      <c r="P42" s="65">
        <f t="shared" si="0"/>
        <v>0</v>
      </c>
      <c r="Q42" s="65">
        <f t="shared" si="0"/>
        <v>0</v>
      </c>
      <c r="R42" s="65">
        <f t="shared" si="0"/>
        <v>0</v>
      </c>
      <c r="S42" s="65">
        <f t="shared" si="0"/>
        <v>0</v>
      </c>
      <c r="T42" s="65">
        <f t="shared" si="0"/>
        <v>0</v>
      </c>
      <c r="U42" s="65">
        <f t="shared" si="0"/>
        <v>0</v>
      </c>
      <c r="V42" s="65">
        <f t="shared" si="0"/>
        <v>0</v>
      </c>
      <c r="W42" s="65">
        <f t="shared" si="0"/>
        <v>0</v>
      </c>
      <c r="X42" s="66">
        <f t="shared" si="0"/>
        <v>0</v>
      </c>
      <c r="Y42" s="66">
        <f t="shared" si="0"/>
        <v>0</v>
      </c>
      <c r="Z42" s="66">
        <f t="shared" si="0"/>
        <v>0</v>
      </c>
      <c r="AA42" s="66">
        <f t="shared" si="0"/>
        <v>0</v>
      </c>
      <c r="AB42" s="66">
        <f t="shared" si="0"/>
        <v>0</v>
      </c>
      <c r="AC42" s="66">
        <f t="shared" si="0"/>
        <v>0</v>
      </c>
      <c r="AD42" s="66">
        <f t="shared" si="0"/>
        <v>0</v>
      </c>
      <c r="AE42" s="66">
        <f t="shared" si="0"/>
        <v>0</v>
      </c>
      <c r="AF42" s="66">
        <f t="shared" si="0"/>
        <v>0</v>
      </c>
      <c r="AG42" s="66">
        <f t="shared" si="0"/>
        <v>0</v>
      </c>
    </row>
  </sheetData>
  <sheetProtection password="EE5D" sheet="1" objects="1" scenarios="1"/>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tabColor indexed="13"/>
  </sheetPr>
  <dimension ref="A1:AP44"/>
  <sheetViews>
    <sheetView tabSelected="1" zoomScale="88" zoomScaleNormal="88"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A2" sqref="A2"/>
    </sheetView>
  </sheetViews>
  <sheetFormatPr defaultColWidth="9.140625" defaultRowHeight="12.75"/>
  <cols>
    <col min="1" max="1" width="55.7109375" style="0" customWidth="1"/>
    <col min="2" max="41" width="12.7109375" style="0" customWidth="1"/>
    <col min="42" max="42" width="15.8515625" style="0" bestFit="1" customWidth="1"/>
  </cols>
  <sheetData>
    <row r="1" spans="1:42" ht="12.75">
      <c r="A1" s="9" t="str">
        <f>VLOOKUP(A2,ALLCHARTERS!$A:$XFD,3,FALSE)</f>
        <v>ENTER CHARTER SCHOOL CDN BELOW (NO DASHES):</v>
      </c>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317"/>
      <c r="AP1" s="319">
        <f>IF(A2=0,"",IF(AP9&gt;AP10,"ENROLLMENT CAP VIOLATION",""))</f>
      </c>
    </row>
    <row r="2" spans="1:42" ht="12.75">
      <c r="A2" s="22">
        <v>0</v>
      </c>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9"/>
    </row>
    <row r="3" spans="1:42" ht="12.75">
      <c r="A3" s="9" t="s">
        <v>690</v>
      </c>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317"/>
      <c r="AN3" s="317"/>
      <c r="AO3" s="317"/>
      <c r="AP3" s="319"/>
    </row>
    <row r="4" spans="1:42" ht="12.75">
      <c r="A4" s="28">
        <f>VLOOKUP(A2,ALLCHARTERS!$A:$XFD,2,FALSE)</f>
        <v>0</v>
      </c>
      <c r="B4" s="318"/>
      <c r="C4" s="318"/>
      <c r="D4" s="318"/>
      <c r="E4" s="318"/>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c r="AF4" s="318"/>
      <c r="AG4" s="318"/>
      <c r="AH4" s="318"/>
      <c r="AI4" s="318"/>
      <c r="AJ4" s="318"/>
      <c r="AK4" s="318"/>
      <c r="AL4" s="318"/>
      <c r="AM4" s="318"/>
      <c r="AN4" s="318"/>
      <c r="AO4" s="318"/>
      <c r="AP4" s="320"/>
    </row>
    <row r="5" spans="1:42" ht="12.75">
      <c r="A5" s="1" t="s">
        <v>780</v>
      </c>
      <c r="B5" s="5">
        <v>1</v>
      </c>
      <c r="C5" s="1">
        <v>2</v>
      </c>
      <c r="D5" s="1">
        <v>3</v>
      </c>
      <c r="E5" s="1">
        <v>4</v>
      </c>
      <c r="F5" s="1">
        <v>5</v>
      </c>
      <c r="G5" s="1">
        <v>6</v>
      </c>
      <c r="H5" s="1">
        <v>7</v>
      </c>
      <c r="I5" s="1">
        <v>8</v>
      </c>
      <c r="J5" s="1">
        <v>9</v>
      </c>
      <c r="K5" s="1">
        <v>10</v>
      </c>
      <c r="L5" s="1">
        <v>11</v>
      </c>
      <c r="M5" s="1">
        <v>12</v>
      </c>
      <c r="N5" s="1">
        <v>13</v>
      </c>
      <c r="O5" s="1">
        <v>14</v>
      </c>
      <c r="P5" s="1">
        <v>15</v>
      </c>
      <c r="Q5" s="1">
        <v>16</v>
      </c>
      <c r="R5" s="1">
        <v>17</v>
      </c>
      <c r="S5" s="1">
        <v>18</v>
      </c>
      <c r="T5" s="1">
        <v>19</v>
      </c>
      <c r="U5" s="1">
        <v>20</v>
      </c>
      <c r="V5" s="1">
        <v>21</v>
      </c>
      <c r="W5" s="1">
        <v>22</v>
      </c>
      <c r="X5" s="1">
        <v>23</v>
      </c>
      <c r="Y5" s="1">
        <v>24</v>
      </c>
      <c r="Z5" s="1">
        <v>25</v>
      </c>
      <c r="AA5" s="1">
        <v>26</v>
      </c>
      <c r="AB5" s="1">
        <v>27</v>
      </c>
      <c r="AC5" s="1">
        <v>28</v>
      </c>
      <c r="AD5" s="1">
        <v>29</v>
      </c>
      <c r="AE5" s="1">
        <v>30</v>
      </c>
      <c r="AF5" s="1">
        <v>31</v>
      </c>
      <c r="AG5" s="1">
        <v>32</v>
      </c>
      <c r="AH5" s="1">
        <v>33</v>
      </c>
      <c r="AI5" s="1">
        <v>34</v>
      </c>
      <c r="AJ5" s="1">
        <v>35</v>
      </c>
      <c r="AK5" s="1">
        <v>36</v>
      </c>
      <c r="AL5" s="1">
        <v>37</v>
      </c>
      <c r="AM5" s="1">
        <v>38</v>
      </c>
      <c r="AN5" s="1">
        <v>39</v>
      </c>
      <c r="AO5" s="1">
        <v>40</v>
      </c>
      <c r="AP5" s="1"/>
    </row>
    <row r="6" spans="1:42" ht="12.75">
      <c r="A6" s="1"/>
      <c r="B6" s="5"/>
      <c r="C6" s="5"/>
      <c r="D6" s="5"/>
      <c r="E6" s="5"/>
      <c r="F6" s="5"/>
      <c r="G6" s="5"/>
      <c r="H6" s="5"/>
      <c r="I6" s="5"/>
      <c r="J6" s="5"/>
      <c r="K6" s="5"/>
      <c r="L6" s="5"/>
      <c r="M6" s="5"/>
      <c r="N6" s="5"/>
      <c r="O6" s="5"/>
      <c r="P6" s="5"/>
      <c r="Q6" s="1"/>
      <c r="R6" s="1"/>
      <c r="S6" s="1"/>
      <c r="T6" s="1"/>
      <c r="U6" s="1"/>
      <c r="V6" s="1"/>
      <c r="W6" s="1"/>
      <c r="X6" s="1"/>
      <c r="Y6" s="1"/>
      <c r="Z6" s="1"/>
      <c r="AA6" s="1"/>
      <c r="AB6" s="1"/>
      <c r="AC6" s="1"/>
      <c r="AD6" s="1"/>
      <c r="AE6" s="1"/>
      <c r="AF6" s="1"/>
      <c r="AG6" s="1"/>
      <c r="AH6" s="1"/>
      <c r="AI6" s="1"/>
      <c r="AJ6" s="1"/>
      <c r="AK6" s="1"/>
      <c r="AL6" s="1"/>
      <c r="AM6" s="1"/>
      <c r="AN6" s="1"/>
      <c r="AO6" s="1"/>
      <c r="AP6" s="1"/>
    </row>
    <row r="7" spans="1:42" ht="24.75" customHeight="1">
      <c r="A7" s="10" t="str">
        <f>IF(ISBLANK($A$2),"",IF($A$4="STATE AVG","GRADE LEVEL","RESIDENT DISTRICT NAME(S)"))</f>
        <v>RESIDENT DISTRICT NAME(S)</v>
      </c>
      <c r="B7" s="21" t="str">
        <f>IF(ISBLANK($A$2),"",IF($A$4="STATE AVG","EE",VLOOKUP(B8,FSPVAR!$A:$F,2,FALSE)))</f>
        <v>NONE</v>
      </c>
      <c r="C7" s="21" t="str">
        <f>IF(ISBLANK($A$2),"",IF($A$4="STATE AVG","PK",VLOOKUP(C8,FSPVAR!$A:$F,2,FALSE)))</f>
        <v>NONE</v>
      </c>
      <c r="D7" s="21" t="str">
        <f>IF(ISBLANK($A$2),"",IF($A$4="STATE AVG","KG",VLOOKUP(D8,FSPVAR!$A:$F,2,FALSE)))</f>
        <v>NONE</v>
      </c>
      <c r="E7" s="21" t="str">
        <f>IF(ISBLANK($A$2),"",IF($A$4="STATE AVG","1st Grade",VLOOKUP(E8,FSPVAR!$A:$F,2,FALSE)))</f>
        <v>NONE</v>
      </c>
      <c r="F7" s="21" t="str">
        <f>IF(ISBLANK($A$2),"",IF($A$4="STATE AVG","2nd Grade",VLOOKUP(F8,FSPVAR!$A:$F,2,FALSE)))</f>
        <v>NONE</v>
      </c>
      <c r="G7" s="21" t="str">
        <f>IF(ISBLANK($A$2),"",IF($A$4="STATE AVG","3rd Grade",VLOOKUP(G8,FSPVAR!$A:$F,2,FALSE)))</f>
        <v>NONE</v>
      </c>
      <c r="H7" s="21" t="str">
        <f>IF(ISBLANK($A$2),"",IF($A$4="STATE AVG","4th Grade",VLOOKUP(H8,FSPVAR!$A:$F,2,FALSE)))</f>
        <v>NONE</v>
      </c>
      <c r="I7" s="21" t="str">
        <f>IF(ISBLANK($A$2),"",IF($A$4="STATE AVG","5th Grade",VLOOKUP(I8,FSPVAR!$A:$F,2,FALSE)))</f>
        <v>NONE</v>
      </c>
      <c r="J7" s="21" t="str">
        <f>IF(ISBLANK($A$2),"",IF($A$4="STATE AVG","6th Grade",VLOOKUP(J8,FSPVAR!$A:$F,2,FALSE)))</f>
        <v>NONE</v>
      </c>
      <c r="K7" s="21" t="str">
        <f>IF(ISBLANK($A$2),"",IF($A$4="STATE AVG","7th Grade",VLOOKUP(K8,FSPVAR!$A:$F,2,FALSE)))</f>
        <v>NONE</v>
      </c>
      <c r="L7" s="21" t="str">
        <f>IF(ISBLANK($A$2),"",IF($A$4="STATE AVG","8th Grade",VLOOKUP(L8,FSPVAR!$A:$F,2,FALSE)))</f>
        <v>NONE</v>
      </c>
      <c r="M7" s="21" t="str">
        <f>IF(ISBLANK($A$2),"",IF($A$4="STATE AVG","9th Grade",VLOOKUP(M8,FSPVAR!$A:$F,2,FALSE)))</f>
        <v>NONE</v>
      </c>
      <c r="N7" s="21" t="str">
        <f>IF(ISBLANK($A$2),"",IF($A$4="STATE AVG","10th Grade",VLOOKUP(N8,FSPVAR!$A:$F,2,FALSE)))</f>
        <v>NONE</v>
      </c>
      <c r="O7" s="21" t="str">
        <f>IF(ISBLANK($A$2),"",IF($A$4="STATE AVG","11th Grade",VLOOKUP(O8,FSPVAR!$A:$F,2,FALSE)))</f>
        <v>NONE</v>
      </c>
      <c r="P7" s="21" t="str">
        <f>IF(ISBLANK($A$2),"",IF($A$4="STATE AVG","12th Grade",VLOOKUP(P8,FSPVAR!$A:$F,2,FALSE)))</f>
        <v>NONE</v>
      </c>
      <c r="Q7" s="21" t="str">
        <f>IF(ISBLANK($A$2),"",IF($A$4="STATE AVG","NONE",VLOOKUP(Q8,FSPVAR!$A:$F,2,FALSE)))</f>
        <v>NONE</v>
      </c>
      <c r="R7" s="21" t="str">
        <f>IF(ISBLANK($A$2),"",IF($A$4="STATE AVG","NONE",VLOOKUP(R8,FSPVAR!$A:$F,2,FALSE)))</f>
        <v>NONE</v>
      </c>
      <c r="S7" s="21" t="str">
        <f>IF(ISBLANK($A$2),"",IF($A$4="STATE AVG","NONE",VLOOKUP(S8,FSPVAR!$A:$F,2,FALSE)))</f>
        <v>NONE</v>
      </c>
      <c r="T7" s="21" t="str">
        <f>IF(ISBLANK($A$2),"",IF($A$4="STATE AVG","NONE",VLOOKUP(T8,FSPVAR!$A:$F,2,FALSE)))</f>
        <v>NONE</v>
      </c>
      <c r="U7" s="21" t="str">
        <f>IF(ISBLANK($A$2),"",IF($A$4="STATE AVG","NONE",VLOOKUP(U8,FSPVAR!$A:$F,2,FALSE)))</f>
        <v>NONE</v>
      </c>
      <c r="V7" s="21" t="str">
        <f>IF(ISBLANK($A$2),"",IF($A$4="STATE AVG","NONE",VLOOKUP(V8,FSPVAR!$A:$F,2,FALSE)))</f>
        <v>NONE</v>
      </c>
      <c r="W7" s="21" t="str">
        <f>IF(ISBLANK($A$2),"",IF($A$4="STATE AVG","NONE",VLOOKUP(W8,FSPVAR!$A:$F,2,FALSE)))</f>
        <v>NONE</v>
      </c>
      <c r="X7" s="21" t="str">
        <f>IF(ISBLANK($A$2),"",IF($A$4="STATE AVG","NONE",VLOOKUP(X8,FSPVAR!$A:$F,2,FALSE)))</f>
        <v>NONE</v>
      </c>
      <c r="Y7" s="21" t="str">
        <f>IF(ISBLANK($A$2),"",IF($A$4="STATE AVG","NONE",VLOOKUP(Y8,FSPVAR!$A:$F,2,FALSE)))</f>
        <v>NONE</v>
      </c>
      <c r="Z7" s="21" t="str">
        <f>IF(ISBLANK($A$2),"",IF($A$4="STATE AVG","NONE",VLOOKUP(Z8,FSPVAR!$A:$F,2,FALSE)))</f>
        <v>NONE</v>
      </c>
      <c r="AA7" s="21" t="str">
        <f>IF(ISBLANK($A$2),"",IF($A$4="STATE AVG","NONE",VLOOKUP(AA8,FSPVAR!$A:$F,2,FALSE)))</f>
        <v>NONE</v>
      </c>
      <c r="AB7" s="21" t="str">
        <f>IF(ISBLANK($A$2),"",IF($A$4="STATE AVG","NONE",VLOOKUP(AB8,FSPVAR!$A:$F,2,FALSE)))</f>
        <v>NONE</v>
      </c>
      <c r="AC7" s="21" t="str">
        <f>IF(ISBLANK($A$2),"",IF($A$4="STATE AVG","NONE",VLOOKUP(AC8,FSPVAR!$A:$F,2,FALSE)))</f>
        <v>NONE</v>
      </c>
      <c r="AD7" s="21" t="str">
        <f>IF(ISBLANK($A$2),"",IF($A$4="STATE AVG","NONE",VLOOKUP(AD8,FSPVAR!$A:$F,2,FALSE)))</f>
        <v>NONE</v>
      </c>
      <c r="AE7" s="21" t="str">
        <f>IF(ISBLANK($A$2),"",IF($A$4="STATE AVG","NONE",VLOOKUP(AE8,FSPVAR!$A:$F,2,FALSE)))</f>
        <v>NONE</v>
      </c>
      <c r="AF7" s="21" t="str">
        <f>IF(ISBLANK($A$2),"",IF($A$4="STATE AVG","NONE",VLOOKUP(AF8,FSPVAR!$A:$F,2,FALSE)))</f>
        <v>NONE</v>
      </c>
      <c r="AG7" s="21" t="str">
        <f>IF(ISBLANK($A$2),"",IF($A$4="STATE AVG","NONE",VLOOKUP(AG8,FSPVAR!$A:$F,2,FALSE)))</f>
        <v>NONE</v>
      </c>
      <c r="AH7" s="21" t="str">
        <f>IF(ISBLANK($A$2),"",IF($A$4="STATE AVG","NONE",VLOOKUP(AH8,FSPVAR!$A:$F,2,FALSE)))</f>
        <v>NONE</v>
      </c>
      <c r="AI7" s="21" t="str">
        <f>IF(ISBLANK($A$2),"",IF($A$4="STATE AVG","NONE",VLOOKUP(AI8,FSPVAR!$A:$F,2,FALSE)))</f>
        <v>NONE</v>
      </c>
      <c r="AJ7" s="21" t="str">
        <f>IF(ISBLANK($A$2),"",IF($A$4="STATE AVG","NONE",VLOOKUP(AJ8,FSPVAR!$A:$F,2,FALSE)))</f>
        <v>NONE</v>
      </c>
      <c r="AK7" s="21" t="str">
        <f>IF(ISBLANK($A$2),"",IF($A$4="STATE AVG","NONE",VLOOKUP(AK8,FSPVAR!$A:$F,2,FALSE)))</f>
        <v>NONE</v>
      </c>
      <c r="AL7" s="21" t="str">
        <f>IF(ISBLANK($A$2),"",IF($A$4="STATE AVG","NONE",VLOOKUP(AL8,FSPVAR!$A:$F,2,FALSE)))</f>
        <v>NONE</v>
      </c>
      <c r="AM7" s="21" t="str">
        <f>IF(ISBLANK($A$2),"",IF($A$4="STATE AVG","NONE",VLOOKUP(AM8,FSPVAR!$A:$F,2,FALSE)))</f>
        <v>NONE</v>
      </c>
      <c r="AN7" s="21" t="str">
        <f>IF(ISBLANK($A$2),"",IF($A$4="STATE AVG","NONE",VLOOKUP(AN8,FSPVAR!$A:$F,2,FALSE)))</f>
        <v>NONE</v>
      </c>
      <c r="AO7" s="21" t="str">
        <f>IF(ISBLANK($A$2),"",IF($A$4="STATE AVG","NONE",VLOOKUP(AO8,FSPVAR!$A:$F,2,FALSE)))</f>
        <v>NONE</v>
      </c>
      <c r="AP7" s="11"/>
    </row>
    <row r="8" spans="1:42" ht="12.75">
      <c r="A8" s="21" t="str">
        <f>IF(ISBLANK(A2),"",IF($A$4="STATE AVG","","ENTER RISD COUNTY DISTRICT NUMBER(S):"))</f>
        <v>ENTER RISD COUNTY DISTRICT NUMBER(S):</v>
      </c>
      <c r="B8" s="195">
        <v>0</v>
      </c>
      <c r="C8" s="195">
        <v>0</v>
      </c>
      <c r="D8" s="195">
        <v>0</v>
      </c>
      <c r="E8" s="195">
        <v>0</v>
      </c>
      <c r="F8" s="195">
        <v>0</v>
      </c>
      <c r="G8" s="195">
        <v>0</v>
      </c>
      <c r="H8" s="195">
        <v>0</v>
      </c>
      <c r="I8" s="195">
        <v>0</v>
      </c>
      <c r="J8" s="195">
        <v>0</v>
      </c>
      <c r="K8" s="195">
        <v>0</v>
      </c>
      <c r="L8" s="195">
        <v>0</v>
      </c>
      <c r="M8" s="195">
        <v>0</v>
      </c>
      <c r="N8" s="195">
        <v>0</v>
      </c>
      <c r="O8" s="195">
        <v>0</v>
      </c>
      <c r="P8" s="195">
        <v>0</v>
      </c>
      <c r="Q8" s="195">
        <v>0</v>
      </c>
      <c r="R8" s="195">
        <v>0</v>
      </c>
      <c r="S8" s="195">
        <v>0</v>
      </c>
      <c r="T8" s="195">
        <v>0</v>
      </c>
      <c r="U8" s="195">
        <v>0</v>
      </c>
      <c r="V8" s="195">
        <v>0</v>
      </c>
      <c r="W8" s="195">
        <v>0</v>
      </c>
      <c r="X8" s="195">
        <v>0</v>
      </c>
      <c r="Y8" s="195">
        <v>0</v>
      </c>
      <c r="Z8" s="195">
        <v>0</v>
      </c>
      <c r="AA8" s="195">
        <v>0</v>
      </c>
      <c r="AB8" s="195">
        <v>0</v>
      </c>
      <c r="AC8" s="195">
        <v>0</v>
      </c>
      <c r="AD8" s="195">
        <v>0</v>
      </c>
      <c r="AE8" s="195">
        <v>0</v>
      </c>
      <c r="AF8" s="195">
        <v>0</v>
      </c>
      <c r="AG8" s="195">
        <v>0</v>
      </c>
      <c r="AH8" s="195">
        <v>0</v>
      </c>
      <c r="AI8" s="195">
        <v>0</v>
      </c>
      <c r="AJ8" s="195">
        <v>0</v>
      </c>
      <c r="AK8" s="195">
        <v>0</v>
      </c>
      <c r="AL8" s="195">
        <v>0</v>
      </c>
      <c r="AM8" s="195">
        <v>0</v>
      </c>
      <c r="AN8" s="195">
        <v>0</v>
      </c>
      <c r="AO8" s="195">
        <v>0</v>
      </c>
      <c r="AP8" s="4" t="s">
        <v>1080</v>
      </c>
    </row>
    <row r="9" spans="1:42" ht="12.75">
      <c r="A9" s="15" t="s">
        <v>1030</v>
      </c>
      <c r="B9" s="6">
        <v>0</v>
      </c>
      <c r="C9" s="6">
        <v>0</v>
      </c>
      <c r="D9" s="6">
        <v>0</v>
      </c>
      <c r="E9" s="6">
        <v>0</v>
      </c>
      <c r="F9" s="6">
        <v>0</v>
      </c>
      <c r="G9" s="6">
        <v>0</v>
      </c>
      <c r="H9" s="6">
        <v>0</v>
      </c>
      <c r="I9" s="6">
        <v>0</v>
      </c>
      <c r="J9" s="6">
        <v>0</v>
      </c>
      <c r="K9" s="6">
        <v>0</v>
      </c>
      <c r="L9" s="6">
        <v>0</v>
      </c>
      <c r="M9" s="6">
        <v>0</v>
      </c>
      <c r="N9" s="6">
        <v>0</v>
      </c>
      <c r="O9" s="6">
        <v>0</v>
      </c>
      <c r="P9" s="6">
        <v>0</v>
      </c>
      <c r="Q9" s="6">
        <v>0</v>
      </c>
      <c r="R9" s="6">
        <v>0</v>
      </c>
      <c r="S9" s="6">
        <v>0</v>
      </c>
      <c r="T9" s="6">
        <v>0</v>
      </c>
      <c r="U9" s="6">
        <v>0</v>
      </c>
      <c r="V9" s="6">
        <v>0</v>
      </c>
      <c r="W9" s="6">
        <v>0</v>
      </c>
      <c r="X9" s="6">
        <v>0</v>
      </c>
      <c r="Y9" s="6">
        <v>0</v>
      </c>
      <c r="Z9" s="6">
        <v>0</v>
      </c>
      <c r="AA9" s="6">
        <v>0</v>
      </c>
      <c r="AB9" s="6">
        <v>0</v>
      </c>
      <c r="AC9" s="6">
        <v>0</v>
      </c>
      <c r="AD9" s="6">
        <v>0</v>
      </c>
      <c r="AE9" s="6">
        <v>0</v>
      </c>
      <c r="AF9" s="6">
        <v>0</v>
      </c>
      <c r="AG9" s="6">
        <v>0</v>
      </c>
      <c r="AH9" s="6">
        <v>0</v>
      </c>
      <c r="AI9" s="6">
        <v>0</v>
      </c>
      <c r="AJ9" s="6">
        <v>0</v>
      </c>
      <c r="AK9" s="6">
        <v>0</v>
      </c>
      <c r="AL9" s="6">
        <v>0</v>
      </c>
      <c r="AM9" s="6">
        <v>0</v>
      </c>
      <c r="AN9" s="6">
        <v>0</v>
      </c>
      <c r="AO9" s="6">
        <v>0</v>
      </c>
      <c r="AP9" s="2">
        <f>SUM(B9:AO9)</f>
        <v>0</v>
      </c>
    </row>
    <row r="10" spans="1:42" ht="12.75">
      <c r="A10" s="15" t="s">
        <v>996</v>
      </c>
      <c r="B10" s="7">
        <v>0</v>
      </c>
      <c r="C10" s="7">
        <v>0</v>
      </c>
      <c r="D10" s="7">
        <v>0</v>
      </c>
      <c r="E10" s="7">
        <v>0</v>
      </c>
      <c r="F10" s="7">
        <v>0</v>
      </c>
      <c r="G10" s="7">
        <v>0</v>
      </c>
      <c r="H10" s="7">
        <v>0</v>
      </c>
      <c r="I10" s="7">
        <v>0</v>
      </c>
      <c r="J10" s="7">
        <v>0</v>
      </c>
      <c r="K10" s="7">
        <v>0</v>
      </c>
      <c r="L10" s="7">
        <v>0</v>
      </c>
      <c r="M10" s="7">
        <v>0</v>
      </c>
      <c r="N10" s="7">
        <v>0</v>
      </c>
      <c r="O10" s="7">
        <v>0</v>
      </c>
      <c r="P10" s="7">
        <v>0</v>
      </c>
      <c r="Q10" s="7">
        <v>0</v>
      </c>
      <c r="R10" s="7">
        <v>0</v>
      </c>
      <c r="S10" s="7">
        <v>0</v>
      </c>
      <c r="T10" s="7">
        <v>0</v>
      </c>
      <c r="U10" s="7">
        <v>0</v>
      </c>
      <c r="V10" s="7">
        <v>0</v>
      </c>
      <c r="W10" s="7">
        <v>0</v>
      </c>
      <c r="X10" s="7">
        <v>0</v>
      </c>
      <c r="Y10" s="7">
        <v>0</v>
      </c>
      <c r="Z10" s="7">
        <v>0</v>
      </c>
      <c r="AA10" s="7">
        <v>0</v>
      </c>
      <c r="AB10" s="7">
        <v>0</v>
      </c>
      <c r="AC10" s="7">
        <v>0</v>
      </c>
      <c r="AD10" s="7">
        <v>0</v>
      </c>
      <c r="AE10" s="7">
        <v>0</v>
      </c>
      <c r="AF10" s="7">
        <v>0</v>
      </c>
      <c r="AG10" s="7">
        <v>0</v>
      </c>
      <c r="AH10" s="7">
        <v>0</v>
      </c>
      <c r="AI10" s="7">
        <v>0</v>
      </c>
      <c r="AJ10" s="7">
        <v>0</v>
      </c>
      <c r="AK10" s="7">
        <v>0</v>
      </c>
      <c r="AL10" s="7">
        <v>0</v>
      </c>
      <c r="AM10" s="7">
        <v>0</v>
      </c>
      <c r="AN10" s="7">
        <v>0</v>
      </c>
      <c r="AO10" s="7">
        <v>0</v>
      </c>
      <c r="AP10" s="194">
        <f>IF(ISBLANK($A$2),"",VLOOKUP(A2,ALLCHARTERS!A2:F295,5,FALSE))</f>
        <v>0</v>
      </c>
    </row>
    <row r="11" spans="1:42" ht="12.75">
      <c r="A11" s="16"/>
      <c r="B11" s="315">
        <f aca="true" t="shared" si="0" ref="B11:AO11">IF(B9=0,"",IF(B10=0,"Error:  0% Attendance",""))</f>
      </c>
      <c r="C11" s="315">
        <f t="shared" si="0"/>
      </c>
      <c r="D11" s="315">
        <f t="shared" si="0"/>
      </c>
      <c r="E11" s="315">
        <f t="shared" si="0"/>
      </c>
      <c r="F11" s="315">
        <f t="shared" si="0"/>
      </c>
      <c r="G11" s="315">
        <f t="shared" si="0"/>
      </c>
      <c r="H11" s="315">
        <f t="shared" si="0"/>
      </c>
      <c r="I11" s="315">
        <f t="shared" si="0"/>
      </c>
      <c r="J11" s="315">
        <f t="shared" si="0"/>
      </c>
      <c r="K11" s="315">
        <f t="shared" si="0"/>
      </c>
      <c r="L11" s="315">
        <f t="shared" si="0"/>
      </c>
      <c r="M11" s="315">
        <f t="shared" si="0"/>
      </c>
      <c r="N11" s="315">
        <f t="shared" si="0"/>
      </c>
      <c r="O11" s="315">
        <f t="shared" si="0"/>
      </c>
      <c r="P11" s="315">
        <f t="shared" si="0"/>
      </c>
      <c r="Q11" s="315">
        <f t="shared" si="0"/>
      </c>
      <c r="R11" s="315">
        <f t="shared" si="0"/>
      </c>
      <c r="S11" s="315">
        <f t="shared" si="0"/>
      </c>
      <c r="T11" s="315">
        <f t="shared" si="0"/>
      </c>
      <c r="U11" s="315">
        <f t="shared" si="0"/>
      </c>
      <c r="V11" s="315">
        <f t="shared" si="0"/>
      </c>
      <c r="W11" s="315">
        <f t="shared" si="0"/>
      </c>
      <c r="X11" s="315">
        <f t="shared" si="0"/>
      </c>
      <c r="Y11" s="315">
        <f t="shared" si="0"/>
      </c>
      <c r="Z11" s="315">
        <f t="shared" si="0"/>
      </c>
      <c r="AA11" s="315">
        <f t="shared" si="0"/>
      </c>
      <c r="AB11" s="315">
        <f t="shared" si="0"/>
      </c>
      <c r="AC11" s="315">
        <f t="shared" si="0"/>
      </c>
      <c r="AD11" s="315">
        <f t="shared" si="0"/>
      </c>
      <c r="AE11" s="315">
        <f t="shared" si="0"/>
      </c>
      <c r="AF11" s="315">
        <f t="shared" si="0"/>
      </c>
      <c r="AG11" s="315">
        <f t="shared" si="0"/>
      </c>
      <c r="AH11" s="315">
        <f t="shared" si="0"/>
      </c>
      <c r="AI11" s="315">
        <f t="shared" si="0"/>
      </c>
      <c r="AJ11" s="315">
        <f t="shared" si="0"/>
      </c>
      <c r="AK11" s="315">
        <f t="shared" si="0"/>
      </c>
      <c r="AL11" s="315">
        <f t="shared" si="0"/>
      </c>
      <c r="AM11" s="315">
        <f t="shared" si="0"/>
      </c>
      <c r="AN11" s="315">
        <f t="shared" si="0"/>
      </c>
      <c r="AO11" s="315">
        <f t="shared" si="0"/>
      </c>
      <c r="AP11" s="321"/>
    </row>
    <row r="12" spans="1:42" ht="12.75">
      <c r="A12" s="17" t="s">
        <v>1031</v>
      </c>
      <c r="B12" s="316"/>
      <c r="C12" s="316"/>
      <c r="D12" s="316"/>
      <c r="E12" s="316"/>
      <c r="F12" s="316"/>
      <c r="G12" s="316"/>
      <c r="H12" s="316"/>
      <c r="I12" s="316"/>
      <c r="J12" s="316"/>
      <c r="K12" s="316"/>
      <c r="L12" s="316"/>
      <c r="M12" s="316"/>
      <c r="N12" s="316"/>
      <c r="O12" s="316"/>
      <c r="P12" s="316"/>
      <c r="Q12" s="316"/>
      <c r="R12" s="316"/>
      <c r="S12" s="316"/>
      <c r="T12" s="316"/>
      <c r="U12" s="316"/>
      <c r="V12" s="316"/>
      <c r="W12" s="316"/>
      <c r="X12" s="316"/>
      <c r="Y12" s="316"/>
      <c r="Z12" s="316"/>
      <c r="AA12" s="316"/>
      <c r="AB12" s="316"/>
      <c r="AC12" s="316"/>
      <c r="AD12" s="316"/>
      <c r="AE12" s="316"/>
      <c r="AF12" s="316"/>
      <c r="AG12" s="316"/>
      <c r="AH12" s="316"/>
      <c r="AI12" s="316"/>
      <c r="AJ12" s="316"/>
      <c r="AK12" s="316"/>
      <c r="AL12" s="316"/>
      <c r="AM12" s="316"/>
      <c r="AN12" s="316"/>
      <c r="AO12" s="316"/>
      <c r="AP12" s="322"/>
    </row>
    <row r="13" spans="1:42" ht="12.75">
      <c r="A13" s="18" t="s">
        <v>860</v>
      </c>
      <c r="B13" s="8">
        <v>0</v>
      </c>
      <c r="C13" s="8">
        <v>0</v>
      </c>
      <c r="D13" s="8">
        <v>0</v>
      </c>
      <c r="E13" s="8">
        <v>0</v>
      </c>
      <c r="F13" s="8">
        <v>0</v>
      </c>
      <c r="G13" s="8">
        <v>0</v>
      </c>
      <c r="H13" s="8">
        <v>0</v>
      </c>
      <c r="I13" s="8">
        <v>0</v>
      </c>
      <c r="J13" s="8">
        <v>0</v>
      </c>
      <c r="K13" s="8">
        <v>0</v>
      </c>
      <c r="L13" s="8">
        <v>0</v>
      </c>
      <c r="M13" s="8">
        <v>0</v>
      </c>
      <c r="N13" s="8">
        <v>0</v>
      </c>
      <c r="O13" s="8">
        <v>0</v>
      </c>
      <c r="P13" s="8">
        <v>0</v>
      </c>
      <c r="Q13" s="8">
        <v>0</v>
      </c>
      <c r="R13" s="8">
        <v>0</v>
      </c>
      <c r="S13" s="8">
        <v>0</v>
      </c>
      <c r="T13" s="8">
        <v>0</v>
      </c>
      <c r="U13" s="8">
        <v>0</v>
      </c>
      <c r="V13" s="8">
        <v>0</v>
      </c>
      <c r="W13" s="8">
        <v>0</v>
      </c>
      <c r="X13" s="8">
        <v>0</v>
      </c>
      <c r="Y13" s="8">
        <v>0</v>
      </c>
      <c r="Z13" s="8">
        <v>0</v>
      </c>
      <c r="AA13" s="8">
        <v>0</v>
      </c>
      <c r="AB13" s="8">
        <v>0</v>
      </c>
      <c r="AC13" s="8">
        <v>0</v>
      </c>
      <c r="AD13" s="8">
        <v>0</v>
      </c>
      <c r="AE13" s="8">
        <v>0</v>
      </c>
      <c r="AF13" s="8">
        <v>0</v>
      </c>
      <c r="AG13" s="8">
        <v>0</v>
      </c>
      <c r="AH13" s="8">
        <v>0</v>
      </c>
      <c r="AI13" s="8">
        <v>0</v>
      </c>
      <c r="AJ13" s="8">
        <v>0</v>
      </c>
      <c r="AK13" s="8">
        <v>0</v>
      </c>
      <c r="AL13" s="8">
        <v>0</v>
      </c>
      <c r="AM13" s="8">
        <v>0</v>
      </c>
      <c r="AN13" s="8">
        <v>0</v>
      </c>
      <c r="AO13" s="8">
        <v>0</v>
      </c>
      <c r="AP13" s="3">
        <f aca="true" t="shared" si="1" ref="AP13:AP23">SUM(B13:AO13)</f>
        <v>0</v>
      </c>
    </row>
    <row r="14" spans="1:42" ht="12.75">
      <c r="A14" s="18" t="s">
        <v>861</v>
      </c>
      <c r="B14" s="8">
        <v>0</v>
      </c>
      <c r="C14" s="8">
        <v>0</v>
      </c>
      <c r="D14" s="8">
        <v>0</v>
      </c>
      <c r="E14" s="8">
        <v>0</v>
      </c>
      <c r="F14" s="8">
        <v>0</v>
      </c>
      <c r="G14" s="8">
        <v>0</v>
      </c>
      <c r="H14" s="8">
        <v>0</v>
      </c>
      <c r="I14" s="8">
        <v>0</v>
      </c>
      <c r="J14" s="8">
        <v>0</v>
      </c>
      <c r="K14" s="8">
        <v>0</v>
      </c>
      <c r="L14" s="8">
        <v>0</v>
      </c>
      <c r="M14" s="8">
        <v>0</v>
      </c>
      <c r="N14" s="8">
        <v>0</v>
      </c>
      <c r="O14" s="8">
        <v>0</v>
      </c>
      <c r="P14" s="8">
        <v>0</v>
      </c>
      <c r="Q14" s="8">
        <v>0</v>
      </c>
      <c r="R14" s="8">
        <v>0</v>
      </c>
      <c r="S14" s="8">
        <v>0</v>
      </c>
      <c r="T14" s="8">
        <v>0</v>
      </c>
      <c r="U14" s="8">
        <v>0</v>
      </c>
      <c r="V14" s="8">
        <v>0</v>
      </c>
      <c r="W14" s="8">
        <v>0</v>
      </c>
      <c r="X14" s="8">
        <v>0</v>
      </c>
      <c r="Y14" s="8">
        <v>0</v>
      </c>
      <c r="Z14" s="8">
        <v>0</v>
      </c>
      <c r="AA14" s="8">
        <v>0</v>
      </c>
      <c r="AB14" s="8">
        <v>0</v>
      </c>
      <c r="AC14" s="8">
        <v>0</v>
      </c>
      <c r="AD14" s="8">
        <v>0</v>
      </c>
      <c r="AE14" s="8">
        <v>0</v>
      </c>
      <c r="AF14" s="8">
        <v>0</v>
      </c>
      <c r="AG14" s="8">
        <v>0</v>
      </c>
      <c r="AH14" s="8">
        <v>0</v>
      </c>
      <c r="AI14" s="8">
        <v>0</v>
      </c>
      <c r="AJ14" s="8">
        <v>0</v>
      </c>
      <c r="AK14" s="8">
        <v>0</v>
      </c>
      <c r="AL14" s="8">
        <v>0</v>
      </c>
      <c r="AM14" s="8">
        <v>0</v>
      </c>
      <c r="AN14" s="8">
        <v>0</v>
      </c>
      <c r="AO14" s="8">
        <v>0</v>
      </c>
      <c r="AP14" s="2">
        <f t="shared" si="1"/>
        <v>0</v>
      </c>
    </row>
    <row r="15" spans="1:42" ht="12.75">
      <c r="A15" s="18" t="s">
        <v>864</v>
      </c>
      <c r="B15" s="8">
        <v>0</v>
      </c>
      <c r="C15" s="8">
        <v>0</v>
      </c>
      <c r="D15" s="8">
        <v>0</v>
      </c>
      <c r="E15" s="8">
        <v>0</v>
      </c>
      <c r="F15" s="8">
        <v>0</v>
      </c>
      <c r="G15" s="8">
        <v>0</v>
      </c>
      <c r="H15" s="8">
        <v>0</v>
      </c>
      <c r="I15" s="8">
        <v>0</v>
      </c>
      <c r="J15" s="8">
        <v>0</v>
      </c>
      <c r="K15" s="8">
        <v>0</v>
      </c>
      <c r="L15" s="8">
        <v>0</v>
      </c>
      <c r="M15" s="8">
        <v>0</v>
      </c>
      <c r="N15" s="8">
        <v>0</v>
      </c>
      <c r="O15" s="8">
        <v>0</v>
      </c>
      <c r="P15" s="8">
        <v>0</v>
      </c>
      <c r="Q15" s="8">
        <v>0</v>
      </c>
      <c r="R15" s="8">
        <v>0</v>
      </c>
      <c r="S15" s="8">
        <v>0</v>
      </c>
      <c r="T15" s="8">
        <v>0</v>
      </c>
      <c r="U15" s="8">
        <v>0</v>
      </c>
      <c r="V15" s="8">
        <v>0</v>
      </c>
      <c r="W15" s="8">
        <v>0</v>
      </c>
      <c r="X15" s="8">
        <v>0</v>
      </c>
      <c r="Y15" s="8">
        <v>0</v>
      </c>
      <c r="Z15" s="8">
        <v>0</v>
      </c>
      <c r="AA15" s="8">
        <v>0</v>
      </c>
      <c r="AB15" s="8">
        <v>0</v>
      </c>
      <c r="AC15" s="8">
        <v>0</v>
      </c>
      <c r="AD15" s="8">
        <v>0</v>
      </c>
      <c r="AE15" s="8">
        <v>0</v>
      </c>
      <c r="AF15" s="8">
        <v>0</v>
      </c>
      <c r="AG15" s="8">
        <v>0</v>
      </c>
      <c r="AH15" s="8">
        <v>0</v>
      </c>
      <c r="AI15" s="8">
        <v>0</v>
      </c>
      <c r="AJ15" s="8">
        <v>0</v>
      </c>
      <c r="AK15" s="8">
        <v>0</v>
      </c>
      <c r="AL15" s="8">
        <v>0</v>
      </c>
      <c r="AM15" s="8">
        <v>0</v>
      </c>
      <c r="AN15" s="8">
        <v>0</v>
      </c>
      <c r="AO15" s="8">
        <v>0</v>
      </c>
      <c r="AP15" s="2">
        <f t="shared" si="1"/>
        <v>0</v>
      </c>
    </row>
    <row r="16" spans="1:42" ht="12.75">
      <c r="A16" s="18" t="s">
        <v>865</v>
      </c>
      <c r="B16" s="8">
        <v>0</v>
      </c>
      <c r="C16" s="8">
        <v>0</v>
      </c>
      <c r="D16" s="8">
        <v>0</v>
      </c>
      <c r="E16" s="8">
        <v>0</v>
      </c>
      <c r="F16" s="8">
        <v>0</v>
      </c>
      <c r="G16" s="8">
        <v>0</v>
      </c>
      <c r="H16" s="8">
        <v>0</v>
      </c>
      <c r="I16" s="8">
        <v>0</v>
      </c>
      <c r="J16" s="8">
        <v>0</v>
      </c>
      <c r="K16" s="8">
        <v>0</v>
      </c>
      <c r="L16" s="8">
        <v>0</v>
      </c>
      <c r="M16" s="8">
        <v>0</v>
      </c>
      <c r="N16" s="8">
        <v>0</v>
      </c>
      <c r="O16" s="8">
        <v>0</v>
      </c>
      <c r="P16" s="8">
        <v>0</v>
      </c>
      <c r="Q16" s="8">
        <v>0</v>
      </c>
      <c r="R16" s="8">
        <v>0</v>
      </c>
      <c r="S16" s="8">
        <v>0</v>
      </c>
      <c r="T16" s="8">
        <v>0</v>
      </c>
      <c r="U16" s="8">
        <v>0</v>
      </c>
      <c r="V16" s="8">
        <v>0</v>
      </c>
      <c r="W16" s="8">
        <v>0</v>
      </c>
      <c r="X16" s="8">
        <v>0</v>
      </c>
      <c r="Y16" s="8">
        <v>0</v>
      </c>
      <c r="Z16" s="8">
        <v>0</v>
      </c>
      <c r="AA16" s="8">
        <v>0</v>
      </c>
      <c r="AB16" s="8">
        <v>0</v>
      </c>
      <c r="AC16" s="8">
        <v>0</v>
      </c>
      <c r="AD16" s="8">
        <v>0</v>
      </c>
      <c r="AE16" s="8">
        <v>0</v>
      </c>
      <c r="AF16" s="8">
        <v>0</v>
      </c>
      <c r="AG16" s="8">
        <v>0</v>
      </c>
      <c r="AH16" s="8">
        <v>0</v>
      </c>
      <c r="AI16" s="8">
        <v>0</v>
      </c>
      <c r="AJ16" s="8">
        <v>0</v>
      </c>
      <c r="AK16" s="8">
        <v>0</v>
      </c>
      <c r="AL16" s="8">
        <v>0</v>
      </c>
      <c r="AM16" s="8">
        <v>0</v>
      </c>
      <c r="AN16" s="8">
        <v>0</v>
      </c>
      <c r="AO16" s="8">
        <v>0</v>
      </c>
      <c r="AP16" s="2">
        <f t="shared" si="1"/>
        <v>0</v>
      </c>
    </row>
    <row r="17" spans="1:42" ht="12.75" customHeight="1">
      <c r="A17" s="19" t="s">
        <v>1048</v>
      </c>
      <c r="B17" s="8">
        <v>0</v>
      </c>
      <c r="C17" s="8">
        <v>0</v>
      </c>
      <c r="D17" s="8">
        <v>0</v>
      </c>
      <c r="E17" s="8">
        <v>0</v>
      </c>
      <c r="F17" s="8">
        <v>0</v>
      </c>
      <c r="G17" s="8">
        <v>0</v>
      </c>
      <c r="H17" s="8">
        <v>0</v>
      </c>
      <c r="I17" s="8">
        <v>0</v>
      </c>
      <c r="J17" s="8">
        <v>0</v>
      </c>
      <c r="K17" s="8">
        <v>0</v>
      </c>
      <c r="L17" s="8">
        <v>0</v>
      </c>
      <c r="M17" s="8">
        <v>0</v>
      </c>
      <c r="N17" s="8">
        <v>0</v>
      </c>
      <c r="O17" s="8">
        <v>0</v>
      </c>
      <c r="P17" s="8">
        <v>0</v>
      </c>
      <c r="Q17" s="8">
        <v>0</v>
      </c>
      <c r="R17" s="8">
        <v>0</v>
      </c>
      <c r="S17" s="8">
        <v>0</v>
      </c>
      <c r="T17" s="8">
        <v>0</v>
      </c>
      <c r="U17" s="8">
        <v>0</v>
      </c>
      <c r="V17" s="8">
        <v>0</v>
      </c>
      <c r="W17" s="8">
        <v>0</v>
      </c>
      <c r="X17" s="8">
        <v>0</v>
      </c>
      <c r="Y17" s="8">
        <v>0</v>
      </c>
      <c r="Z17" s="8">
        <v>0</v>
      </c>
      <c r="AA17" s="8">
        <v>0</v>
      </c>
      <c r="AB17" s="8">
        <v>0</v>
      </c>
      <c r="AC17" s="8">
        <v>0</v>
      </c>
      <c r="AD17" s="8">
        <v>0</v>
      </c>
      <c r="AE17" s="8">
        <v>0</v>
      </c>
      <c r="AF17" s="8">
        <v>0</v>
      </c>
      <c r="AG17" s="8">
        <v>0</v>
      </c>
      <c r="AH17" s="8">
        <v>0</v>
      </c>
      <c r="AI17" s="8">
        <v>0</v>
      </c>
      <c r="AJ17" s="8">
        <v>0</v>
      </c>
      <c r="AK17" s="8">
        <v>0</v>
      </c>
      <c r="AL17" s="8">
        <v>0</v>
      </c>
      <c r="AM17" s="8">
        <v>0</v>
      </c>
      <c r="AN17" s="8">
        <v>0</v>
      </c>
      <c r="AO17" s="8">
        <v>0</v>
      </c>
      <c r="AP17" s="2">
        <f t="shared" si="1"/>
        <v>0</v>
      </c>
    </row>
    <row r="18" spans="1:42" ht="12.75">
      <c r="A18" s="18" t="s">
        <v>1049</v>
      </c>
      <c r="B18" s="8">
        <v>0</v>
      </c>
      <c r="C18" s="8">
        <v>0</v>
      </c>
      <c r="D18" s="8">
        <v>0</v>
      </c>
      <c r="E18" s="8">
        <v>0</v>
      </c>
      <c r="F18" s="8">
        <v>0</v>
      </c>
      <c r="G18" s="8">
        <v>0</v>
      </c>
      <c r="H18" s="8">
        <v>0</v>
      </c>
      <c r="I18" s="8">
        <v>0</v>
      </c>
      <c r="J18" s="8">
        <v>0</v>
      </c>
      <c r="K18" s="8">
        <v>0</v>
      </c>
      <c r="L18" s="8">
        <v>0</v>
      </c>
      <c r="M18" s="8">
        <v>0</v>
      </c>
      <c r="N18" s="8">
        <v>0</v>
      </c>
      <c r="O18" s="8">
        <v>0</v>
      </c>
      <c r="P18" s="8">
        <v>0</v>
      </c>
      <c r="Q18" s="8">
        <v>0</v>
      </c>
      <c r="R18" s="8">
        <v>0</v>
      </c>
      <c r="S18" s="8">
        <v>0</v>
      </c>
      <c r="T18" s="8">
        <v>0</v>
      </c>
      <c r="U18" s="8">
        <v>0</v>
      </c>
      <c r="V18" s="8">
        <v>0</v>
      </c>
      <c r="W18" s="8">
        <v>0</v>
      </c>
      <c r="X18" s="8">
        <v>0</v>
      </c>
      <c r="Y18" s="8">
        <v>0</v>
      </c>
      <c r="Z18" s="8">
        <v>0</v>
      </c>
      <c r="AA18" s="8">
        <v>0</v>
      </c>
      <c r="AB18" s="8">
        <v>0</v>
      </c>
      <c r="AC18" s="8">
        <v>0</v>
      </c>
      <c r="AD18" s="8">
        <v>0</v>
      </c>
      <c r="AE18" s="8">
        <v>0</v>
      </c>
      <c r="AF18" s="8">
        <v>0</v>
      </c>
      <c r="AG18" s="8">
        <v>0</v>
      </c>
      <c r="AH18" s="8">
        <v>0</v>
      </c>
      <c r="AI18" s="8">
        <v>0</v>
      </c>
      <c r="AJ18" s="8">
        <v>0</v>
      </c>
      <c r="AK18" s="8">
        <v>0</v>
      </c>
      <c r="AL18" s="8">
        <v>0</v>
      </c>
      <c r="AM18" s="8">
        <v>0</v>
      </c>
      <c r="AN18" s="8">
        <v>0</v>
      </c>
      <c r="AO18" s="8">
        <v>0</v>
      </c>
      <c r="AP18" s="2">
        <f t="shared" si="1"/>
        <v>0</v>
      </c>
    </row>
    <row r="19" spans="1:42" ht="12.75">
      <c r="A19" s="18" t="s">
        <v>1050</v>
      </c>
      <c r="B19" s="8">
        <v>0</v>
      </c>
      <c r="C19" s="8">
        <v>0</v>
      </c>
      <c r="D19" s="8">
        <v>0</v>
      </c>
      <c r="E19" s="8">
        <v>0</v>
      </c>
      <c r="F19" s="8">
        <v>0</v>
      </c>
      <c r="G19" s="8">
        <v>0</v>
      </c>
      <c r="H19" s="8">
        <v>0</v>
      </c>
      <c r="I19" s="8">
        <v>0</v>
      </c>
      <c r="J19" s="8">
        <v>0</v>
      </c>
      <c r="K19" s="8">
        <v>0</v>
      </c>
      <c r="L19" s="8">
        <v>0</v>
      </c>
      <c r="M19" s="8">
        <v>0</v>
      </c>
      <c r="N19" s="8">
        <v>0</v>
      </c>
      <c r="O19" s="8">
        <v>0</v>
      </c>
      <c r="P19" s="8">
        <v>0</v>
      </c>
      <c r="Q19" s="8">
        <v>0</v>
      </c>
      <c r="R19" s="8">
        <v>0</v>
      </c>
      <c r="S19" s="8">
        <v>0</v>
      </c>
      <c r="T19" s="8">
        <v>0</v>
      </c>
      <c r="U19" s="8">
        <v>0</v>
      </c>
      <c r="V19" s="8">
        <v>0</v>
      </c>
      <c r="W19" s="8">
        <v>0</v>
      </c>
      <c r="X19" s="8">
        <v>0</v>
      </c>
      <c r="Y19" s="8">
        <v>0</v>
      </c>
      <c r="Z19" s="8">
        <v>0</v>
      </c>
      <c r="AA19" s="8">
        <v>0</v>
      </c>
      <c r="AB19" s="8">
        <v>0</v>
      </c>
      <c r="AC19" s="8">
        <v>0</v>
      </c>
      <c r="AD19" s="8">
        <v>0</v>
      </c>
      <c r="AE19" s="8">
        <v>0</v>
      </c>
      <c r="AF19" s="8">
        <v>0</v>
      </c>
      <c r="AG19" s="8">
        <v>0</v>
      </c>
      <c r="AH19" s="8">
        <v>0</v>
      </c>
      <c r="AI19" s="8">
        <v>0</v>
      </c>
      <c r="AJ19" s="8">
        <v>0</v>
      </c>
      <c r="AK19" s="8">
        <v>0</v>
      </c>
      <c r="AL19" s="8">
        <v>0</v>
      </c>
      <c r="AM19" s="8">
        <v>0</v>
      </c>
      <c r="AN19" s="8">
        <v>0</v>
      </c>
      <c r="AO19" s="8">
        <v>0</v>
      </c>
      <c r="AP19" s="2">
        <f t="shared" si="1"/>
        <v>0</v>
      </c>
    </row>
    <row r="20" spans="1:42" ht="12.75">
      <c r="A20" s="18" t="s">
        <v>866</v>
      </c>
      <c r="B20" s="8">
        <v>0</v>
      </c>
      <c r="C20" s="8">
        <v>0</v>
      </c>
      <c r="D20" s="8">
        <v>0</v>
      </c>
      <c r="E20" s="8">
        <v>0</v>
      </c>
      <c r="F20" s="8">
        <v>0</v>
      </c>
      <c r="G20" s="8">
        <v>0</v>
      </c>
      <c r="H20" s="8">
        <v>0</v>
      </c>
      <c r="I20" s="8">
        <v>0</v>
      </c>
      <c r="J20" s="8">
        <v>0</v>
      </c>
      <c r="K20" s="8">
        <v>0</v>
      </c>
      <c r="L20" s="8">
        <v>0</v>
      </c>
      <c r="M20" s="8">
        <v>0</v>
      </c>
      <c r="N20" s="8">
        <v>0</v>
      </c>
      <c r="O20" s="8">
        <v>0</v>
      </c>
      <c r="P20" s="8">
        <v>0</v>
      </c>
      <c r="Q20" s="8">
        <v>0</v>
      </c>
      <c r="R20" s="8">
        <v>0</v>
      </c>
      <c r="S20" s="8">
        <v>0</v>
      </c>
      <c r="T20" s="8">
        <v>0</v>
      </c>
      <c r="U20" s="8">
        <v>0</v>
      </c>
      <c r="V20" s="8">
        <v>0</v>
      </c>
      <c r="W20" s="8">
        <v>0</v>
      </c>
      <c r="X20" s="8">
        <v>0</v>
      </c>
      <c r="Y20" s="8">
        <v>0</v>
      </c>
      <c r="Z20" s="8">
        <v>0</v>
      </c>
      <c r="AA20" s="8">
        <v>0</v>
      </c>
      <c r="AB20" s="8">
        <v>0</v>
      </c>
      <c r="AC20" s="8">
        <v>0</v>
      </c>
      <c r="AD20" s="8">
        <v>0</v>
      </c>
      <c r="AE20" s="8">
        <v>0</v>
      </c>
      <c r="AF20" s="8">
        <v>0</v>
      </c>
      <c r="AG20" s="8">
        <v>0</v>
      </c>
      <c r="AH20" s="8">
        <v>0</v>
      </c>
      <c r="AI20" s="8">
        <v>0</v>
      </c>
      <c r="AJ20" s="8">
        <v>0</v>
      </c>
      <c r="AK20" s="8">
        <v>0</v>
      </c>
      <c r="AL20" s="8">
        <v>0</v>
      </c>
      <c r="AM20" s="8">
        <v>0</v>
      </c>
      <c r="AN20" s="8">
        <v>0</v>
      </c>
      <c r="AO20" s="8">
        <v>0</v>
      </c>
      <c r="AP20" s="2">
        <f t="shared" si="1"/>
        <v>0</v>
      </c>
    </row>
    <row r="21" spans="1:42" ht="12.75">
      <c r="A21" s="18" t="s">
        <v>867</v>
      </c>
      <c r="B21" s="8">
        <v>0</v>
      </c>
      <c r="C21" s="8">
        <v>0</v>
      </c>
      <c r="D21" s="8">
        <v>0</v>
      </c>
      <c r="E21" s="8">
        <v>0</v>
      </c>
      <c r="F21" s="8">
        <v>0</v>
      </c>
      <c r="G21" s="8">
        <v>0</v>
      </c>
      <c r="H21" s="8">
        <v>0</v>
      </c>
      <c r="I21" s="8">
        <v>0</v>
      </c>
      <c r="J21" s="8">
        <v>0</v>
      </c>
      <c r="K21" s="8">
        <v>0</v>
      </c>
      <c r="L21" s="8">
        <v>0</v>
      </c>
      <c r="M21" s="8">
        <v>0</v>
      </c>
      <c r="N21" s="8">
        <v>0</v>
      </c>
      <c r="O21" s="8">
        <v>0</v>
      </c>
      <c r="P21" s="8">
        <v>0</v>
      </c>
      <c r="Q21" s="8">
        <v>0</v>
      </c>
      <c r="R21" s="8">
        <v>0</v>
      </c>
      <c r="S21" s="8">
        <v>0</v>
      </c>
      <c r="T21" s="8">
        <v>0</v>
      </c>
      <c r="U21" s="8">
        <v>0</v>
      </c>
      <c r="V21" s="8">
        <v>0</v>
      </c>
      <c r="W21" s="8">
        <v>0</v>
      </c>
      <c r="X21" s="8">
        <v>0</v>
      </c>
      <c r="Y21" s="8">
        <v>0</v>
      </c>
      <c r="Z21" s="8">
        <v>0</v>
      </c>
      <c r="AA21" s="8">
        <v>0</v>
      </c>
      <c r="AB21" s="8">
        <v>0</v>
      </c>
      <c r="AC21" s="8">
        <v>0</v>
      </c>
      <c r="AD21" s="8">
        <v>0</v>
      </c>
      <c r="AE21" s="8">
        <v>0</v>
      </c>
      <c r="AF21" s="8">
        <v>0</v>
      </c>
      <c r="AG21" s="8">
        <v>0</v>
      </c>
      <c r="AH21" s="8">
        <v>0</v>
      </c>
      <c r="AI21" s="8">
        <v>0</v>
      </c>
      <c r="AJ21" s="8">
        <v>0</v>
      </c>
      <c r="AK21" s="8">
        <v>0</v>
      </c>
      <c r="AL21" s="8">
        <v>0</v>
      </c>
      <c r="AM21" s="8">
        <v>0</v>
      </c>
      <c r="AN21" s="8">
        <v>0</v>
      </c>
      <c r="AO21" s="8">
        <v>0</v>
      </c>
      <c r="AP21" s="2">
        <f t="shared" si="1"/>
        <v>0</v>
      </c>
    </row>
    <row r="22" spans="1:42" ht="12.75">
      <c r="A22" s="18" t="s">
        <v>869</v>
      </c>
      <c r="B22" s="8">
        <v>0</v>
      </c>
      <c r="C22" s="8">
        <v>0</v>
      </c>
      <c r="D22" s="8">
        <v>0</v>
      </c>
      <c r="E22" s="8">
        <v>0</v>
      </c>
      <c r="F22" s="8">
        <v>0</v>
      </c>
      <c r="G22" s="8">
        <v>0</v>
      </c>
      <c r="H22" s="8">
        <v>0</v>
      </c>
      <c r="I22" s="8">
        <v>0</v>
      </c>
      <c r="J22" s="8">
        <v>0</v>
      </c>
      <c r="K22" s="8">
        <v>0</v>
      </c>
      <c r="L22" s="8">
        <v>0</v>
      </c>
      <c r="M22" s="8">
        <v>0</v>
      </c>
      <c r="N22" s="8">
        <v>0</v>
      </c>
      <c r="O22" s="8">
        <v>0</v>
      </c>
      <c r="P22" s="8">
        <v>0</v>
      </c>
      <c r="Q22" s="8">
        <v>0</v>
      </c>
      <c r="R22" s="8">
        <v>0</v>
      </c>
      <c r="S22" s="8">
        <v>0</v>
      </c>
      <c r="T22" s="8">
        <v>0</v>
      </c>
      <c r="U22" s="8">
        <v>0</v>
      </c>
      <c r="V22" s="8">
        <v>0</v>
      </c>
      <c r="W22" s="8">
        <v>0</v>
      </c>
      <c r="X22" s="8">
        <v>0</v>
      </c>
      <c r="Y22" s="8">
        <v>0</v>
      </c>
      <c r="Z22" s="8">
        <v>0</v>
      </c>
      <c r="AA22" s="8">
        <v>0</v>
      </c>
      <c r="AB22" s="8">
        <v>0</v>
      </c>
      <c r="AC22" s="8">
        <v>0</v>
      </c>
      <c r="AD22" s="8">
        <v>0</v>
      </c>
      <c r="AE22" s="8">
        <v>0</v>
      </c>
      <c r="AF22" s="8">
        <v>0</v>
      </c>
      <c r="AG22" s="8">
        <v>0</v>
      </c>
      <c r="AH22" s="8">
        <v>0</v>
      </c>
      <c r="AI22" s="8">
        <v>0</v>
      </c>
      <c r="AJ22" s="8">
        <v>0</v>
      </c>
      <c r="AK22" s="8">
        <v>0</v>
      </c>
      <c r="AL22" s="8">
        <v>0</v>
      </c>
      <c r="AM22" s="8">
        <v>0</v>
      </c>
      <c r="AN22" s="8">
        <v>0</v>
      </c>
      <c r="AO22" s="8">
        <v>0</v>
      </c>
      <c r="AP22" s="2">
        <f t="shared" si="1"/>
        <v>0</v>
      </c>
    </row>
    <row r="23" spans="1:42" ht="12.75">
      <c r="A23" s="18" t="s">
        <v>870</v>
      </c>
      <c r="B23" s="8">
        <v>0</v>
      </c>
      <c r="C23" s="8">
        <v>0</v>
      </c>
      <c r="D23" s="8">
        <v>0</v>
      </c>
      <c r="E23" s="8">
        <v>0</v>
      </c>
      <c r="F23" s="8">
        <v>0</v>
      </c>
      <c r="G23" s="8">
        <v>0</v>
      </c>
      <c r="H23" s="8">
        <v>0</v>
      </c>
      <c r="I23" s="8">
        <v>0</v>
      </c>
      <c r="J23" s="8">
        <v>0</v>
      </c>
      <c r="K23" s="8">
        <v>0</v>
      </c>
      <c r="L23" s="8">
        <v>0</v>
      </c>
      <c r="M23" s="8">
        <v>0</v>
      </c>
      <c r="N23" s="8">
        <v>0</v>
      </c>
      <c r="O23" s="8">
        <v>0</v>
      </c>
      <c r="P23" s="8">
        <v>0</v>
      </c>
      <c r="Q23" s="8">
        <v>0</v>
      </c>
      <c r="R23" s="8">
        <v>0</v>
      </c>
      <c r="S23" s="8">
        <v>0</v>
      </c>
      <c r="T23" s="8">
        <v>0</v>
      </c>
      <c r="U23" s="8">
        <v>0</v>
      </c>
      <c r="V23" s="8">
        <v>0</v>
      </c>
      <c r="W23" s="8">
        <v>0</v>
      </c>
      <c r="X23" s="8">
        <v>0</v>
      </c>
      <c r="Y23" s="8">
        <v>0</v>
      </c>
      <c r="Z23" s="8">
        <v>0</v>
      </c>
      <c r="AA23" s="8">
        <v>0</v>
      </c>
      <c r="AB23" s="8">
        <v>0</v>
      </c>
      <c r="AC23" s="8">
        <v>0</v>
      </c>
      <c r="AD23" s="8">
        <v>0</v>
      </c>
      <c r="AE23" s="8">
        <v>0</v>
      </c>
      <c r="AF23" s="8">
        <v>0</v>
      </c>
      <c r="AG23" s="8">
        <v>0</v>
      </c>
      <c r="AH23" s="8">
        <v>0</v>
      </c>
      <c r="AI23" s="8">
        <v>0</v>
      </c>
      <c r="AJ23" s="8">
        <v>0</v>
      </c>
      <c r="AK23" s="8">
        <v>0</v>
      </c>
      <c r="AL23" s="8">
        <v>0</v>
      </c>
      <c r="AM23" s="8">
        <v>0</v>
      </c>
      <c r="AN23" s="8">
        <v>0</v>
      </c>
      <c r="AO23" s="8">
        <v>0</v>
      </c>
      <c r="AP23" s="3">
        <f t="shared" si="1"/>
        <v>0</v>
      </c>
    </row>
    <row r="24" spans="1:42" ht="12.75">
      <c r="A24" s="17" t="s">
        <v>1032</v>
      </c>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3"/>
      <c r="AM24" s="193"/>
      <c r="AN24" s="193"/>
      <c r="AO24" s="193"/>
      <c r="AP24" s="17"/>
    </row>
    <row r="25" spans="1:42" ht="12.75">
      <c r="A25" s="18" t="s">
        <v>1042</v>
      </c>
      <c r="B25" s="8">
        <v>0</v>
      </c>
      <c r="C25" s="8">
        <v>0</v>
      </c>
      <c r="D25" s="8">
        <v>0</v>
      </c>
      <c r="E25" s="8">
        <v>0</v>
      </c>
      <c r="F25" s="8">
        <v>0</v>
      </c>
      <c r="G25" s="8">
        <v>0</v>
      </c>
      <c r="H25" s="8">
        <v>0</v>
      </c>
      <c r="I25" s="8">
        <v>0</v>
      </c>
      <c r="J25" s="8">
        <v>0</v>
      </c>
      <c r="K25" s="8">
        <v>0</v>
      </c>
      <c r="L25" s="8">
        <v>0</v>
      </c>
      <c r="M25" s="8">
        <v>0</v>
      </c>
      <c r="N25" s="8">
        <v>0</v>
      </c>
      <c r="O25" s="8">
        <v>0</v>
      </c>
      <c r="P25" s="8">
        <v>0</v>
      </c>
      <c r="Q25" s="8">
        <v>0</v>
      </c>
      <c r="R25" s="8">
        <v>0</v>
      </c>
      <c r="S25" s="8">
        <v>0</v>
      </c>
      <c r="T25" s="8">
        <v>0</v>
      </c>
      <c r="U25" s="8">
        <v>0</v>
      </c>
      <c r="V25" s="8">
        <v>0</v>
      </c>
      <c r="W25" s="8">
        <v>0</v>
      </c>
      <c r="X25" s="8">
        <v>0</v>
      </c>
      <c r="Y25" s="8">
        <v>0</v>
      </c>
      <c r="Z25" s="8">
        <v>0</v>
      </c>
      <c r="AA25" s="8">
        <v>0</v>
      </c>
      <c r="AB25" s="8">
        <v>0</v>
      </c>
      <c r="AC25" s="8">
        <v>0</v>
      </c>
      <c r="AD25" s="8">
        <v>0</v>
      </c>
      <c r="AE25" s="8">
        <v>0</v>
      </c>
      <c r="AF25" s="8">
        <v>0</v>
      </c>
      <c r="AG25" s="8">
        <v>0</v>
      </c>
      <c r="AH25" s="8">
        <v>0</v>
      </c>
      <c r="AI25" s="8">
        <v>0</v>
      </c>
      <c r="AJ25" s="8">
        <v>0</v>
      </c>
      <c r="AK25" s="8">
        <v>0</v>
      </c>
      <c r="AL25" s="8">
        <v>0</v>
      </c>
      <c r="AM25" s="8">
        <v>0</v>
      </c>
      <c r="AN25" s="8">
        <v>0</v>
      </c>
      <c r="AO25" s="8">
        <v>0</v>
      </c>
      <c r="AP25" s="3">
        <f aca="true" t="shared" si="2" ref="AP25:AP34">SUM(B25:AO25)</f>
        <v>0</v>
      </c>
    </row>
    <row r="26" spans="1:42" ht="12.75">
      <c r="A26" s="18" t="s">
        <v>1043</v>
      </c>
      <c r="B26" s="8">
        <v>0</v>
      </c>
      <c r="C26" s="8">
        <v>0</v>
      </c>
      <c r="D26" s="8">
        <v>0</v>
      </c>
      <c r="E26" s="8">
        <v>0</v>
      </c>
      <c r="F26" s="8">
        <v>0</v>
      </c>
      <c r="G26" s="8">
        <v>0</v>
      </c>
      <c r="H26" s="8">
        <v>0</v>
      </c>
      <c r="I26" s="8">
        <v>0</v>
      </c>
      <c r="J26" s="8">
        <v>0</v>
      </c>
      <c r="K26" s="8">
        <v>0</v>
      </c>
      <c r="L26" s="8">
        <v>0</v>
      </c>
      <c r="M26" s="8">
        <v>0</v>
      </c>
      <c r="N26" s="8">
        <v>0</v>
      </c>
      <c r="O26" s="8">
        <v>0</v>
      </c>
      <c r="P26" s="8">
        <v>0</v>
      </c>
      <c r="Q26" s="8">
        <v>0</v>
      </c>
      <c r="R26" s="8">
        <v>0</v>
      </c>
      <c r="S26" s="8">
        <v>0</v>
      </c>
      <c r="T26" s="8">
        <v>0</v>
      </c>
      <c r="U26" s="8">
        <v>0</v>
      </c>
      <c r="V26" s="8">
        <v>0</v>
      </c>
      <c r="W26" s="8">
        <v>0</v>
      </c>
      <c r="X26" s="8">
        <v>0</v>
      </c>
      <c r="Y26" s="8">
        <v>0</v>
      </c>
      <c r="Z26" s="8">
        <v>0</v>
      </c>
      <c r="AA26" s="8">
        <v>0</v>
      </c>
      <c r="AB26" s="8">
        <v>0</v>
      </c>
      <c r="AC26" s="8">
        <v>0</v>
      </c>
      <c r="AD26" s="8">
        <v>0</v>
      </c>
      <c r="AE26" s="8">
        <v>0</v>
      </c>
      <c r="AF26" s="8">
        <v>0</v>
      </c>
      <c r="AG26" s="8">
        <v>0</v>
      </c>
      <c r="AH26" s="8">
        <v>0</v>
      </c>
      <c r="AI26" s="8">
        <v>0</v>
      </c>
      <c r="AJ26" s="8">
        <v>0</v>
      </c>
      <c r="AK26" s="8">
        <v>0</v>
      </c>
      <c r="AL26" s="8">
        <v>0</v>
      </c>
      <c r="AM26" s="8">
        <v>0</v>
      </c>
      <c r="AN26" s="8">
        <v>0</v>
      </c>
      <c r="AO26" s="8">
        <v>0</v>
      </c>
      <c r="AP26" s="2">
        <f t="shared" si="2"/>
        <v>0</v>
      </c>
    </row>
    <row r="27" spans="1:42" ht="12.75">
      <c r="A27" s="18" t="s">
        <v>1044</v>
      </c>
      <c r="B27" s="8">
        <v>0</v>
      </c>
      <c r="C27" s="8">
        <v>0</v>
      </c>
      <c r="D27" s="8">
        <v>0</v>
      </c>
      <c r="E27" s="8">
        <v>0</v>
      </c>
      <c r="F27" s="8">
        <v>0</v>
      </c>
      <c r="G27" s="8">
        <v>0</v>
      </c>
      <c r="H27" s="8">
        <v>0</v>
      </c>
      <c r="I27" s="8">
        <v>0</v>
      </c>
      <c r="J27" s="8">
        <v>0</v>
      </c>
      <c r="K27" s="8">
        <v>0</v>
      </c>
      <c r="L27" s="8">
        <v>0</v>
      </c>
      <c r="M27" s="8">
        <v>0</v>
      </c>
      <c r="N27" s="8">
        <v>0</v>
      </c>
      <c r="O27" s="8">
        <v>0</v>
      </c>
      <c r="P27" s="8">
        <v>0</v>
      </c>
      <c r="Q27" s="8">
        <v>0</v>
      </c>
      <c r="R27" s="8">
        <v>0</v>
      </c>
      <c r="S27" s="8">
        <v>0</v>
      </c>
      <c r="T27" s="8">
        <v>0</v>
      </c>
      <c r="U27" s="8">
        <v>0</v>
      </c>
      <c r="V27" s="8">
        <v>0</v>
      </c>
      <c r="W27" s="8">
        <v>0</v>
      </c>
      <c r="X27" s="8">
        <v>0</v>
      </c>
      <c r="Y27" s="8">
        <v>0</v>
      </c>
      <c r="Z27" s="8">
        <v>0</v>
      </c>
      <c r="AA27" s="8">
        <v>0</v>
      </c>
      <c r="AB27" s="8">
        <v>0</v>
      </c>
      <c r="AC27" s="8">
        <v>0</v>
      </c>
      <c r="AD27" s="8">
        <v>0</v>
      </c>
      <c r="AE27" s="8">
        <v>0</v>
      </c>
      <c r="AF27" s="8">
        <v>0</v>
      </c>
      <c r="AG27" s="8">
        <v>0</v>
      </c>
      <c r="AH27" s="8">
        <v>0</v>
      </c>
      <c r="AI27" s="8">
        <v>0</v>
      </c>
      <c r="AJ27" s="8">
        <v>0</v>
      </c>
      <c r="AK27" s="8">
        <v>0</v>
      </c>
      <c r="AL27" s="8">
        <v>0</v>
      </c>
      <c r="AM27" s="8">
        <v>0</v>
      </c>
      <c r="AN27" s="8">
        <v>0</v>
      </c>
      <c r="AO27" s="8">
        <v>0</v>
      </c>
      <c r="AP27" s="2">
        <f t="shared" si="2"/>
        <v>0</v>
      </c>
    </row>
    <row r="28" spans="1:42" ht="12.75">
      <c r="A28" s="18" t="s">
        <v>1045</v>
      </c>
      <c r="B28" s="8">
        <v>0</v>
      </c>
      <c r="C28" s="8">
        <v>0</v>
      </c>
      <c r="D28" s="8">
        <v>0</v>
      </c>
      <c r="E28" s="8">
        <v>0</v>
      </c>
      <c r="F28" s="8">
        <v>0</v>
      </c>
      <c r="G28" s="8">
        <v>0</v>
      </c>
      <c r="H28" s="8">
        <v>0</v>
      </c>
      <c r="I28" s="8">
        <v>0</v>
      </c>
      <c r="J28" s="8">
        <v>0</v>
      </c>
      <c r="K28" s="8">
        <v>0</v>
      </c>
      <c r="L28" s="8">
        <v>0</v>
      </c>
      <c r="M28" s="8">
        <v>0</v>
      </c>
      <c r="N28" s="8">
        <v>0</v>
      </c>
      <c r="O28" s="8">
        <v>0</v>
      </c>
      <c r="P28" s="8">
        <v>0</v>
      </c>
      <c r="Q28" s="8">
        <v>0</v>
      </c>
      <c r="R28" s="8">
        <v>0</v>
      </c>
      <c r="S28" s="8">
        <v>0</v>
      </c>
      <c r="T28" s="8">
        <v>0</v>
      </c>
      <c r="U28" s="8">
        <v>0</v>
      </c>
      <c r="V28" s="8">
        <v>0</v>
      </c>
      <c r="W28" s="8">
        <v>0</v>
      </c>
      <c r="X28" s="8">
        <v>0</v>
      </c>
      <c r="Y28" s="8">
        <v>0</v>
      </c>
      <c r="Z28" s="8">
        <v>0</v>
      </c>
      <c r="AA28" s="8">
        <v>0</v>
      </c>
      <c r="AB28" s="8">
        <v>0</v>
      </c>
      <c r="AC28" s="8">
        <v>0</v>
      </c>
      <c r="AD28" s="8">
        <v>0</v>
      </c>
      <c r="AE28" s="8">
        <v>0</v>
      </c>
      <c r="AF28" s="8">
        <v>0</v>
      </c>
      <c r="AG28" s="8">
        <v>0</v>
      </c>
      <c r="AH28" s="8">
        <v>0</v>
      </c>
      <c r="AI28" s="8">
        <v>0</v>
      </c>
      <c r="AJ28" s="8">
        <v>0</v>
      </c>
      <c r="AK28" s="8">
        <v>0</v>
      </c>
      <c r="AL28" s="8">
        <v>0</v>
      </c>
      <c r="AM28" s="8">
        <v>0</v>
      </c>
      <c r="AN28" s="8">
        <v>0</v>
      </c>
      <c r="AO28" s="8">
        <v>0</v>
      </c>
      <c r="AP28" s="2">
        <f t="shared" si="2"/>
        <v>0</v>
      </c>
    </row>
    <row r="29" spans="1:42" ht="12.75">
      <c r="A29" s="18" t="s">
        <v>1046</v>
      </c>
      <c r="B29" s="8">
        <v>0</v>
      </c>
      <c r="C29" s="8">
        <v>0</v>
      </c>
      <c r="D29" s="8">
        <v>0</v>
      </c>
      <c r="E29" s="8">
        <v>0</v>
      </c>
      <c r="F29" s="8">
        <v>0</v>
      </c>
      <c r="G29" s="8">
        <v>0</v>
      </c>
      <c r="H29" s="8">
        <v>0</v>
      </c>
      <c r="I29" s="8">
        <v>0</v>
      </c>
      <c r="J29" s="8">
        <v>0</v>
      </c>
      <c r="K29" s="8">
        <v>0</v>
      </c>
      <c r="L29" s="8">
        <v>0</v>
      </c>
      <c r="M29" s="8">
        <v>0</v>
      </c>
      <c r="N29" s="8">
        <v>0</v>
      </c>
      <c r="O29" s="8">
        <v>0</v>
      </c>
      <c r="P29" s="8">
        <v>0</v>
      </c>
      <c r="Q29" s="8">
        <v>0</v>
      </c>
      <c r="R29" s="8">
        <v>0</v>
      </c>
      <c r="S29" s="8">
        <v>0</v>
      </c>
      <c r="T29" s="8">
        <v>0</v>
      </c>
      <c r="U29" s="8">
        <v>0</v>
      </c>
      <c r="V29" s="8">
        <v>0</v>
      </c>
      <c r="W29" s="8">
        <v>0</v>
      </c>
      <c r="X29" s="8">
        <v>0</v>
      </c>
      <c r="Y29" s="8">
        <v>0</v>
      </c>
      <c r="Z29" s="8">
        <v>0</v>
      </c>
      <c r="AA29" s="8">
        <v>0</v>
      </c>
      <c r="AB29" s="8">
        <v>0</v>
      </c>
      <c r="AC29" s="8">
        <v>0</v>
      </c>
      <c r="AD29" s="8">
        <v>0</v>
      </c>
      <c r="AE29" s="8">
        <v>0</v>
      </c>
      <c r="AF29" s="8">
        <v>0</v>
      </c>
      <c r="AG29" s="8">
        <v>0</v>
      </c>
      <c r="AH29" s="8">
        <v>0</v>
      </c>
      <c r="AI29" s="8">
        <v>0</v>
      </c>
      <c r="AJ29" s="8">
        <v>0</v>
      </c>
      <c r="AK29" s="8">
        <v>0</v>
      </c>
      <c r="AL29" s="8">
        <v>0</v>
      </c>
      <c r="AM29" s="8">
        <v>0</v>
      </c>
      <c r="AN29" s="8">
        <v>0</v>
      </c>
      <c r="AO29" s="8">
        <v>0</v>
      </c>
      <c r="AP29" s="2">
        <f t="shared" si="2"/>
        <v>0</v>
      </c>
    </row>
    <row r="30" spans="1:42" ht="12.75">
      <c r="A30" s="18" t="s">
        <v>1047</v>
      </c>
      <c r="B30" s="8">
        <v>0</v>
      </c>
      <c r="C30" s="8">
        <v>0</v>
      </c>
      <c r="D30" s="8">
        <v>0</v>
      </c>
      <c r="E30" s="8">
        <v>0</v>
      </c>
      <c r="F30" s="8">
        <v>0</v>
      </c>
      <c r="G30" s="8">
        <v>0</v>
      </c>
      <c r="H30" s="8">
        <v>0</v>
      </c>
      <c r="I30" s="8">
        <v>0</v>
      </c>
      <c r="J30" s="8">
        <v>0</v>
      </c>
      <c r="K30" s="8">
        <v>0</v>
      </c>
      <c r="L30" s="8">
        <v>0</v>
      </c>
      <c r="M30" s="8">
        <v>0</v>
      </c>
      <c r="N30" s="8">
        <v>0</v>
      </c>
      <c r="O30" s="8">
        <v>0</v>
      </c>
      <c r="P30" s="8">
        <v>0</v>
      </c>
      <c r="Q30" s="8">
        <v>0</v>
      </c>
      <c r="R30" s="8">
        <v>0</v>
      </c>
      <c r="S30" s="8">
        <v>0</v>
      </c>
      <c r="T30" s="8">
        <v>0</v>
      </c>
      <c r="U30" s="8">
        <v>0</v>
      </c>
      <c r="V30" s="8">
        <v>0</v>
      </c>
      <c r="W30" s="8">
        <v>0</v>
      </c>
      <c r="X30" s="8">
        <v>0</v>
      </c>
      <c r="Y30" s="8">
        <v>0</v>
      </c>
      <c r="Z30" s="8">
        <v>0</v>
      </c>
      <c r="AA30" s="8">
        <v>0</v>
      </c>
      <c r="AB30" s="8">
        <v>0</v>
      </c>
      <c r="AC30" s="8">
        <v>0</v>
      </c>
      <c r="AD30" s="8">
        <v>0</v>
      </c>
      <c r="AE30" s="8">
        <v>0</v>
      </c>
      <c r="AF30" s="8">
        <v>0</v>
      </c>
      <c r="AG30" s="8">
        <v>0</v>
      </c>
      <c r="AH30" s="8">
        <v>0</v>
      </c>
      <c r="AI30" s="8">
        <v>0</v>
      </c>
      <c r="AJ30" s="8">
        <v>0</v>
      </c>
      <c r="AK30" s="8">
        <v>0</v>
      </c>
      <c r="AL30" s="8">
        <v>0</v>
      </c>
      <c r="AM30" s="8">
        <v>0</v>
      </c>
      <c r="AN30" s="8">
        <v>0</v>
      </c>
      <c r="AO30" s="8">
        <v>0</v>
      </c>
      <c r="AP30" s="2">
        <f t="shared" si="2"/>
        <v>0</v>
      </c>
    </row>
    <row r="31" spans="1:42" ht="12.75">
      <c r="A31" s="20" t="s">
        <v>874</v>
      </c>
      <c r="B31" s="8">
        <v>0</v>
      </c>
      <c r="C31" s="8">
        <v>0</v>
      </c>
      <c r="D31" s="8">
        <v>0</v>
      </c>
      <c r="E31" s="8">
        <v>0</v>
      </c>
      <c r="F31" s="8">
        <v>0</v>
      </c>
      <c r="G31" s="8">
        <v>0</v>
      </c>
      <c r="H31" s="8">
        <v>0</v>
      </c>
      <c r="I31" s="8">
        <v>0</v>
      </c>
      <c r="J31" s="8">
        <v>0</v>
      </c>
      <c r="K31" s="8">
        <v>0</v>
      </c>
      <c r="L31" s="8">
        <v>0</v>
      </c>
      <c r="M31" s="8">
        <v>0</v>
      </c>
      <c r="N31" s="8">
        <v>0</v>
      </c>
      <c r="O31" s="8">
        <v>0</v>
      </c>
      <c r="P31" s="8">
        <v>0</v>
      </c>
      <c r="Q31" s="8">
        <v>0</v>
      </c>
      <c r="R31" s="8">
        <v>0</v>
      </c>
      <c r="S31" s="8">
        <v>0</v>
      </c>
      <c r="T31" s="8">
        <v>0</v>
      </c>
      <c r="U31" s="8">
        <v>0</v>
      </c>
      <c r="V31" s="8">
        <v>0</v>
      </c>
      <c r="W31" s="8">
        <v>0</v>
      </c>
      <c r="X31" s="8">
        <v>0</v>
      </c>
      <c r="Y31" s="8">
        <v>0</v>
      </c>
      <c r="Z31" s="8">
        <v>0</v>
      </c>
      <c r="AA31" s="8">
        <v>0</v>
      </c>
      <c r="AB31" s="8">
        <v>0</v>
      </c>
      <c r="AC31" s="8">
        <v>0</v>
      </c>
      <c r="AD31" s="8">
        <v>0</v>
      </c>
      <c r="AE31" s="8">
        <v>0</v>
      </c>
      <c r="AF31" s="8">
        <v>0</v>
      </c>
      <c r="AG31" s="8">
        <v>0</v>
      </c>
      <c r="AH31" s="8">
        <v>0</v>
      </c>
      <c r="AI31" s="8">
        <v>0</v>
      </c>
      <c r="AJ31" s="8">
        <v>0</v>
      </c>
      <c r="AK31" s="8">
        <v>0</v>
      </c>
      <c r="AL31" s="8">
        <v>0</v>
      </c>
      <c r="AM31" s="8">
        <v>0</v>
      </c>
      <c r="AN31" s="8">
        <v>0</v>
      </c>
      <c r="AO31" s="8">
        <v>0</v>
      </c>
      <c r="AP31" s="2">
        <f t="shared" si="2"/>
        <v>0</v>
      </c>
    </row>
    <row r="32" spans="1:42" ht="12.75">
      <c r="A32" s="20" t="s">
        <v>1033</v>
      </c>
      <c r="B32" s="8">
        <v>0</v>
      </c>
      <c r="C32" s="8">
        <v>0</v>
      </c>
      <c r="D32" s="8">
        <v>0</v>
      </c>
      <c r="E32" s="8">
        <v>0</v>
      </c>
      <c r="F32" s="8">
        <v>0</v>
      </c>
      <c r="G32" s="8">
        <v>0</v>
      </c>
      <c r="H32" s="8">
        <v>0</v>
      </c>
      <c r="I32" s="8">
        <v>0</v>
      </c>
      <c r="J32" s="8">
        <v>0</v>
      </c>
      <c r="K32" s="8">
        <v>0</v>
      </c>
      <c r="L32" s="8">
        <v>0</v>
      </c>
      <c r="M32" s="8">
        <v>0</v>
      </c>
      <c r="N32" s="8">
        <v>0</v>
      </c>
      <c r="O32" s="8">
        <v>0</v>
      </c>
      <c r="P32" s="8">
        <v>0</v>
      </c>
      <c r="Q32" s="8">
        <v>0</v>
      </c>
      <c r="R32" s="8">
        <v>0</v>
      </c>
      <c r="S32" s="8">
        <v>0</v>
      </c>
      <c r="T32" s="8">
        <v>0</v>
      </c>
      <c r="U32" s="8">
        <v>0</v>
      </c>
      <c r="V32" s="8">
        <v>0</v>
      </c>
      <c r="W32" s="8">
        <v>0</v>
      </c>
      <c r="X32" s="8">
        <v>0</v>
      </c>
      <c r="Y32" s="8">
        <v>0</v>
      </c>
      <c r="Z32" s="8">
        <v>0</v>
      </c>
      <c r="AA32" s="8">
        <v>0</v>
      </c>
      <c r="AB32" s="8">
        <v>0</v>
      </c>
      <c r="AC32" s="8">
        <v>0</v>
      </c>
      <c r="AD32" s="8">
        <v>0</v>
      </c>
      <c r="AE32" s="8">
        <v>0</v>
      </c>
      <c r="AF32" s="8">
        <v>0</v>
      </c>
      <c r="AG32" s="8">
        <v>0</v>
      </c>
      <c r="AH32" s="8">
        <v>0</v>
      </c>
      <c r="AI32" s="8">
        <v>0</v>
      </c>
      <c r="AJ32" s="8">
        <v>0</v>
      </c>
      <c r="AK32" s="8">
        <v>0</v>
      </c>
      <c r="AL32" s="8">
        <v>0</v>
      </c>
      <c r="AM32" s="8">
        <v>0</v>
      </c>
      <c r="AN32" s="8">
        <v>0</v>
      </c>
      <c r="AO32" s="8">
        <v>0</v>
      </c>
      <c r="AP32" s="2">
        <f t="shared" si="2"/>
        <v>0</v>
      </c>
    </row>
    <row r="33" spans="1:42" ht="12.75">
      <c r="A33" s="20" t="s">
        <v>781</v>
      </c>
      <c r="B33" s="8">
        <v>0</v>
      </c>
      <c r="C33" s="8">
        <v>0</v>
      </c>
      <c r="D33" s="8">
        <v>0</v>
      </c>
      <c r="E33" s="8">
        <v>0</v>
      </c>
      <c r="F33" s="8">
        <v>0</v>
      </c>
      <c r="G33" s="8">
        <v>0</v>
      </c>
      <c r="H33" s="8">
        <v>0</v>
      </c>
      <c r="I33" s="8">
        <v>0</v>
      </c>
      <c r="J33" s="8">
        <v>0</v>
      </c>
      <c r="K33" s="8">
        <v>0</v>
      </c>
      <c r="L33" s="8">
        <v>0</v>
      </c>
      <c r="M33" s="8">
        <v>0</v>
      </c>
      <c r="N33" s="8">
        <v>0</v>
      </c>
      <c r="O33" s="8">
        <v>0</v>
      </c>
      <c r="P33" s="8">
        <v>0</v>
      </c>
      <c r="Q33" s="8">
        <v>0</v>
      </c>
      <c r="R33" s="8">
        <v>0</v>
      </c>
      <c r="S33" s="8">
        <v>0</v>
      </c>
      <c r="T33" s="8">
        <v>0</v>
      </c>
      <c r="U33" s="8">
        <v>0</v>
      </c>
      <c r="V33" s="8">
        <v>0</v>
      </c>
      <c r="W33" s="8">
        <v>0</v>
      </c>
      <c r="X33" s="8">
        <v>0</v>
      </c>
      <c r="Y33" s="8">
        <v>0</v>
      </c>
      <c r="Z33" s="8">
        <v>0</v>
      </c>
      <c r="AA33" s="8">
        <v>0</v>
      </c>
      <c r="AB33" s="8">
        <v>0</v>
      </c>
      <c r="AC33" s="8">
        <v>0</v>
      </c>
      <c r="AD33" s="8">
        <v>0</v>
      </c>
      <c r="AE33" s="8">
        <v>0</v>
      </c>
      <c r="AF33" s="8">
        <v>0</v>
      </c>
      <c r="AG33" s="8">
        <v>0</v>
      </c>
      <c r="AH33" s="8">
        <v>0</v>
      </c>
      <c r="AI33" s="8">
        <v>0</v>
      </c>
      <c r="AJ33" s="8">
        <v>0</v>
      </c>
      <c r="AK33" s="8">
        <v>0</v>
      </c>
      <c r="AL33" s="8">
        <v>0</v>
      </c>
      <c r="AM33" s="8">
        <v>0</v>
      </c>
      <c r="AN33" s="8">
        <v>0</v>
      </c>
      <c r="AO33" s="8">
        <v>0</v>
      </c>
      <c r="AP33" s="2">
        <f t="shared" si="2"/>
        <v>0</v>
      </c>
    </row>
    <row r="34" spans="1:42" ht="12.75">
      <c r="A34" s="20" t="s">
        <v>782</v>
      </c>
      <c r="B34" s="8">
        <v>0</v>
      </c>
      <c r="C34" s="8">
        <v>0</v>
      </c>
      <c r="D34" s="8">
        <v>0</v>
      </c>
      <c r="E34" s="8">
        <v>0</v>
      </c>
      <c r="F34" s="8">
        <v>0</v>
      </c>
      <c r="G34" s="8">
        <v>0</v>
      </c>
      <c r="H34" s="8">
        <v>0</v>
      </c>
      <c r="I34" s="8">
        <v>0</v>
      </c>
      <c r="J34" s="8">
        <v>0</v>
      </c>
      <c r="K34" s="8">
        <v>0</v>
      </c>
      <c r="L34" s="8">
        <v>0</v>
      </c>
      <c r="M34" s="8">
        <v>0</v>
      </c>
      <c r="N34" s="8">
        <v>0</v>
      </c>
      <c r="O34" s="8">
        <v>0</v>
      </c>
      <c r="P34" s="8">
        <v>0</v>
      </c>
      <c r="Q34" s="8">
        <v>0</v>
      </c>
      <c r="R34" s="8">
        <v>0</v>
      </c>
      <c r="S34" s="8">
        <v>0</v>
      </c>
      <c r="T34" s="8">
        <v>0</v>
      </c>
      <c r="U34" s="8">
        <v>0</v>
      </c>
      <c r="V34" s="8">
        <v>0</v>
      </c>
      <c r="W34" s="8">
        <v>0</v>
      </c>
      <c r="X34" s="8">
        <v>0</v>
      </c>
      <c r="Y34" s="8">
        <v>0</v>
      </c>
      <c r="Z34" s="8">
        <v>0</v>
      </c>
      <c r="AA34" s="8">
        <v>0</v>
      </c>
      <c r="AB34" s="8">
        <v>0</v>
      </c>
      <c r="AC34" s="8">
        <v>0</v>
      </c>
      <c r="AD34" s="8">
        <v>0</v>
      </c>
      <c r="AE34" s="8">
        <v>0</v>
      </c>
      <c r="AF34" s="8">
        <v>0</v>
      </c>
      <c r="AG34" s="8">
        <v>0</v>
      </c>
      <c r="AH34" s="8">
        <v>0</v>
      </c>
      <c r="AI34" s="8">
        <v>0</v>
      </c>
      <c r="AJ34" s="8">
        <v>0</v>
      </c>
      <c r="AK34" s="8">
        <v>0</v>
      </c>
      <c r="AL34" s="8">
        <v>0</v>
      </c>
      <c r="AM34" s="8">
        <v>0</v>
      </c>
      <c r="AN34" s="8">
        <v>0</v>
      </c>
      <c r="AO34" s="8">
        <v>0</v>
      </c>
      <c r="AP34" s="3">
        <f t="shared" si="2"/>
        <v>0</v>
      </c>
    </row>
    <row r="35" spans="1:41" ht="12.75">
      <c r="A35" s="60"/>
      <c r="B35" s="226">
        <f>IF(B13+B14+B16+B17+B18+B19+B20+B21+B22&gt;B9,"Sped Total Error","")</f>
      </c>
      <c r="C35" s="225">
        <f aca="true" t="shared" si="3" ref="C35:AO35">IF(C13+C14+C16+C17+C18+C19+C20+C21+C22&gt;C9,"Sped Total Error","")</f>
      </c>
      <c r="D35" s="225">
        <f t="shared" si="3"/>
      </c>
      <c r="E35" s="225">
        <f t="shared" si="3"/>
      </c>
      <c r="F35" s="225">
        <f t="shared" si="3"/>
      </c>
      <c r="G35" s="225">
        <f t="shared" si="3"/>
      </c>
      <c r="H35" s="225">
        <f t="shared" si="3"/>
      </c>
      <c r="I35" s="225">
        <f t="shared" si="3"/>
      </c>
      <c r="J35" s="225">
        <f t="shared" si="3"/>
      </c>
      <c r="K35" s="225">
        <f t="shared" si="3"/>
      </c>
      <c r="L35" s="225">
        <f t="shared" si="3"/>
      </c>
      <c r="M35" s="225">
        <f t="shared" si="3"/>
      </c>
      <c r="N35" s="225">
        <f t="shared" si="3"/>
      </c>
      <c r="O35" s="225">
        <f t="shared" si="3"/>
      </c>
      <c r="P35" s="225">
        <f t="shared" si="3"/>
      </c>
      <c r="Q35" s="225">
        <f t="shared" si="3"/>
      </c>
      <c r="R35" s="225">
        <f t="shared" si="3"/>
      </c>
      <c r="S35" s="225">
        <f t="shared" si="3"/>
      </c>
      <c r="T35" s="225">
        <f t="shared" si="3"/>
      </c>
      <c r="U35" s="225">
        <f t="shared" si="3"/>
      </c>
      <c r="V35" s="225">
        <f t="shared" si="3"/>
      </c>
      <c r="W35" s="225">
        <f t="shared" si="3"/>
      </c>
      <c r="X35" s="225">
        <f t="shared" si="3"/>
      </c>
      <c r="Y35" s="225">
        <f t="shared" si="3"/>
      </c>
      <c r="Z35" s="225">
        <f t="shared" si="3"/>
      </c>
      <c r="AA35" s="225">
        <f t="shared" si="3"/>
      </c>
      <c r="AB35" s="225">
        <f t="shared" si="3"/>
      </c>
      <c r="AC35" s="225">
        <f t="shared" si="3"/>
      </c>
      <c r="AD35" s="225">
        <f t="shared" si="3"/>
      </c>
      <c r="AE35" s="225">
        <f t="shared" si="3"/>
      </c>
      <c r="AF35" s="225">
        <f t="shared" si="3"/>
      </c>
      <c r="AG35" s="225">
        <f t="shared" si="3"/>
      </c>
      <c r="AH35" s="225">
        <f t="shared" si="3"/>
      </c>
      <c r="AI35" s="225">
        <f t="shared" si="3"/>
      </c>
      <c r="AJ35" s="225">
        <f t="shared" si="3"/>
      </c>
      <c r="AK35" s="225">
        <f t="shared" si="3"/>
      </c>
      <c r="AL35" s="225">
        <f t="shared" si="3"/>
      </c>
      <c r="AM35" s="225">
        <f t="shared" si="3"/>
      </c>
      <c r="AN35" s="225">
        <f t="shared" si="3"/>
      </c>
      <c r="AO35" s="225">
        <f t="shared" si="3"/>
      </c>
    </row>
    <row r="36" spans="1:41" ht="12.75">
      <c r="A36" s="60"/>
      <c r="B36" s="226">
        <f>IF(SUM(B25:B30)&gt;B9,"CATE Total Error","")</f>
      </c>
      <c r="C36" s="225">
        <f aca="true" t="shared" si="4" ref="C36:AO36">IF(SUM(C25:C30)&gt;C9,"CATE Total Error","")</f>
      </c>
      <c r="D36" s="225">
        <f t="shared" si="4"/>
      </c>
      <c r="E36" s="225">
        <f t="shared" si="4"/>
      </c>
      <c r="F36" s="225">
        <f t="shared" si="4"/>
      </c>
      <c r="G36" s="225">
        <f t="shared" si="4"/>
      </c>
      <c r="H36" s="225">
        <f t="shared" si="4"/>
      </c>
      <c r="I36" s="225">
        <f t="shared" si="4"/>
      </c>
      <c r="J36" s="225">
        <f t="shared" si="4"/>
      </c>
      <c r="K36" s="225">
        <f t="shared" si="4"/>
      </c>
      <c r="L36" s="225">
        <f t="shared" si="4"/>
      </c>
      <c r="M36" s="225">
        <f t="shared" si="4"/>
      </c>
      <c r="N36" s="225">
        <f t="shared" si="4"/>
      </c>
      <c r="O36" s="225">
        <f t="shared" si="4"/>
      </c>
      <c r="P36" s="225">
        <f t="shared" si="4"/>
      </c>
      <c r="Q36" s="225">
        <f t="shared" si="4"/>
      </c>
      <c r="R36" s="225">
        <f t="shared" si="4"/>
      </c>
      <c r="S36" s="225">
        <f t="shared" si="4"/>
      </c>
      <c r="T36" s="225">
        <f t="shared" si="4"/>
      </c>
      <c r="U36" s="225">
        <f t="shared" si="4"/>
      </c>
      <c r="V36" s="225">
        <f t="shared" si="4"/>
      </c>
      <c r="W36" s="225">
        <f t="shared" si="4"/>
      </c>
      <c r="X36" s="225">
        <f t="shared" si="4"/>
      </c>
      <c r="Y36" s="225">
        <f t="shared" si="4"/>
      </c>
      <c r="Z36" s="225">
        <f t="shared" si="4"/>
      </c>
      <c r="AA36" s="225">
        <f t="shared" si="4"/>
      </c>
      <c r="AB36" s="225">
        <f t="shared" si="4"/>
      </c>
      <c r="AC36" s="225">
        <f t="shared" si="4"/>
      </c>
      <c r="AD36" s="225">
        <f t="shared" si="4"/>
      </c>
      <c r="AE36" s="225">
        <f t="shared" si="4"/>
      </c>
      <c r="AF36" s="225">
        <f t="shared" si="4"/>
      </c>
      <c r="AG36" s="225">
        <f t="shared" si="4"/>
      </c>
      <c r="AH36" s="225">
        <f t="shared" si="4"/>
      </c>
      <c r="AI36" s="225">
        <f t="shared" si="4"/>
      </c>
      <c r="AJ36" s="225">
        <f t="shared" si="4"/>
      </c>
      <c r="AK36" s="225">
        <f t="shared" si="4"/>
      </c>
      <c r="AL36" s="225">
        <f t="shared" si="4"/>
      </c>
      <c r="AM36" s="225">
        <f t="shared" si="4"/>
      </c>
      <c r="AN36" s="225">
        <f t="shared" si="4"/>
      </c>
      <c r="AO36" s="225">
        <f t="shared" si="4"/>
      </c>
    </row>
    <row r="37" spans="1:42" s="32" customFormat="1" ht="11.25" customHeight="1">
      <c r="A37" s="60"/>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row>
    <row r="38" ht="12.75">
      <c r="A38" s="60"/>
    </row>
    <row r="39" ht="12.75">
      <c r="A39" s="60"/>
    </row>
    <row r="40" spans="1:42" s="32" customFormat="1" ht="11.25" customHeight="1">
      <c r="A40" s="61"/>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row>
    <row r="41" spans="1:42" s="32" customFormat="1" ht="11.25" customHeight="1">
      <c r="A41" s="6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row>
    <row r="42" spans="1:42" s="32" customFormat="1" ht="11.25" customHeight="1">
      <c r="A42" s="61"/>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row>
    <row r="43" spans="1:42" s="32" customFormat="1" ht="13.5" customHeight="1">
      <c r="A43" s="61"/>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row>
    <row r="44" spans="1:42" s="32" customFormat="1" ht="12.75">
      <c r="A44" s="62"/>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row>
  </sheetData>
  <sheetProtection password="EE5D" sheet="1" objects="1" scenarios="1"/>
  <mergeCells count="82">
    <mergeCell ref="AD11:AD12"/>
    <mergeCell ref="AE11:AE12"/>
    <mergeCell ref="AF11:AF12"/>
    <mergeCell ref="Z11:Z12"/>
    <mergeCell ref="AA11:AA12"/>
    <mergeCell ref="AB11:AB12"/>
    <mergeCell ref="AC11:AC12"/>
    <mergeCell ref="V11:V12"/>
    <mergeCell ref="W11:W12"/>
    <mergeCell ref="X11:X12"/>
    <mergeCell ref="Y11:Y12"/>
    <mergeCell ref="R11:R12"/>
    <mergeCell ref="S11:S12"/>
    <mergeCell ref="T11:T12"/>
    <mergeCell ref="U11:U12"/>
    <mergeCell ref="N11:N12"/>
    <mergeCell ref="O11:O12"/>
    <mergeCell ref="P11:P12"/>
    <mergeCell ref="Q11:Q12"/>
    <mergeCell ref="J11:J12"/>
    <mergeCell ref="K11:K12"/>
    <mergeCell ref="L11:L12"/>
    <mergeCell ref="M11:M12"/>
    <mergeCell ref="F11:F12"/>
    <mergeCell ref="G11:G12"/>
    <mergeCell ref="H11:H12"/>
    <mergeCell ref="I11:I12"/>
    <mergeCell ref="B11:B12"/>
    <mergeCell ref="C11:C12"/>
    <mergeCell ref="D11:D12"/>
    <mergeCell ref="E11:E12"/>
    <mergeCell ref="U1:U4"/>
    <mergeCell ref="V1:V4"/>
    <mergeCell ref="C1:C4"/>
    <mergeCell ref="D1:D4"/>
    <mergeCell ref="E1:E4"/>
    <mergeCell ref="F1:F4"/>
    <mergeCell ref="G1:G4"/>
    <mergeCell ref="I1:I4"/>
    <mergeCell ref="J1:J4"/>
    <mergeCell ref="K1:K4"/>
    <mergeCell ref="L1:L4"/>
    <mergeCell ref="M1:M4"/>
    <mergeCell ref="N1:N4"/>
    <mergeCell ref="B1:B4"/>
    <mergeCell ref="H1:H4"/>
    <mergeCell ref="O1:O4"/>
    <mergeCell ref="P1:P4"/>
    <mergeCell ref="Q1:Q4"/>
    <mergeCell ref="R1:R4"/>
    <mergeCell ref="W1:W4"/>
    <mergeCell ref="AD1:AD4"/>
    <mergeCell ref="X1:X4"/>
    <mergeCell ref="Y1:Y4"/>
    <mergeCell ref="S1:S4"/>
    <mergeCell ref="T1:T4"/>
    <mergeCell ref="Z1:Z4"/>
    <mergeCell ref="AH1:AH4"/>
    <mergeCell ref="AA1:AA4"/>
    <mergeCell ref="AB1:AB4"/>
    <mergeCell ref="AC1:AC4"/>
    <mergeCell ref="AE1:AE4"/>
    <mergeCell ref="AF1:AF4"/>
    <mergeCell ref="AG1:AG4"/>
    <mergeCell ref="AG11:AG12"/>
    <mergeCell ref="AH11:AH12"/>
    <mergeCell ref="AI11:AI12"/>
    <mergeCell ref="AJ11:AJ12"/>
    <mergeCell ref="AK11:AK12"/>
    <mergeCell ref="AJ1:AJ4"/>
    <mergeCell ref="AK1:AK4"/>
    <mergeCell ref="AI1:AI4"/>
    <mergeCell ref="AL11:AL12"/>
    <mergeCell ref="AM11:AM12"/>
    <mergeCell ref="AL1:AL4"/>
    <mergeCell ref="AM1:AM4"/>
    <mergeCell ref="AP1:AP4"/>
    <mergeCell ref="AO1:AO4"/>
    <mergeCell ref="AN1:AN4"/>
    <mergeCell ref="AN11:AN12"/>
    <mergeCell ref="AP11:AP12"/>
    <mergeCell ref="AO11:AO12"/>
  </mergeCells>
  <conditionalFormatting sqref="B25:AO34 B13:AO23">
    <cfRule type="cellIs" priority="1" dxfId="2" operator="greaterThan" stopIfTrue="1">
      <formula>B$9</formula>
    </cfRule>
  </conditionalFormatting>
  <conditionalFormatting sqref="B1:AO4">
    <cfRule type="cellIs" priority="2" dxfId="3" operator="equal" stopIfTrue="1">
      <formula>"ERROR: CDN NOT IN ORDER"</formula>
    </cfRule>
  </conditionalFormatting>
  <conditionalFormatting sqref="AP13:AP23 AP25:AP31 AP33:AP34">
    <cfRule type="cellIs" priority="3" dxfId="2" operator="greaterThan" stopIfTrue="1">
      <formula>$AP$9</formula>
    </cfRule>
  </conditionalFormatting>
  <conditionalFormatting sqref="B11:AO12">
    <cfRule type="cellIs" priority="4" dxfId="5" operator="equal" stopIfTrue="1">
      <formula>"Error:  0% Attendance"</formula>
    </cfRule>
  </conditionalFormatting>
  <conditionalFormatting sqref="AP1:AP4">
    <cfRule type="cellIs" priority="5" dxfId="6" operator="equal" stopIfTrue="1">
      <formula>"Enrollment Cap Violation"</formula>
    </cfRule>
  </conditionalFormatting>
  <dataValidations count="4">
    <dataValidation type="custom" allowBlank="1" showInputMessage="1" showErrorMessage="1" errorTitle="Number Not Allowed" error="The number you entered is not allowed.  Please be sure to enter in student enrollment counts, not ADA/FTE numbers.  Acceptable formatting includes numbers ending in &quot;.0&quot; or &quot;.5&quot;" sqref="B9:AO9">
      <formula1>MOD(B9,0.5)=0</formula1>
    </dataValidation>
    <dataValidation type="custom" allowBlank="1" showInputMessage="1" showErrorMessage="1" errorTitle="NUMBER ENROLLED NOT ALLOWED" error="This number is not valid for one or more reasons: The count exceeds total students enrolled for this CDN and/or is an ADA/FTE number. Be sure this count is of STUDENTS enrolled in this special progam and ends in &quot;.0&quot; or &quot;.5&quot;" sqref="B13:AO23 B25:AO34">
      <formula1>AND(B13&lt;=B$9,MOD(B13,0.5)=0)</formula1>
    </dataValidation>
    <dataValidation type="custom" allowBlank="1" showInputMessage="1" showErrorMessage="1" errorTitle="CDN OUT OF ORDER" error="Please be sure to list County District Numbers in Numerical Order." sqref="C8:AO8">
      <formula1>AND(C8&gt;=B8)</formula1>
    </dataValidation>
    <dataValidation allowBlank="1" showInputMessage="1" showErrorMessage="1" promptTitle="Percent of Attendance Warning" prompt="For Guidance in determining your charter school's percent of attendance, please refer to your prior school year's FSP Submitted track projection report or your Edit + PRF7D010 report." sqref="B10"/>
  </dataValidations>
  <printOptions headings="1" horizontalCentered="1" verticalCentered="1"/>
  <pageMargins left="0.33" right="0.33" top="0.5" bottom="0.5" header="0.5" footer="0.5"/>
  <pageSetup cellComments="asDisplayed" fitToWidth="5" horizontalDpi="600" verticalDpi="600" orientation="landscape" scale="74" r:id="rId1"/>
  <headerFooter alignWithMargins="0">
    <oddFooter>&amp;C&amp;A - page &amp;P of &amp;N
Printed on &amp;D</oddFooter>
  </headerFooter>
  <colBreaks count="4" manualBreakCount="4">
    <brk id="9" max="43" man="1"/>
    <brk id="17" max="43" man="1"/>
    <brk id="25" max="43" man="1"/>
    <brk id="33" max="43" man="1"/>
  </colBreaks>
  <ignoredErrors>
    <ignoredError sqref="F7" formula="1"/>
    <ignoredError sqref="C36:AO36 B36" formulaRange="1"/>
  </ignoredErrors>
</worksheet>
</file>

<file path=xl/worksheets/sheet3.xml><?xml version="1.0" encoding="utf-8"?>
<worksheet xmlns="http://schemas.openxmlformats.org/spreadsheetml/2006/main" xmlns:r="http://schemas.openxmlformats.org/officeDocument/2006/relationships">
  <dimension ref="A1:AK43"/>
  <sheetViews>
    <sheetView zoomScalePageLayoutView="0" workbookViewId="0" topLeftCell="A1">
      <pane xSplit="3" ySplit="2" topLeftCell="AA3" activePane="bottomRight" state="frozen"/>
      <selection pane="topLeft" activeCell="A1" sqref="A1"/>
      <selection pane="topRight" activeCell="D1" sqref="D1"/>
      <selection pane="bottomLeft" activeCell="A3" sqref="A3"/>
      <selection pane="bottomRight" activeCell="A1" sqref="A1"/>
    </sheetView>
  </sheetViews>
  <sheetFormatPr defaultColWidth="9.140625" defaultRowHeight="12.75"/>
  <cols>
    <col min="1" max="1" width="11.421875" style="42" bestFit="1" customWidth="1"/>
    <col min="2" max="2" width="11.7109375" style="40" customWidth="1"/>
    <col min="3" max="3" width="15.28125" style="40" bestFit="1" customWidth="1"/>
    <col min="4" max="4" width="12.421875" style="40" bestFit="1" customWidth="1"/>
    <col min="5" max="5" width="15.28125" style="40" bestFit="1" customWidth="1"/>
    <col min="6" max="6" width="12.140625" style="40" bestFit="1" customWidth="1"/>
    <col min="7" max="7" width="8.28125" style="40" bestFit="1" customWidth="1"/>
    <col min="8" max="8" width="7.8515625" style="40" bestFit="1" customWidth="1"/>
    <col min="9" max="9" width="9.421875" style="40" bestFit="1" customWidth="1"/>
    <col min="10" max="10" width="21.00390625" style="40" bestFit="1" customWidth="1"/>
    <col min="11" max="11" width="26.421875" style="40" bestFit="1" customWidth="1"/>
    <col min="12" max="12" width="18.421875" style="40" bestFit="1" customWidth="1"/>
    <col min="13" max="13" width="4.8515625" style="40" bestFit="1" customWidth="1"/>
    <col min="14" max="14" width="13.57421875" style="40" bestFit="1" customWidth="1"/>
    <col min="15" max="15" width="20.140625" style="40" bestFit="1" customWidth="1"/>
    <col min="16" max="16" width="16.7109375" style="40" bestFit="1" customWidth="1"/>
    <col min="17" max="17" width="12.7109375" style="40" bestFit="1" customWidth="1"/>
    <col min="18" max="18" width="12.00390625" style="40" bestFit="1" customWidth="1"/>
    <col min="19" max="19" width="9.140625" style="301" customWidth="1"/>
    <col min="20" max="20" width="9.57421875" style="40" bestFit="1" customWidth="1"/>
    <col min="21" max="21" width="4.8515625" style="40" bestFit="1" customWidth="1"/>
    <col min="22" max="22" width="13.57421875" style="40" bestFit="1" customWidth="1"/>
    <col min="23" max="23" width="13.8515625" style="40" bestFit="1" customWidth="1"/>
    <col min="24" max="24" width="9.28125" style="40" bestFit="1" customWidth="1"/>
    <col min="25" max="25" width="18.00390625" style="40" bestFit="1" customWidth="1"/>
    <col min="26" max="26" width="12.8515625" style="40" bestFit="1" customWidth="1"/>
    <col min="27" max="27" width="12.421875" style="40" bestFit="1" customWidth="1"/>
    <col min="28" max="28" width="14.140625" style="40" bestFit="1" customWidth="1"/>
    <col min="29" max="29" width="13.140625" style="40" bestFit="1" customWidth="1"/>
    <col min="30" max="30" width="21.8515625" style="40" bestFit="1" customWidth="1"/>
    <col min="31" max="31" width="9.00390625" style="40" bestFit="1" customWidth="1"/>
    <col min="32" max="32" width="16.8515625" style="40" bestFit="1" customWidth="1"/>
    <col min="33" max="33" width="18.8515625" style="40" bestFit="1" customWidth="1"/>
    <col min="34" max="34" width="18.8515625" style="301" customWidth="1"/>
    <col min="35" max="37" width="9.140625" style="305" customWidth="1"/>
    <col min="38" max="16384" width="9.140625" style="40" customWidth="1"/>
  </cols>
  <sheetData>
    <row r="1" spans="1:33" ht="12.75">
      <c r="A1" s="209"/>
      <c r="B1" s="210" t="s">
        <v>939</v>
      </c>
      <c r="C1" s="211"/>
      <c r="D1" s="212"/>
      <c r="E1" s="213"/>
      <c r="Y1" s="304" t="s">
        <v>1166</v>
      </c>
      <c r="Z1" s="304" t="s">
        <v>1167</v>
      </c>
      <c r="AA1" s="304" t="s">
        <v>1168</v>
      </c>
      <c r="AB1" s="304" t="s">
        <v>1169</v>
      </c>
      <c r="AC1" s="304" t="s">
        <v>1170</v>
      </c>
      <c r="AD1" s="304" t="s">
        <v>1171</v>
      </c>
      <c r="AE1" s="304" t="s">
        <v>1172</v>
      </c>
      <c r="AF1" s="304" t="s">
        <v>1173</v>
      </c>
      <c r="AG1" s="304" t="s">
        <v>1174</v>
      </c>
    </row>
    <row r="2" spans="1:37" ht="24" customHeight="1">
      <c r="A2" s="214" t="s">
        <v>951</v>
      </c>
      <c r="B2" s="215" t="s">
        <v>898</v>
      </c>
      <c r="C2" s="215" t="s">
        <v>952</v>
      </c>
      <c r="D2" s="215" t="s">
        <v>875</v>
      </c>
      <c r="E2" s="215" t="s">
        <v>953</v>
      </c>
      <c r="F2" s="215" t="s">
        <v>954</v>
      </c>
      <c r="G2" s="215" t="s">
        <v>955</v>
      </c>
      <c r="H2" s="215" t="s">
        <v>956</v>
      </c>
      <c r="I2" s="215" t="s">
        <v>957</v>
      </c>
      <c r="J2" s="215" t="s">
        <v>958</v>
      </c>
      <c r="K2" s="215" t="s">
        <v>959</v>
      </c>
      <c r="L2" s="215" t="s">
        <v>960</v>
      </c>
      <c r="M2" s="215" t="s">
        <v>961</v>
      </c>
      <c r="N2" s="215" t="s">
        <v>962</v>
      </c>
      <c r="O2" s="215" t="s">
        <v>963</v>
      </c>
      <c r="P2" s="215" t="s">
        <v>964</v>
      </c>
      <c r="Q2" s="215" t="s">
        <v>965</v>
      </c>
      <c r="R2" s="215" t="s">
        <v>966</v>
      </c>
      <c r="S2" s="301" t="s">
        <v>967</v>
      </c>
      <c r="T2" s="215" t="s">
        <v>968</v>
      </c>
      <c r="U2" s="215" t="s">
        <v>969</v>
      </c>
      <c r="V2" s="215" t="s">
        <v>970</v>
      </c>
      <c r="W2" s="215" t="s">
        <v>971</v>
      </c>
      <c r="X2" s="215" t="s">
        <v>972</v>
      </c>
      <c r="Y2" s="215" t="s">
        <v>973</v>
      </c>
      <c r="Z2" s="215" t="s">
        <v>974</v>
      </c>
      <c r="AA2" s="215" t="s">
        <v>975</v>
      </c>
      <c r="AB2" s="215" t="s">
        <v>976</v>
      </c>
      <c r="AC2" s="215" t="s">
        <v>977</v>
      </c>
      <c r="AD2" s="215" t="s">
        <v>978</v>
      </c>
      <c r="AE2" s="215" t="s">
        <v>979</v>
      </c>
      <c r="AF2" s="215" t="s">
        <v>980</v>
      </c>
      <c r="AG2" s="215" t="s">
        <v>981</v>
      </c>
      <c r="AH2" s="301" t="s">
        <v>1176</v>
      </c>
      <c r="AI2" s="306" t="s">
        <v>1161</v>
      </c>
      <c r="AJ2" s="306" t="s">
        <v>1162</v>
      </c>
      <c r="AK2" s="301"/>
    </row>
    <row r="3" spans="1:35" ht="12.75">
      <c r="A3" s="40" t="s">
        <v>45</v>
      </c>
      <c r="B3" s="216">
        <v>0</v>
      </c>
      <c r="C3" s="216">
        <v>0</v>
      </c>
      <c r="D3" s="41">
        <v>0</v>
      </c>
      <c r="E3" s="41">
        <v>0</v>
      </c>
      <c r="F3" s="41">
        <v>0</v>
      </c>
      <c r="G3" s="41">
        <v>0</v>
      </c>
      <c r="H3" s="41">
        <v>0</v>
      </c>
      <c r="I3" s="41">
        <v>0</v>
      </c>
      <c r="J3" s="41">
        <v>0</v>
      </c>
      <c r="K3" s="41">
        <v>0</v>
      </c>
      <c r="L3" s="41">
        <v>0</v>
      </c>
      <c r="M3" s="41">
        <v>0</v>
      </c>
      <c r="N3" s="41">
        <v>0</v>
      </c>
      <c r="O3" s="41">
        <v>0</v>
      </c>
      <c r="P3" s="41">
        <v>0</v>
      </c>
      <c r="Q3" s="41">
        <v>0</v>
      </c>
      <c r="R3" s="41">
        <v>0</v>
      </c>
      <c r="S3" s="302">
        <v>0</v>
      </c>
      <c r="T3" s="41">
        <v>0</v>
      </c>
      <c r="U3" s="41">
        <v>0</v>
      </c>
      <c r="V3" s="41">
        <v>0</v>
      </c>
      <c r="W3" s="41">
        <v>0</v>
      </c>
      <c r="X3" s="41">
        <v>0</v>
      </c>
      <c r="Y3" s="41">
        <v>0</v>
      </c>
      <c r="Z3" s="41">
        <v>0</v>
      </c>
      <c r="AA3" s="41">
        <v>0</v>
      </c>
      <c r="AB3" s="41">
        <v>0</v>
      </c>
      <c r="AC3" s="41">
        <v>0</v>
      </c>
      <c r="AD3" s="41">
        <v>0</v>
      </c>
      <c r="AE3" s="41">
        <v>0</v>
      </c>
      <c r="AF3" s="41">
        <v>0</v>
      </c>
      <c r="AG3" s="41">
        <v>0</v>
      </c>
      <c r="AH3" s="308">
        <f>Y3*5+Z3*3+AA3*5+AB3*3+AC3*3+AD3*2.7+AE3*2.3+AF3*2.8+AG3*4</f>
        <v>0</v>
      </c>
      <c r="AI3" s="307"/>
    </row>
    <row r="4" spans="1:35" ht="12.75">
      <c r="A4" s="40" t="s">
        <v>45</v>
      </c>
      <c r="B4" s="216">
        <v>0</v>
      </c>
      <c r="C4" s="216">
        <v>0</v>
      </c>
      <c r="D4" s="41">
        <v>0</v>
      </c>
      <c r="E4" s="41">
        <v>0</v>
      </c>
      <c r="F4" s="41">
        <v>0</v>
      </c>
      <c r="G4" s="41">
        <v>0</v>
      </c>
      <c r="H4" s="41">
        <v>0</v>
      </c>
      <c r="I4" s="41">
        <v>0</v>
      </c>
      <c r="J4" s="41">
        <v>0</v>
      </c>
      <c r="K4" s="41">
        <v>0</v>
      </c>
      <c r="L4" s="41">
        <v>0</v>
      </c>
      <c r="M4" s="41">
        <v>0</v>
      </c>
      <c r="N4" s="41">
        <v>0</v>
      </c>
      <c r="O4" s="41">
        <v>0</v>
      </c>
      <c r="P4" s="41">
        <v>0</v>
      </c>
      <c r="Q4" s="41">
        <v>0</v>
      </c>
      <c r="R4" s="41">
        <v>0</v>
      </c>
      <c r="S4" s="302">
        <v>0</v>
      </c>
      <c r="T4" s="41">
        <v>0</v>
      </c>
      <c r="U4" s="41">
        <v>0</v>
      </c>
      <c r="V4" s="41">
        <v>0</v>
      </c>
      <c r="W4" s="41">
        <v>0</v>
      </c>
      <c r="X4" s="41">
        <v>0</v>
      </c>
      <c r="Y4" s="41">
        <v>0</v>
      </c>
      <c r="Z4" s="41">
        <v>0</v>
      </c>
      <c r="AA4" s="41">
        <v>0</v>
      </c>
      <c r="AB4" s="41">
        <v>0</v>
      </c>
      <c r="AC4" s="41">
        <v>0</v>
      </c>
      <c r="AD4" s="41">
        <v>0</v>
      </c>
      <c r="AE4" s="41">
        <v>0</v>
      </c>
      <c r="AF4" s="41">
        <v>0</v>
      </c>
      <c r="AG4" s="41">
        <v>0</v>
      </c>
      <c r="AH4" s="308">
        <f aca="true" t="shared" si="0" ref="AH4:AH19">Y4*5+Z4*3+AA4*5+AB4*3+AC4*3+AD4*2.7+AE4*2.3+AF4*2.8+AG4*4</f>
        <v>0</v>
      </c>
      <c r="AI4" s="307"/>
    </row>
    <row r="5" spans="1:35" ht="12.75">
      <c r="A5" s="40" t="s">
        <v>45</v>
      </c>
      <c r="B5" s="216">
        <v>0</v>
      </c>
      <c r="C5" s="216">
        <v>0</v>
      </c>
      <c r="D5" s="41">
        <v>0</v>
      </c>
      <c r="E5" s="41">
        <v>0</v>
      </c>
      <c r="F5" s="41">
        <v>0</v>
      </c>
      <c r="G5" s="41">
        <v>0</v>
      </c>
      <c r="H5" s="41">
        <v>0</v>
      </c>
      <c r="I5" s="41">
        <v>0</v>
      </c>
      <c r="J5" s="41">
        <v>0</v>
      </c>
      <c r="K5" s="41">
        <v>0</v>
      </c>
      <c r="L5" s="41">
        <v>0</v>
      </c>
      <c r="M5" s="41">
        <v>0</v>
      </c>
      <c r="N5" s="41">
        <v>0</v>
      </c>
      <c r="O5" s="41">
        <v>0</v>
      </c>
      <c r="P5" s="41">
        <v>0</v>
      </c>
      <c r="Q5" s="41">
        <v>0</v>
      </c>
      <c r="R5" s="41">
        <v>0</v>
      </c>
      <c r="S5" s="302">
        <v>0</v>
      </c>
      <c r="T5" s="41">
        <v>0</v>
      </c>
      <c r="U5" s="41">
        <v>0</v>
      </c>
      <c r="V5" s="41">
        <v>0</v>
      </c>
      <c r="W5" s="41">
        <v>0</v>
      </c>
      <c r="X5" s="41">
        <v>0</v>
      </c>
      <c r="Y5" s="41">
        <v>0</v>
      </c>
      <c r="Z5" s="41">
        <v>0</v>
      </c>
      <c r="AA5" s="41">
        <v>0</v>
      </c>
      <c r="AB5" s="41">
        <v>0</v>
      </c>
      <c r="AC5" s="41">
        <v>0</v>
      </c>
      <c r="AD5" s="41">
        <v>0</v>
      </c>
      <c r="AE5" s="41">
        <v>0</v>
      </c>
      <c r="AF5" s="41">
        <v>0</v>
      </c>
      <c r="AG5" s="41">
        <v>0</v>
      </c>
      <c r="AH5" s="308">
        <f t="shared" si="0"/>
        <v>0</v>
      </c>
      <c r="AI5" s="307"/>
    </row>
    <row r="6" spans="1:35" ht="12.75">
      <c r="A6" s="40" t="s">
        <v>45</v>
      </c>
      <c r="B6" s="216">
        <v>0</v>
      </c>
      <c r="C6" s="216">
        <v>0</v>
      </c>
      <c r="D6" s="41">
        <v>0</v>
      </c>
      <c r="E6" s="41">
        <v>0</v>
      </c>
      <c r="F6" s="41">
        <v>0</v>
      </c>
      <c r="G6" s="41">
        <v>0</v>
      </c>
      <c r="H6" s="41">
        <v>0</v>
      </c>
      <c r="I6" s="41">
        <v>0</v>
      </c>
      <c r="J6" s="41">
        <v>0</v>
      </c>
      <c r="K6" s="41">
        <v>0</v>
      </c>
      <c r="L6" s="41">
        <v>0</v>
      </c>
      <c r="M6" s="41">
        <v>0</v>
      </c>
      <c r="N6" s="41">
        <v>0</v>
      </c>
      <c r="O6" s="41">
        <v>0</v>
      </c>
      <c r="P6" s="41">
        <v>0</v>
      </c>
      <c r="Q6" s="41">
        <v>0</v>
      </c>
      <c r="R6" s="41">
        <v>0</v>
      </c>
      <c r="S6" s="302">
        <v>0</v>
      </c>
      <c r="T6" s="41">
        <v>0</v>
      </c>
      <c r="U6" s="41">
        <v>0</v>
      </c>
      <c r="V6" s="41">
        <v>0</v>
      </c>
      <c r="W6" s="41">
        <v>0</v>
      </c>
      <c r="X6" s="41">
        <v>0</v>
      </c>
      <c r="Y6" s="41">
        <v>0</v>
      </c>
      <c r="Z6" s="41">
        <v>0</v>
      </c>
      <c r="AA6" s="41">
        <v>0</v>
      </c>
      <c r="AB6" s="41">
        <v>0</v>
      </c>
      <c r="AC6" s="41">
        <v>0</v>
      </c>
      <c r="AD6" s="41">
        <v>0</v>
      </c>
      <c r="AE6" s="41">
        <v>0</v>
      </c>
      <c r="AF6" s="41">
        <v>0</v>
      </c>
      <c r="AG6" s="41">
        <v>0</v>
      </c>
      <c r="AH6" s="308">
        <f t="shared" si="0"/>
        <v>0</v>
      </c>
      <c r="AI6" s="307"/>
    </row>
    <row r="7" spans="1:35" ht="12.75">
      <c r="A7" s="40" t="s">
        <v>45</v>
      </c>
      <c r="B7" s="216">
        <v>0</v>
      </c>
      <c r="C7" s="216">
        <v>0</v>
      </c>
      <c r="D7" s="41">
        <v>0</v>
      </c>
      <c r="E7" s="41">
        <v>0</v>
      </c>
      <c r="F7" s="41">
        <v>0</v>
      </c>
      <c r="G7" s="41">
        <v>0</v>
      </c>
      <c r="H7" s="41">
        <v>0</v>
      </c>
      <c r="I7" s="41">
        <v>0</v>
      </c>
      <c r="J7" s="41">
        <v>0</v>
      </c>
      <c r="K7" s="41">
        <v>0</v>
      </c>
      <c r="L7" s="41">
        <v>0</v>
      </c>
      <c r="M7" s="41">
        <v>0</v>
      </c>
      <c r="N7" s="41">
        <v>0</v>
      </c>
      <c r="O7" s="41">
        <v>0</v>
      </c>
      <c r="P7" s="41">
        <v>0</v>
      </c>
      <c r="Q7" s="41">
        <v>0</v>
      </c>
      <c r="R7" s="41">
        <v>0</v>
      </c>
      <c r="S7" s="302">
        <v>0</v>
      </c>
      <c r="T7" s="41">
        <v>0</v>
      </c>
      <c r="U7" s="41">
        <v>0</v>
      </c>
      <c r="V7" s="41">
        <v>0</v>
      </c>
      <c r="W7" s="41">
        <v>0</v>
      </c>
      <c r="X7" s="41">
        <v>0</v>
      </c>
      <c r="Y7" s="41">
        <v>0</v>
      </c>
      <c r="Z7" s="41">
        <v>0</v>
      </c>
      <c r="AA7" s="41">
        <v>0</v>
      </c>
      <c r="AB7" s="41">
        <v>0</v>
      </c>
      <c r="AC7" s="41">
        <v>0</v>
      </c>
      <c r="AD7" s="41">
        <v>0</v>
      </c>
      <c r="AE7" s="41">
        <v>0</v>
      </c>
      <c r="AF7" s="41">
        <v>0</v>
      </c>
      <c r="AG7" s="41">
        <v>0</v>
      </c>
      <c r="AH7" s="308">
        <f t="shared" si="0"/>
        <v>0</v>
      </c>
      <c r="AI7" s="307"/>
    </row>
    <row r="8" spans="1:35" ht="12.75">
      <c r="A8" s="40" t="s">
        <v>45</v>
      </c>
      <c r="B8" s="216">
        <v>0</v>
      </c>
      <c r="C8" s="216">
        <v>0</v>
      </c>
      <c r="D8" s="41">
        <v>0</v>
      </c>
      <c r="E8" s="41">
        <v>0</v>
      </c>
      <c r="F8" s="41">
        <v>0</v>
      </c>
      <c r="G8" s="41">
        <v>0</v>
      </c>
      <c r="H8" s="41">
        <v>0</v>
      </c>
      <c r="I8" s="41">
        <v>0</v>
      </c>
      <c r="J8" s="41">
        <v>0</v>
      </c>
      <c r="K8" s="41">
        <v>0</v>
      </c>
      <c r="L8" s="41">
        <v>0</v>
      </c>
      <c r="M8" s="41">
        <v>0</v>
      </c>
      <c r="N8" s="41">
        <v>0</v>
      </c>
      <c r="O8" s="41">
        <v>0</v>
      </c>
      <c r="P8" s="41">
        <v>0</v>
      </c>
      <c r="Q8" s="41">
        <v>0</v>
      </c>
      <c r="R8" s="41">
        <v>0</v>
      </c>
      <c r="S8" s="302">
        <v>0</v>
      </c>
      <c r="T8" s="41">
        <v>0</v>
      </c>
      <c r="U8" s="41">
        <v>0</v>
      </c>
      <c r="V8" s="41">
        <v>0</v>
      </c>
      <c r="W8" s="41">
        <v>0</v>
      </c>
      <c r="X8" s="41">
        <v>0</v>
      </c>
      <c r="Y8" s="41">
        <v>0</v>
      </c>
      <c r="Z8" s="41">
        <v>0</v>
      </c>
      <c r="AA8" s="41">
        <v>0</v>
      </c>
      <c r="AB8" s="41">
        <v>0</v>
      </c>
      <c r="AC8" s="41">
        <v>0</v>
      </c>
      <c r="AD8" s="41">
        <v>0</v>
      </c>
      <c r="AE8" s="41">
        <v>0</v>
      </c>
      <c r="AF8" s="41">
        <v>0</v>
      </c>
      <c r="AG8" s="41">
        <v>0</v>
      </c>
      <c r="AH8" s="308">
        <f t="shared" si="0"/>
        <v>0</v>
      </c>
      <c r="AI8" s="307"/>
    </row>
    <row r="9" spans="1:35" ht="12.75">
      <c r="A9" s="40" t="s">
        <v>45</v>
      </c>
      <c r="B9" s="216">
        <v>0</v>
      </c>
      <c r="C9" s="216">
        <v>0</v>
      </c>
      <c r="D9" s="41">
        <v>0</v>
      </c>
      <c r="E9" s="41">
        <v>0</v>
      </c>
      <c r="F9" s="41">
        <v>0</v>
      </c>
      <c r="G9" s="41">
        <v>0</v>
      </c>
      <c r="H9" s="41">
        <v>0</v>
      </c>
      <c r="I9" s="41">
        <v>0</v>
      </c>
      <c r="J9" s="41">
        <v>0</v>
      </c>
      <c r="K9" s="41">
        <v>0</v>
      </c>
      <c r="L9" s="41">
        <v>0</v>
      </c>
      <c r="M9" s="41">
        <v>0</v>
      </c>
      <c r="N9" s="41">
        <v>0</v>
      </c>
      <c r="O9" s="41">
        <v>0</v>
      </c>
      <c r="P9" s="41">
        <v>0</v>
      </c>
      <c r="Q9" s="41">
        <v>0</v>
      </c>
      <c r="R9" s="41">
        <v>0</v>
      </c>
      <c r="S9" s="302">
        <v>0</v>
      </c>
      <c r="T9" s="41">
        <v>0</v>
      </c>
      <c r="U9" s="41">
        <v>0</v>
      </c>
      <c r="V9" s="41">
        <v>0</v>
      </c>
      <c r="W9" s="41">
        <v>0</v>
      </c>
      <c r="X9" s="41">
        <v>0</v>
      </c>
      <c r="Y9" s="41">
        <v>0</v>
      </c>
      <c r="Z9" s="41">
        <v>0</v>
      </c>
      <c r="AA9" s="41">
        <v>0</v>
      </c>
      <c r="AB9" s="41">
        <v>0</v>
      </c>
      <c r="AC9" s="41">
        <v>0</v>
      </c>
      <c r="AD9" s="41">
        <v>0</v>
      </c>
      <c r="AE9" s="41">
        <v>0</v>
      </c>
      <c r="AF9" s="41">
        <v>0</v>
      </c>
      <c r="AG9" s="41">
        <v>0</v>
      </c>
      <c r="AH9" s="308">
        <f t="shared" si="0"/>
        <v>0</v>
      </c>
      <c r="AI9" s="307"/>
    </row>
    <row r="10" spans="1:35" ht="12.75">
      <c r="A10" s="40" t="s">
        <v>45</v>
      </c>
      <c r="B10" s="216">
        <v>0</v>
      </c>
      <c r="C10" s="216">
        <v>0</v>
      </c>
      <c r="D10" s="41">
        <v>0</v>
      </c>
      <c r="E10" s="41">
        <v>0</v>
      </c>
      <c r="F10" s="41">
        <v>0</v>
      </c>
      <c r="G10" s="41">
        <v>0</v>
      </c>
      <c r="H10" s="41">
        <v>0</v>
      </c>
      <c r="I10" s="41">
        <v>0</v>
      </c>
      <c r="J10" s="41">
        <v>0</v>
      </c>
      <c r="K10" s="41">
        <v>0</v>
      </c>
      <c r="L10" s="41">
        <v>0</v>
      </c>
      <c r="M10" s="41">
        <v>0</v>
      </c>
      <c r="N10" s="41">
        <v>0</v>
      </c>
      <c r="O10" s="41">
        <v>0</v>
      </c>
      <c r="P10" s="41">
        <v>0</v>
      </c>
      <c r="Q10" s="41">
        <v>0</v>
      </c>
      <c r="R10" s="41">
        <v>0</v>
      </c>
      <c r="S10" s="302">
        <v>0</v>
      </c>
      <c r="T10" s="41">
        <v>0</v>
      </c>
      <c r="U10" s="41">
        <v>0</v>
      </c>
      <c r="V10" s="41">
        <v>0</v>
      </c>
      <c r="W10" s="41">
        <v>0</v>
      </c>
      <c r="X10" s="41">
        <v>0</v>
      </c>
      <c r="Y10" s="41">
        <v>0</v>
      </c>
      <c r="Z10" s="41">
        <v>0</v>
      </c>
      <c r="AA10" s="41">
        <v>0</v>
      </c>
      <c r="AB10" s="41">
        <v>0</v>
      </c>
      <c r="AC10" s="41">
        <v>0</v>
      </c>
      <c r="AD10" s="41">
        <v>0</v>
      </c>
      <c r="AE10" s="41">
        <v>0</v>
      </c>
      <c r="AF10" s="41">
        <v>0</v>
      </c>
      <c r="AG10" s="41">
        <v>0</v>
      </c>
      <c r="AH10" s="308">
        <f t="shared" si="0"/>
        <v>0</v>
      </c>
      <c r="AI10" s="307"/>
    </row>
    <row r="11" spans="1:35" ht="12.75">
      <c r="A11" s="40" t="s">
        <v>45</v>
      </c>
      <c r="B11" s="216">
        <v>0</v>
      </c>
      <c r="C11" s="216">
        <v>0</v>
      </c>
      <c r="D11" s="41">
        <v>0</v>
      </c>
      <c r="E11" s="41">
        <v>0</v>
      </c>
      <c r="F11" s="41">
        <v>0</v>
      </c>
      <c r="G11" s="41">
        <v>0</v>
      </c>
      <c r="H11" s="41">
        <v>0</v>
      </c>
      <c r="I11" s="41">
        <v>0</v>
      </c>
      <c r="J11" s="41">
        <v>0</v>
      </c>
      <c r="K11" s="41">
        <v>0</v>
      </c>
      <c r="L11" s="41">
        <v>0</v>
      </c>
      <c r="M11" s="41">
        <v>0</v>
      </c>
      <c r="N11" s="41">
        <v>0</v>
      </c>
      <c r="O11" s="41">
        <v>0</v>
      </c>
      <c r="P11" s="41">
        <v>0</v>
      </c>
      <c r="Q11" s="41">
        <v>0</v>
      </c>
      <c r="R11" s="41">
        <v>0</v>
      </c>
      <c r="S11" s="302">
        <v>0</v>
      </c>
      <c r="T11" s="41">
        <v>0</v>
      </c>
      <c r="U11" s="41">
        <v>0</v>
      </c>
      <c r="V11" s="41">
        <v>0</v>
      </c>
      <c r="W11" s="41">
        <v>0</v>
      </c>
      <c r="X11" s="41">
        <v>0</v>
      </c>
      <c r="Y11" s="41">
        <v>0</v>
      </c>
      <c r="Z11" s="41">
        <v>0</v>
      </c>
      <c r="AA11" s="41">
        <v>0</v>
      </c>
      <c r="AB11" s="41">
        <v>0</v>
      </c>
      <c r="AC11" s="41">
        <v>0</v>
      </c>
      <c r="AD11" s="41">
        <v>0</v>
      </c>
      <c r="AE11" s="41">
        <v>0</v>
      </c>
      <c r="AF11" s="41">
        <v>0</v>
      </c>
      <c r="AG11" s="41">
        <v>0</v>
      </c>
      <c r="AH11" s="308">
        <f t="shared" si="0"/>
        <v>0</v>
      </c>
      <c r="AI11" s="307"/>
    </row>
    <row r="12" spans="1:35" ht="12.75">
      <c r="A12" s="40" t="s">
        <v>45</v>
      </c>
      <c r="B12" s="216">
        <v>0</v>
      </c>
      <c r="C12" s="216">
        <v>0</v>
      </c>
      <c r="D12" s="41">
        <v>0</v>
      </c>
      <c r="E12" s="41">
        <v>0</v>
      </c>
      <c r="F12" s="41">
        <v>0</v>
      </c>
      <c r="G12" s="41">
        <v>0</v>
      </c>
      <c r="H12" s="41">
        <v>0</v>
      </c>
      <c r="I12" s="41">
        <v>0</v>
      </c>
      <c r="J12" s="41">
        <v>0</v>
      </c>
      <c r="K12" s="41">
        <v>0</v>
      </c>
      <c r="L12" s="41">
        <v>0</v>
      </c>
      <c r="M12" s="41">
        <v>0</v>
      </c>
      <c r="N12" s="41">
        <v>0</v>
      </c>
      <c r="O12" s="41">
        <v>0</v>
      </c>
      <c r="P12" s="41">
        <v>0</v>
      </c>
      <c r="Q12" s="41">
        <v>0</v>
      </c>
      <c r="R12" s="41">
        <v>0</v>
      </c>
      <c r="S12" s="302">
        <v>0</v>
      </c>
      <c r="T12" s="41">
        <v>0</v>
      </c>
      <c r="U12" s="41">
        <v>0</v>
      </c>
      <c r="V12" s="41">
        <v>0</v>
      </c>
      <c r="W12" s="41">
        <v>0</v>
      </c>
      <c r="X12" s="41">
        <v>0</v>
      </c>
      <c r="Y12" s="41">
        <v>0</v>
      </c>
      <c r="Z12" s="41">
        <v>0</v>
      </c>
      <c r="AA12" s="41">
        <v>0</v>
      </c>
      <c r="AB12" s="41">
        <v>0</v>
      </c>
      <c r="AC12" s="41">
        <v>0</v>
      </c>
      <c r="AD12" s="41">
        <v>0</v>
      </c>
      <c r="AE12" s="41">
        <v>0</v>
      </c>
      <c r="AF12" s="41">
        <v>0</v>
      </c>
      <c r="AG12" s="41">
        <v>0</v>
      </c>
      <c r="AH12" s="308">
        <f t="shared" si="0"/>
        <v>0</v>
      </c>
      <c r="AI12" s="307"/>
    </row>
    <row r="13" spans="1:35" ht="12.75">
      <c r="A13" s="40" t="s">
        <v>45</v>
      </c>
      <c r="B13" s="216">
        <v>0</v>
      </c>
      <c r="C13" s="216">
        <v>0</v>
      </c>
      <c r="D13" s="41">
        <v>0</v>
      </c>
      <c r="E13" s="41">
        <v>0</v>
      </c>
      <c r="F13" s="41">
        <v>0</v>
      </c>
      <c r="G13" s="41">
        <v>0</v>
      </c>
      <c r="H13" s="41">
        <v>0</v>
      </c>
      <c r="I13" s="41">
        <v>0</v>
      </c>
      <c r="J13" s="41">
        <v>0</v>
      </c>
      <c r="K13" s="41">
        <v>0</v>
      </c>
      <c r="L13" s="41">
        <v>0</v>
      </c>
      <c r="M13" s="41">
        <v>0</v>
      </c>
      <c r="N13" s="41">
        <v>0</v>
      </c>
      <c r="O13" s="41">
        <v>0</v>
      </c>
      <c r="P13" s="41">
        <v>0</v>
      </c>
      <c r="Q13" s="41">
        <v>0</v>
      </c>
      <c r="R13" s="41">
        <v>0</v>
      </c>
      <c r="S13" s="302">
        <v>0</v>
      </c>
      <c r="T13" s="41">
        <v>0</v>
      </c>
      <c r="U13" s="41">
        <v>0</v>
      </c>
      <c r="V13" s="41">
        <v>0</v>
      </c>
      <c r="W13" s="41">
        <v>0</v>
      </c>
      <c r="X13" s="41">
        <v>0</v>
      </c>
      <c r="Y13" s="41">
        <v>0</v>
      </c>
      <c r="Z13" s="41">
        <v>0</v>
      </c>
      <c r="AA13" s="41">
        <v>0</v>
      </c>
      <c r="AB13" s="41">
        <v>0</v>
      </c>
      <c r="AC13" s="41">
        <v>0</v>
      </c>
      <c r="AD13" s="41">
        <v>0</v>
      </c>
      <c r="AE13" s="41">
        <v>0</v>
      </c>
      <c r="AF13" s="41">
        <v>0</v>
      </c>
      <c r="AG13" s="41">
        <v>0</v>
      </c>
      <c r="AH13" s="308">
        <f t="shared" si="0"/>
        <v>0</v>
      </c>
      <c r="AI13" s="307"/>
    </row>
    <row r="14" spans="1:35" ht="12.75">
      <c r="A14" s="40" t="s">
        <v>45</v>
      </c>
      <c r="B14" s="216">
        <v>0</v>
      </c>
      <c r="C14" s="216">
        <v>0</v>
      </c>
      <c r="D14" s="41">
        <v>0</v>
      </c>
      <c r="E14" s="41">
        <v>0</v>
      </c>
      <c r="F14" s="41">
        <v>0</v>
      </c>
      <c r="G14" s="41">
        <v>0</v>
      </c>
      <c r="H14" s="41">
        <v>0</v>
      </c>
      <c r="I14" s="41">
        <v>0</v>
      </c>
      <c r="J14" s="41">
        <v>0</v>
      </c>
      <c r="K14" s="41">
        <v>0</v>
      </c>
      <c r="L14" s="41">
        <v>0</v>
      </c>
      <c r="M14" s="41">
        <v>0</v>
      </c>
      <c r="N14" s="41">
        <v>0</v>
      </c>
      <c r="O14" s="41">
        <v>0</v>
      </c>
      <c r="P14" s="41">
        <v>0</v>
      </c>
      <c r="Q14" s="41">
        <v>0</v>
      </c>
      <c r="R14" s="41">
        <v>0</v>
      </c>
      <c r="S14" s="302">
        <v>0</v>
      </c>
      <c r="T14" s="41">
        <v>0</v>
      </c>
      <c r="U14" s="41">
        <v>0</v>
      </c>
      <c r="V14" s="41">
        <v>0</v>
      </c>
      <c r="W14" s="41">
        <v>0</v>
      </c>
      <c r="X14" s="41">
        <v>0</v>
      </c>
      <c r="Y14" s="41">
        <v>0</v>
      </c>
      <c r="Z14" s="41">
        <v>0</v>
      </c>
      <c r="AA14" s="41">
        <v>0</v>
      </c>
      <c r="AB14" s="41">
        <v>0</v>
      </c>
      <c r="AC14" s="41">
        <v>0</v>
      </c>
      <c r="AD14" s="41">
        <v>0</v>
      </c>
      <c r="AE14" s="41">
        <v>0</v>
      </c>
      <c r="AF14" s="41">
        <v>0</v>
      </c>
      <c r="AG14" s="41">
        <v>0</v>
      </c>
      <c r="AH14" s="308">
        <f t="shared" si="0"/>
        <v>0</v>
      </c>
      <c r="AI14" s="307"/>
    </row>
    <row r="15" spans="1:35" ht="12.75">
      <c r="A15" s="40" t="s">
        <v>45</v>
      </c>
      <c r="B15" s="216">
        <v>0</v>
      </c>
      <c r="C15" s="216">
        <v>0</v>
      </c>
      <c r="D15" s="41">
        <v>0</v>
      </c>
      <c r="E15" s="41">
        <v>0</v>
      </c>
      <c r="F15" s="41">
        <v>0</v>
      </c>
      <c r="G15" s="41">
        <v>0</v>
      </c>
      <c r="H15" s="41">
        <v>0</v>
      </c>
      <c r="I15" s="41">
        <v>0</v>
      </c>
      <c r="J15" s="41">
        <v>0</v>
      </c>
      <c r="K15" s="41">
        <v>0</v>
      </c>
      <c r="L15" s="41">
        <v>0</v>
      </c>
      <c r="M15" s="41">
        <v>0</v>
      </c>
      <c r="N15" s="41">
        <v>0</v>
      </c>
      <c r="O15" s="41">
        <v>0</v>
      </c>
      <c r="P15" s="41">
        <v>0</v>
      </c>
      <c r="Q15" s="41">
        <v>0</v>
      </c>
      <c r="R15" s="41">
        <v>0</v>
      </c>
      <c r="S15" s="302">
        <v>0</v>
      </c>
      <c r="T15" s="41">
        <v>0</v>
      </c>
      <c r="U15" s="41">
        <v>0</v>
      </c>
      <c r="V15" s="41">
        <v>0</v>
      </c>
      <c r="W15" s="41">
        <v>0</v>
      </c>
      <c r="X15" s="41">
        <v>0</v>
      </c>
      <c r="Y15" s="41">
        <v>0</v>
      </c>
      <c r="Z15" s="41">
        <v>0</v>
      </c>
      <c r="AA15" s="41">
        <v>0</v>
      </c>
      <c r="AB15" s="41">
        <v>0</v>
      </c>
      <c r="AC15" s="41">
        <v>0</v>
      </c>
      <c r="AD15" s="41">
        <v>0</v>
      </c>
      <c r="AE15" s="41">
        <v>0</v>
      </c>
      <c r="AF15" s="41">
        <v>0</v>
      </c>
      <c r="AG15" s="41">
        <v>0</v>
      </c>
      <c r="AH15" s="308">
        <f t="shared" si="0"/>
        <v>0</v>
      </c>
      <c r="AI15" s="307"/>
    </row>
    <row r="16" spans="1:35" ht="12.75">
      <c r="A16" s="40" t="s">
        <v>45</v>
      </c>
      <c r="B16" s="216">
        <v>0</v>
      </c>
      <c r="C16" s="216">
        <v>0</v>
      </c>
      <c r="D16" s="41">
        <v>0</v>
      </c>
      <c r="E16" s="41">
        <v>0</v>
      </c>
      <c r="F16" s="41">
        <v>0</v>
      </c>
      <c r="G16" s="41">
        <v>0</v>
      </c>
      <c r="H16" s="41">
        <v>0</v>
      </c>
      <c r="I16" s="41">
        <v>0</v>
      </c>
      <c r="J16" s="41">
        <v>0</v>
      </c>
      <c r="K16" s="41">
        <v>0</v>
      </c>
      <c r="L16" s="41">
        <v>0</v>
      </c>
      <c r="M16" s="41">
        <v>0</v>
      </c>
      <c r="N16" s="41">
        <v>0</v>
      </c>
      <c r="O16" s="41">
        <v>0</v>
      </c>
      <c r="P16" s="41">
        <v>0</v>
      </c>
      <c r="Q16" s="41">
        <v>0</v>
      </c>
      <c r="R16" s="41">
        <v>0</v>
      </c>
      <c r="S16" s="302">
        <v>0</v>
      </c>
      <c r="T16" s="41">
        <v>0</v>
      </c>
      <c r="U16" s="41">
        <v>0</v>
      </c>
      <c r="V16" s="41">
        <v>0</v>
      </c>
      <c r="W16" s="41">
        <v>0</v>
      </c>
      <c r="X16" s="41">
        <v>0</v>
      </c>
      <c r="Y16" s="41">
        <v>0</v>
      </c>
      <c r="Z16" s="41">
        <v>0</v>
      </c>
      <c r="AA16" s="41">
        <v>0</v>
      </c>
      <c r="AB16" s="41">
        <v>0</v>
      </c>
      <c r="AC16" s="41">
        <v>0</v>
      </c>
      <c r="AD16" s="41">
        <v>0</v>
      </c>
      <c r="AE16" s="41">
        <v>0</v>
      </c>
      <c r="AF16" s="41">
        <v>0</v>
      </c>
      <c r="AG16" s="41">
        <v>0</v>
      </c>
      <c r="AH16" s="308">
        <f t="shared" si="0"/>
        <v>0</v>
      </c>
      <c r="AI16" s="307"/>
    </row>
    <row r="17" spans="1:35" ht="12.75">
      <c r="A17" s="40" t="s">
        <v>45</v>
      </c>
      <c r="B17" s="216">
        <v>0</v>
      </c>
      <c r="C17" s="216">
        <v>0</v>
      </c>
      <c r="D17" s="41">
        <v>0</v>
      </c>
      <c r="E17" s="41">
        <v>0</v>
      </c>
      <c r="F17" s="41">
        <v>0</v>
      </c>
      <c r="G17" s="41">
        <v>0</v>
      </c>
      <c r="H17" s="41">
        <v>0</v>
      </c>
      <c r="I17" s="41">
        <v>0</v>
      </c>
      <c r="J17" s="41">
        <v>0</v>
      </c>
      <c r="K17" s="41">
        <v>0</v>
      </c>
      <c r="L17" s="41">
        <v>0</v>
      </c>
      <c r="M17" s="41">
        <v>0</v>
      </c>
      <c r="N17" s="41">
        <v>0</v>
      </c>
      <c r="O17" s="41">
        <v>0</v>
      </c>
      <c r="P17" s="41">
        <v>0</v>
      </c>
      <c r="Q17" s="41">
        <v>0</v>
      </c>
      <c r="R17" s="41">
        <v>0</v>
      </c>
      <c r="S17" s="302">
        <v>0</v>
      </c>
      <c r="T17" s="41">
        <v>0</v>
      </c>
      <c r="U17" s="41">
        <v>0</v>
      </c>
      <c r="V17" s="41">
        <v>0</v>
      </c>
      <c r="W17" s="41">
        <v>0</v>
      </c>
      <c r="X17" s="41">
        <v>0</v>
      </c>
      <c r="Y17" s="41">
        <v>0</v>
      </c>
      <c r="Z17" s="41">
        <v>0</v>
      </c>
      <c r="AA17" s="41">
        <v>0</v>
      </c>
      <c r="AB17" s="41">
        <v>0</v>
      </c>
      <c r="AC17" s="41">
        <v>0</v>
      </c>
      <c r="AD17" s="41">
        <v>0</v>
      </c>
      <c r="AE17" s="41">
        <v>0</v>
      </c>
      <c r="AF17" s="41">
        <v>0</v>
      </c>
      <c r="AG17" s="41">
        <v>0</v>
      </c>
      <c r="AH17" s="308">
        <f t="shared" si="0"/>
        <v>0</v>
      </c>
      <c r="AI17" s="307"/>
    </row>
    <row r="18" spans="1:35" ht="12.75">
      <c r="A18" s="40" t="s">
        <v>45</v>
      </c>
      <c r="B18" s="216">
        <v>0</v>
      </c>
      <c r="C18" s="216">
        <v>0</v>
      </c>
      <c r="D18" s="41">
        <v>0</v>
      </c>
      <c r="E18" s="41">
        <v>0</v>
      </c>
      <c r="F18" s="41">
        <v>0</v>
      </c>
      <c r="G18" s="41">
        <v>0</v>
      </c>
      <c r="H18" s="41">
        <v>0</v>
      </c>
      <c r="I18" s="41">
        <v>0</v>
      </c>
      <c r="J18" s="41">
        <v>0</v>
      </c>
      <c r="K18" s="41">
        <v>0</v>
      </c>
      <c r="L18" s="41">
        <v>0</v>
      </c>
      <c r="M18" s="41">
        <v>0</v>
      </c>
      <c r="N18" s="41">
        <v>0</v>
      </c>
      <c r="O18" s="41">
        <v>0</v>
      </c>
      <c r="P18" s="41">
        <v>0</v>
      </c>
      <c r="Q18" s="41">
        <v>0</v>
      </c>
      <c r="R18" s="41">
        <v>0</v>
      </c>
      <c r="S18" s="302">
        <v>0</v>
      </c>
      <c r="T18" s="41">
        <v>0</v>
      </c>
      <c r="U18" s="41">
        <v>0</v>
      </c>
      <c r="V18" s="41">
        <v>0</v>
      </c>
      <c r="W18" s="41">
        <v>0</v>
      </c>
      <c r="X18" s="41">
        <v>0</v>
      </c>
      <c r="Y18" s="41">
        <v>0</v>
      </c>
      <c r="Z18" s="41">
        <v>0</v>
      </c>
      <c r="AA18" s="41">
        <v>0</v>
      </c>
      <c r="AB18" s="41">
        <v>0</v>
      </c>
      <c r="AC18" s="41">
        <v>0</v>
      </c>
      <c r="AD18" s="41">
        <v>0</v>
      </c>
      <c r="AE18" s="41">
        <v>0</v>
      </c>
      <c r="AF18" s="41">
        <v>0</v>
      </c>
      <c r="AG18" s="41">
        <v>0</v>
      </c>
      <c r="AH18" s="308">
        <f t="shared" si="0"/>
        <v>0</v>
      </c>
      <c r="AI18" s="307"/>
    </row>
    <row r="19" spans="1:35" ht="12.75">
      <c r="A19" s="40" t="s">
        <v>45</v>
      </c>
      <c r="B19" s="216">
        <v>0</v>
      </c>
      <c r="C19" s="216">
        <v>0</v>
      </c>
      <c r="D19" s="41">
        <v>0</v>
      </c>
      <c r="E19" s="41">
        <v>0</v>
      </c>
      <c r="F19" s="41">
        <v>0</v>
      </c>
      <c r="G19" s="41">
        <v>0</v>
      </c>
      <c r="H19" s="41">
        <v>0</v>
      </c>
      <c r="I19" s="41">
        <v>0</v>
      </c>
      <c r="J19" s="41">
        <v>0</v>
      </c>
      <c r="K19" s="41">
        <v>0</v>
      </c>
      <c r="L19" s="41">
        <v>0</v>
      </c>
      <c r="M19" s="41">
        <v>0</v>
      </c>
      <c r="N19" s="41">
        <v>0</v>
      </c>
      <c r="O19" s="41">
        <v>0</v>
      </c>
      <c r="P19" s="41">
        <v>0</v>
      </c>
      <c r="Q19" s="41">
        <v>0</v>
      </c>
      <c r="R19" s="41">
        <v>0</v>
      </c>
      <c r="S19" s="302">
        <v>0</v>
      </c>
      <c r="T19" s="41">
        <v>0</v>
      </c>
      <c r="U19" s="41">
        <v>0</v>
      </c>
      <c r="V19" s="41">
        <v>0</v>
      </c>
      <c r="W19" s="41">
        <v>0</v>
      </c>
      <c r="X19" s="41">
        <v>0</v>
      </c>
      <c r="Y19" s="41">
        <v>0</v>
      </c>
      <c r="Z19" s="41">
        <v>0</v>
      </c>
      <c r="AA19" s="41">
        <v>0</v>
      </c>
      <c r="AB19" s="41">
        <v>0</v>
      </c>
      <c r="AC19" s="41">
        <v>0</v>
      </c>
      <c r="AD19" s="41">
        <v>0</v>
      </c>
      <c r="AE19" s="41">
        <v>0</v>
      </c>
      <c r="AF19" s="41">
        <v>0</v>
      </c>
      <c r="AG19" s="41">
        <v>0</v>
      </c>
      <c r="AH19" s="308">
        <f t="shared" si="0"/>
        <v>0</v>
      </c>
      <c r="AI19" s="307"/>
    </row>
    <row r="20" spans="1:35" ht="12.75">
      <c r="A20" s="40" t="s">
        <v>45</v>
      </c>
      <c r="B20" s="216">
        <v>0</v>
      </c>
      <c r="C20" s="216">
        <v>0</v>
      </c>
      <c r="D20" s="41">
        <v>0</v>
      </c>
      <c r="E20" s="41">
        <v>0</v>
      </c>
      <c r="F20" s="41">
        <v>0</v>
      </c>
      <c r="G20" s="41">
        <v>0</v>
      </c>
      <c r="H20" s="41">
        <v>0</v>
      </c>
      <c r="I20" s="41">
        <v>0</v>
      </c>
      <c r="J20" s="41">
        <v>0</v>
      </c>
      <c r="K20" s="41">
        <v>0</v>
      </c>
      <c r="L20" s="41">
        <v>0</v>
      </c>
      <c r="M20" s="41">
        <v>0</v>
      </c>
      <c r="N20" s="41">
        <v>0</v>
      </c>
      <c r="O20" s="41">
        <v>0</v>
      </c>
      <c r="P20" s="41">
        <v>0</v>
      </c>
      <c r="Q20" s="41">
        <v>0</v>
      </c>
      <c r="R20" s="41">
        <v>0</v>
      </c>
      <c r="S20" s="302">
        <v>0</v>
      </c>
      <c r="T20" s="41">
        <v>0</v>
      </c>
      <c r="U20" s="41">
        <v>0</v>
      </c>
      <c r="V20" s="41">
        <v>0</v>
      </c>
      <c r="W20" s="41">
        <v>0</v>
      </c>
      <c r="X20" s="41">
        <v>0</v>
      </c>
      <c r="Y20" s="41">
        <v>0</v>
      </c>
      <c r="Z20" s="41">
        <v>0</v>
      </c>
      <c r="AA20" s="41">
        <v>0</v>
      </c>
      <c r="AB20" s="41">
        <v>0</v>
      </c>
      <c r="AC20" s="41">
        <v>0</v>
      </c>
      <c r="AD20" s="41">
        <v>0</v>
      </c>
      <c r="AE20" s="41">
        <v>0</v>
      </c>
      <c r="AF20" s="41">
        <v>0</v>
      </c>
      <c r="AG20" s="41">
        <v>0</v>
      </c>
      <c r="AH20" s="308">
        <f aca="true" t="shared" si="1" ref="AH4:AH43">Y20*5+Z20*3+AA20*5+AB20*3+AC20*3+AD20*2.7+AE20*2.3+AF20*2.8+AG20*4</f>
        <v>0</v>
      </c>
      <c r="AI20" s="307"/>
    </row>
    <row r="21" spans="1:35" ht="12.75">
      <c r="A21" s="40" t="s">
        <v>45</v>
      </c>
      <c r="B21" s="216">
        <v>0</v>
      </c>
      <c r="C21" s="216">
        <v>0</v>
      </c>
      <c r="D21" s="41">
        <v>0</v>
      </c>
      <c r="E21" s="41">
        <v>0</v>
      </c>
      <c r="F21" s="41">
        <v>0</v>
      </c>
      <c r="G21" s="41">
        <v>0</v>
      </c>
      <c r="H21" s="41">
        <v>0</v>
      </c>
      <c r="I21" s="41">
        <v>0</v>
      </c>
      <c r="J21" s="41">
        <v>0</v>
      </c>
      <c r="K21" s="41">
        <v>0</v>
      </c>
      <c r="L21" s="41">
        <v>0</v>
      </c>
      <c r="M21" s="41">
        <v>0</v>
      </c>
      <c r="N21" s="41">
        <v>0</v>
      </c>
      <c r="O21" s="41">
        <v>0</v>
      </c>
      <c r="P21" s="41">
        <v>0</v>
      </c>
      <c r="Q21" s="41">
        <v>0</v>
      </c>
      <c r="R21" s="41">
        <v>0</v>
      </c>
      <c r="S21" s="302">
        <v>0</v>
      </c>
      <c r="T21" s="41">
        <v>0</v>
      </c>
      <c r="U21" s="41">
        <v>0</v>
      </c>
      <c r="V21" s="41">
        <v>0</v>
      </c>
      <c r="W21" s="41">
        <v>0</v>
      </c>
      <c r="X21" s="41">
        <v>0</v>
      </c>
      <c r="Y21" s="41">
        <v>0</v>
      </c>
      <c r="Z21" s="41">
        <v>0</v>
      </c>
      <c r="AA21" s="41">
        <v>0</v>
      </c>
      <c r="AB21" s="41">
        <v>0</v>
      </c>
      <c r="AC21" s="41">
        <v>0</v>
      </c>
      <c r="AD21" s="41">
        <v>0</v>
      </c>
      <c r="AE21" s="41">
        <v>0</v>
      </c>
      <c r="AF21" s="41">
        <v>0</v>
      </c>
      <c r="AG21" s="41">
        <v>0</v>
      </c>
      <c r="AH21" s="308">
        <f t="shared" si="1"/>
        <v>0</v>
      </c>
      <c r="AI21" s="307"/>
    </row>
    <row r="22" spans="1:35" ht="12.75">
      <c r="A22" s="40" t="s">
        <v>45</v>
      </c>
      <c r="B22" s="216">
        <v>0</v>
      </c>
      <c r="C22" s="216">
        <v>0</v>
      </c>
      <c r="D22" s="41">
        <v>0</v>
      </c>
      <c r="E22" s="41">
        <v>0</v>
      </c>
      <c r="F22" s="41">
        <v>0</v>
      </c>
      <c r="G22" s="41">
        <v>0</v>
      </c>
      <c r="H22" s="41">
        <v>0</v>
      </c>
      <c r="I22" s="41">
        <v>0</v>
      </c>
      <c r="J22" s="41">
        <v>0</v>
      </c>
      <c r="K22" s="41">
        <v>0</v>
      </c>
      <c r="L22" s="41">
        <v>0</v>
      </c>
      <c r="M22" s="41">
        <v>0</v>
      </c>
      <c r="N22" s="41">
        <v>0</v>
      </c>
      <c r="O22" s="41">
        <v>0</v>
      </c>
      <c r="P22" s="41">
        <v>0</v>
      </c>
      <c r="Q22" s="41">
        <v>0</v>
      </c>
      <c r="R22" s="41">
        <v>0</v>
      </c>
      <c r="S22" s="302">
        <v>0</v>
      </c>
      <c r="T22" s="41">
        <v>0</v>
      </c>
      <c r="U22" s="41">
        <v>0</v>
      </c>
      <c r="V22" s="41">
        <v>0</v>
      </c>
      <c r="W22" s="41">
        <v>0</v>
      </c>
      <c r="X22" s="41">
        <v>0</v>
      </c>
      <c r="Y22" s="41">
        <v>0</v>
      </c>
      <c r="Z22" s="41">
        <v>0</v>
      </c>
      <c r="AA22" s="41">
        <v>0</v>
      </c>
      <c r="AB22" s="41">
        <v>0</v>
      </c>
      <c r="AC22" s="41">
        <v>0</v>
      </c>
      <c r="AD22" s="41">
        <v>0</v>
      </c>
      <c r="AE22" s="41">
        <v>0</v>
      </c>
      <c r="AF22" s="41">
        <v>0</v>
      </c>
      <c r="AG22" s="41">
        <v>0</v>
      </c>
      <c r="AH22" s="308">
        <f t="shared" si="1"/>
        <v>0</v>
      </c>
      <c r="AI22" s="307"/>
    </row>
    <row r="23" spans="1:35" ht="12.75">
      <c r="A23" s="40" t="s">
        <v>45</v>
      </c>
      <c r="B23" s="216">
        <v>0</v>
      </c>
      <c r="C23" s="216">
        <v>0</v>
      </c>
      <c r="D23" s="41">
        <v>0</v>
      </c>
      <c r="E23" s="41">
        <v>0</v>
      </c>
      <c r="F23" s="41">
        <v>0</v>
      </c>
      <c r="G23" s="41">
        <v>0</v>
      </c>
      <c r="H23" s="41">
        <v>0</v>
      </c>
      <c r="I23" s="41">
        <v>0</v>
      </c>
      <c r="J23" s="41">
        <v>0</v>
      </c>
      <c r="K23" s="41">
        <v>0</v>
      </c>
      <c r="L23" s="41">
        <v>0</v>
      </c>
      <c r="M23" s="41">
        <v>0</v>
      </c>
      <c r="N23" s="41">
        <v>0</v>
      </c>
      <c r="O23" s="41">
        <v>0</v>
      </c>
      <c r="P23" s="41">
        <v>0</v>
      </c>
      <c r="Q23" s="41">
        <v>0</v>
      </c>
      <c r="R23" s="41">
        <v>0</v>
      </c>
      <c r="S23" s="302">
        <v>0</v>
      </c>
      <c r="T23" s="41">
        <v>0</v>
      </c>
      <c r="U23" s="41">
        <v>0</v>
      </c>
      <c r="V23" s="41">
        <v>0</v>
      </c>
      <c r="W23" s="41">
        <v>0</v>
      </c>
      <c r="X23" s="41">
        <v>0</v>
      </c>
      <c r="Y23" s="41">
        <v>0</v>
      </c>
      <c r="Z23" s="41">
        <v>0</v>
      </c>
      <c r="AA23" s="41">
        <v>0</v>
      </c>
      <c r="AB23" s="41">
        <v>0</v>
      </c>
      <c r="AC23" s="41">
        <v>0</v>
      </c>
      <c r="AD23" s="41">
        <v>0</v>
      </c>
      <c r="AE23" s="41">
        <v>0</v>
      </c>
      <c r="AF23" s="41">
        <v>0</v>
      </c>
      <c r="AG23" s="41">
        <v>0</v>
      </c>
      <c r="AH23" s="308">
        <f t="shared" si="1"/>
        <v>0</v>
      </c>
      <c r="AI23" s="307"/>
    </row>
    <row r="24" spans="1:35" ht="12.75">
      <c r="A24" s="40" t="s">
        <v>45</v>
      </c>
      <c r="B24" s="216">
        <v>0</v>
      </c>
      <c r="C24" s="216">
        <v>0</v>
      </c>
      <c r="D24" s="41">
        <v>0</v>
      </c>
      <c r="E24" s="41">
        <v>0</v>
      </c>
      <c r="F24" s="41">
        <v>0</v>
      </c>
      <c r="G24" s="41">
        <v>0</v>
      </c>
      <c r="H24" s="41">
        <v>0</v>
      </c>
      <c r="I24" s="41">
        <v>0</v>
      </c>
      <c r="J24" s="41">
        <v>0</v>
      </c>
      <c r="K24" s="41">
        <v>0</v>
      </c>
      <c r="L24" s="41">
        <v>0</v>
      </c>
      <c r="M24" s="41">
        <v>0</v>
      </c>
      <c r="N24" s="41">
        <v>0</v>
      </c>
      <c r="O24" s="41">
        <v>0</v>
      </c>
      <c r="P24" s="41">
        <v>0</v>
      </c>
      <c r="Q24" s="41">
        <v>0</v>
      </c>
      <c r="R24" s="41">
        <v>0</v>
      </c>
      <c r="S24" s="302">
        <v>0</v>
      </c>
      <c r="T24" s="41">
        <v>0</v>
      </c>
      <c r="U24" s="41">
        <v>0</v>
      </c>
      <c r="V24" s="41">
        <v>0</v>
      </c>
      <c r="W24" s="41">
        <v>0</v>
      </c>
      <c r="X24" s="41">
        <v>0</v>
      </c>
      <c r="Y24" s="41">
        <v>0</v>
      </c>
      <c r="Z24" s="41">
        <v>0</v>
      </c>
      <c r="AA24" s="41">
        <v>0</v>
      </c>
      <c r="AB24" s="41">
        <v>0</v>
      </c>
      <c r="AC24" s="41">
        <v>0</v>
      </c>
      <c r="AD24" s="41">
        <v>0</v>
      </c>
      <c r="AE24" s="41">
        <v>0</v>
      </c>
      <c r="AF24" s="41">
        <v>0</v>
      </c>
      <c r="AG24" s="41">
        <v>0</v>
      </c>
      <c r="AH24" s="308">
        <f t="shared" si="1"/>
        <v>0</v>
      </c>
      <c r="AI24" s="307"/>
    </row>
    <row r="25" spans="1:35" ht="12.75">
      <c r="A25" s="40" t="s">
        <v>45</v>
      </c>
      <c r="B25" s="216">
        <v>0</v>
      </c>
      <c r="C25" s="216">
        <v>0</v>
      </c>
      <c r="D25" s="41">
        <v>0</v>
      </c>
      <c r="E25" s="41">
        <v>0</v>
      </c>
      <c r="F25" s="41">
        <v>0</v>
      </c>
      <c r="G25" s="41">
        <v>0</v>
      </c>
      <c r="H25" s="41">
        <v>0</v>
      </c>
      <c r="I25" s="41">
        <v>0</v>
      </c>
      <c r="J25" s="41">
        <v>0</v>
      </c>
      <c r="K25" s="41">
        <v>0</v>
      </c>
      <c r="L25" s="41">
        <v>0</v>
      </c>
      <c r="M25" s="41">
        <v>0</v>
      </c>
      <c r="N25" s="41">
        <v>0</v>
      </c>
      <c r="O25" s="41">
        <v>0</v>
      </c>
      <c r="P25" s="41">
        <v>0</v>
      </c>
      <c r="Q25" s="41">
        <v>0</v>
      </c>
      <c r="R25" s="41">
        <v>0</v>
      </c>
      <c r="S25" s="302">
        <v>0</v>
      </c>
      <c r="T25" s="41">
        <v>0</v>
      </c>
      <c r="U25" s="41">
        <v>0</v>
      </c>
      <c r="V25" s="41">
        <v>0</v>
      </c>
      <c r="W25" s="41">
        <v>0</v>
      </c>
      <c r="X25" s="41">
        <v>0</v>
      </c>
      <c r="Y25" s="41">
        <v>0</v>
      </c>
      <c r="Z25" s="41">
        <v>0</v>
      </c>
      <c r="AA25" s="41">
        <v>0</v>
      </c>
      <c r="AB25" s="41">
        <v>0</v>
      </c>
      <c r="AC25" s="41">
        <v>0</v>
      </c>
      <c r="AD25" s="41">
        <v>0</v>
      </c>
      <c r="AE25" s="41">
        <v>0</v>
      </c>
      <c r="AF25" s="41">
        <v>0</v>
      </c>
      <c r="AG25" s="41">
        <v>0</v>
      </c>
      <c r="AH25" s="308">
        <f t="shared" si="1"/>
        <v>0</v>
      </c>
      <c r="AI25" s="307"/>
    </row>
    <row r="26" spans="1:35" ht="12.75">
      <c r="A26" s="40" t="s">
        <v>45</v>
      </c>
      <c r="B26" s="216">
        <v>0</v>
      </c>
      <c r="C26" s="216">
        <v>0</v>
      </c>
      <c r="D26" s="41">
        <v>0</v>
      </c>
      <c r="E26" s="41">
        <v>0</v>
      </c>
      <c r="F26" s="41">
        <v>0</v>
      </c>
      <c r="G26" s="41">
        <v>0</v>
      </c>
      <c r="H26" s="41">
        <v>0</v>
      </c>
      <c r="I26" s="41">
        <v>0</v>
      </c>
      <c r="J26" s="41">
        <v>0</v>
      </c>
      <c r="K26" s="41">
        <v>0</v>
      </c>
      <c r="L26" s="41">
        <v>0</v>
      </c>
      <c r="M26" s="41">
        <v>0</v>
      </c>
      <c r="N26" s="41">
        <v>0</v>
      </c>
      <c r="O26" s="41">
        <v>0</v>
      </c>
      <c r="P26" s="41">
        <v>0</v>
      </c>
      <c r="Q26" s="41">
        <v>0</v>
      </c>
      <c r="R26" s="41">
        <v>0</v>
      </c>
      <c r="S26" s="302">
        <v>0</v>
      </c>
      <c r="T26" s="41">
        <v>0</v>
      </c>
      <c r="U26" s="41">
        <v>0</v>
      </c>
      <c r="V26" s="41">
        <v>0</v>
      </c>
      <c r="W26" s="41">
        <v>0</v>
      </c>
      <c r="X26" s="41">
        <v>0</v>
      </c>
      <c r="Y26" s="41">
        <v>0</v>
      </c>
      <c r="Z26" s="41">
        <v>0</v>
      </c>
      <c r="AA26" s="41">
        <v>0</v>
      </c>
      <c r="AB26" s="41">
        <v>0</v>
      </c>
      <c r="AC26" s="41">
        <v>0</v>
      </c>
      <c r="AD26" s="41">
        <v>0</v>
      </c>
      <c r="AE26" s="41">
        <v>0</v>
      </c>
      <c r="AF26" s="41">
        <v>0</v>
      </c>
      <c r="AG26" s="41">
        <v>0</v>
      </c>
      <c r="AH26" s="308">
        <f t="shared" si="1"/>
        <v>0</v>
      </c>
      <c r="AI26" s="307"/>
    </row>
    <row r="27" spans="1:35" ht="12.75">
      <c r="A27" s="40" t="s">
        <v>45</v>
      </c>
      <c r="B27" s="216">
        <v>0</v>
      </c>
      <c r="C27" s="216">
        <v>0</v>
      </c>
      <c r="D27" s="41">
        <v>0</v>
      </c>
      <c r="E27" s="41">
        <v>0</v>
      </c>
      <c r="F27" s="41">
        <v>0</v>
      </c>
      <c r="G27" s="41">
        <v>0</v>
      </c>
      <c r="H27" s="41">
        <v>0</v>
      </c>
      <c r="I27" s="41">
        <v>0</v>
      </c>
      <c r="J27" s="41">
        <v>0</v>
      </c>
      <c r="K27" s="41">
        <v>0</v>
      </c>
      <c r="L27" s="41">
        <v>0</v>
      </c>
      <c r="M27" s="41">
        <v>0</v>
      </c>
      <c r="N27" s="41">
        <v>0</v>
      </c>
      <c r="O27" s="41">
        <v>0</v>
      </c>
      <c r="P27" s="41">
        <v>0</v>
      </c>
      <c r="Q27" s="41">
        <v>0</v>
      </c>
      <c r="R27" s="41">
        <v>0</v>
      </c>
      <c r="S27" s="302">
        <v>0</v>
      </c>
      <c r="T27" s="41">
        <v>0</v>
      </c>
      <c r="U27" s="41">
        <v>0</v>
      </c>
      <c r="V27" s="41">
        <v>0</v>
      </c>
      <c r="W27" s="41">
        <v>0</v>
      </c>
      <c r="X27" s="41">
        <v>0</v>
      </c>
      <c r="Y27" s="41">
        <v>0</v>
      </c>
      <c r="Z27" s="41">
        <v>0</v>
      </c>
      <c r="AA27" s="41">
        <v>0</v>
      </c>
      <c r="AB27" s="41">
        <v>0</v>
      </c>
      <c r="AC27" s="41">
        <v>0</v>
      </c>
      <c r="AD27" s="41">
        <v>0</v>
      </c>
      <c r="AE27" s="41">
        <v>0</v>
      </c>
      <c r="AF27" s="41">
        <v>0</v>
      </c>
      <c r="AG27" s="41">
        <v>0</v>
      </c>
      <c r="AH27" s="308">
        <f t="shared" si="1"/>
        <v>0</v>
      </c>
      <c r="AI27" s="307"/>
    </row>
    <row r="28" spans="1:35" ht="12.75">
      <c r="A28" s="40" t="s">
        <v>45</v>
      </c>
      <c r="B28" s="216">
        <v>0</v>
      </c>
      <c r="C28" s="216">
        <v>0</v>
      </c>
      <c r="D28" s="41">
        <v>0</v>
      </c>
      <c r="E28" s="41">
        <v>0</v>
      </c>
      <c r="F28" s="41">
        <v>0</v>
      </c>
      <c r="G28" s="41">
        <v>0</v>
      </c>
      <c r="H28" s="41">
        <v>0</v>
      </c>
      <c r="I28" s="41">
        <v>0</v>
      </c>
      <c r="J28" s="41">
        <v>0</v>
      </c>
      <c r="K28" s="41">
        <v>0</v>
      </c>
      <c r="L28" s="41">
        <v>0</v>
      </c>
      <c r="M28" s="41">
        <v>0</v>
      </c>
      <c r="N28" s="41">
        <v>0</v>
      </c>
      <c r="O28" s="41">
        <v>0</v>
      </c>
      <c r="P28" s="41">
        <v>0</v>
      </c>
      <c r="Q28" s="41">
        <v>0</v>
      </c>
      <c r="R28" s="41">
        <v>0</v>
      </c>
      <c r="S28" s="302">
        <v>0</v>
      </c>
      <c r="T28" s="41">
        <v>0</v>
      </c>
      <c r="U28" s="41">
        <v>0</v>
      </c>
      <c r="V28" s="41">
        <v>0</v>
      </c>
      <c r="W28" s="41">
        <v>0</v>
      </c>
      <c r="X28" s="41">
        <v>0</v>
      </c>
      <c r="Y28" s="41">
        <v>0</v>
      </c>
      <c r="Z28" s="41">
        <v>0</v>
      </c>
      <c r="AA28" s="41">
        <v>0</v>
      </c>
      <c r="AB28" s="41">
        <v>0</v>
      </c>
      <c r="AC28" s="41">
        <v>0</v>
      </c>
      <c r="AD28" s="41">
        <v>0</v>
      </c>
      <c r="AE28" s="41">
        <v>0</v>
      </c>
      <c r="AF28" s="41">
        <v>0</v>
      </c>
      <c r="AG28" s="41">
        <v>0</v>
      </c>
      <c r="AH28" s="308">
        <f t="shared" si="1"/>
        <v>0</v>
      </c>
      <c r="AI28" s="307"/>
    </row>
    <row r="29" spans="1:35" ht="12.75">
      <c r="A29" s="40" t="s">
        <v>45</v>
      </c>
      <c r="B29" s="216">
        <v>0</v>
      </c>
      <c r="C29" s="216">
        <v>0</v>
      </c>
      <c r="D29" s="41">
        <v>0</v>
      </c>
      <c r="E29" s="41">
        <v>0</v>
      </c>
      <c r="F29" s="41">
        <v>0</v>
      </c>
      <c r="G29" s="41">
        <v>0</v>
      </c>
      <c r="H29" s="41">
        <v>0</v>
      </c>
      <c r="I29" s="41">
        <v>0</v>
      </c>
      <c r="J29" s="41">
        <v>0</v>
      </c>
      <c r="K29" s="41">
        <v>0</v>
      </c>
      <c r="L29" s="41">
        <v>0</v>
      </c>
      <c r="M29" s="41">
        <v>0</v>
      </c>
      <c r="N29" s="41">
        <v>0</v>
      </c>
      <c r="O29" s="41">
        <v>0</v>
      </c>
      <c r="P29" s="41">
        <v>0</v>
      </c>
      <c r="Q29" s="41">
        <v>0</v>
      </c>
      <c r="R29" s="41">
        <v>0</v>
      </c>
      <c r="S29" s="302">
        <v>0</v>
      </c>
      <c r="T29" s="41">
        <v>0</v>
      </c>
      <c r="U29" s="41">
        <v>0</v>
      </c>
      <c r="V29" s="41">
        <v>0</v>
      </c>
      <c r="W29" s="41">
        <v>0</v>
      </c>
      <c r="X29" s="41">
        <v>0</v>
      </c>
      <c r="Y29" s="41">
        <v>0</v>
      </c>
      <c r="Z29" s="41">
        <v>0</v>
      </c>
      <c r="AA29" s="41">
        <v>0</v>
      </c>
      <c r="AB29" s="41">
        <v>0</v>
      </c>
      <c r="AC29" s="41">
        <v>0</v>
      </c>
      <c r="AD29" s="41">
        <v>0</v>
      </c>
      <c r="AE29" s="41">
        <v>0</v>
      </c>
      <c r="AF29" s="41">
        <v>0</v>
      </c>
      <c r="AG29" s="41">
        <v>0</v>
      </c>
      <c r="AH29" s="308">
        <f t="shared" si="1"/>
        <v>0</v>
      </c>
      <c r="AI29" s="307"/>
    </row>
    <row r="30" spans="1:35" ht="12.75">
      <c r="A30" s="40" t="s">
        <v>45</v>
      </c>
      <c r="B30" s="216">
        <v>0</v>
      </c>
      <c r="C30" s="216">
        <v>0</v>
      </c>
      <c r="D30" s="41">
        <v>0</v>
      </c>
      <c r="E30" s="41">
        <v>0</v>
      </c>
      <c r="F30" s="41">
        <v>0</v>
      </c>
      <c r="G30" s="41">
        <v>0</v>
      </c>
      <c r="H30" s="41">
        <v>0</v>
      </c>
      <c r="I30" s="41">
        <v>0</v>
      </c>
      <c r="J30" s="41">
        <v>0</v>
      </c>
      <c r="K30" s="41">
        <v>0</v>
      </c>
      <c r="L30" s="41">
        <v>0</v>
      </c>
      <c r="M30" s="41">
        <v>0</v>
      </c>
      <c r="N30" s="41">
        <v>0</v>
      </c>
      <c r="O30" s="41">
        <v>0</v>
      </c>
      <c r="P30" s="41">
        <v>0</v>
      </c>
      <c r="Q30" s="41">
        <v>0</v>
      </c>
      <c r="R30" s="41">
        <v>0</v>
      </c>
      <c r="S30" s="302">
        <v>0</v>
      </c>
      <c r="T30" s="41">
        <v>0</v>
      </c>
      <c r="U30" s="41">
        <v>0</v>
      </c>
      <c r="V30" s="41">
        <v>0</v>
      </c>
      <c r="W30" s="41">
        <v>0</v>
      </c>
      <c r="X30" s="41">
        <v>0</v>
      </c>
      <c r="Y30" s="41">
        <v>0</v>
      </c>
      <c r="Z30" s="41">
        <v>0</v>
      </c>
      <c r="AA30" s="41">
        <v>0</v>
      </c>
      <c r="AB30" s="41">
        <v>0</v>
      </c>
      <c r="AC30" s="41">
        <v>0</v>
      </c>
      <c r="AD30" s="41">
        <v>0</v>
      </c>
      <c r="AE30" s="41">
        <v>0</v>
      </c>
      <c r="AF30" s="41">
        <v>0</v>
      </c>
      <c r="AG30" s="41">
        <v>0</v>
      </c>
      <c r="AH30" s="308">
        <f t="shared" si="1"/>
        <v>0</v>
      </c>
      <c r="AI30" s="307"/>
    </row>
    <row r="31" spans="1:35" ht="12.75">
      <c r="A31" s="40" t="s">
        <v>45</v>
      </c>
      <c r="B31" s="216">
        <v>0</v>
      </c>
      <c r="C31" s="216">
        <v>0</v>
      </c>
      <c r="D31" s="41">
        <v>0</v>
      </c>
      <c r="E31" s="41">
        <v>0</v>
      </c>
      <c r="F31" s="41">
        <v>0</v>
      </c>
      <c r="G31" s="41">
        <v>0</v>
      </c>
      <c r="H31" s="41">
        <v>0</v>
      </c>
      <c r="I31" s="41">
        <v>0</v>
      </c>
      <c r="J31" s="41">
        <v>0</v>
      </c>
      <c r="K31" s="41">
        <v>0</v>
      </c>
      <c r="L31" s="41">
        <v>0</v>
      </c>
      <c r="M31" s="41">
        <v>0</v>
      </c>
      <c r="N31" s="41">
        <v>0</v>
      </c>
      <c r="O31" s="41">
        <v>0</v>
      </c>
      <c r="P31" s="41">
        <v>0</v>
      </c>
      <c r="Q31" s="41">
        <v>0</v>
      </c>
      <c r="R31" s="41">
        <v>0</v>
      </c>
      <c r="S31" s="302">
        <v>0</v>
      </c>
      <c r="T31" s="41">
        <v>0</v>
      </c>
      <c r="U31" s="41">
        <v>0</v>
      </c>
      <c r="V31" s="41">
        <v>0</v>
      </c>
      <c r="W31" s="41">
        <v>0</v>
      </c>
      <c r="X31" s="41">
        <v>0</v>
      </c>
      <c r="Y31" s="41">
        <v>0</v>
      </c>
      <c r="Z31" s="41">
        <v>0</v>
      </c>
      <c r="AA31" s="41">
        <v>0</v>
      </c>
      <c r="AB31" s="41">
        <v>0</v>
      </c>
      <c r="AC31" s="41">
        <v>0</v>
      </c>
      <c r="AD31" s="41">
        <v>0</v>
      </c>
      <c r="AE31" s="41">
        <v>0</v>
      </c>
      <c r="AF31" s="41">
        <v>0</v>
      </c>
      <c r="AG31" s="41">
        <v>0</v>
      </c>
      <c r="AH31" s="308">
        <f t="shared" si="1"/>
        <v>0</v>
      </c>
      <c r="AI31" s="307"/>
    </row>
    <row r="32" spans="1:35" ht="12.75">
      <c r="A32" s="40" t="s">
        <v>45</v>
      </c>
      <c r="B32" s="216">
        <v>0</v>
      </c>
      <c r="C32" s="216">
        <v>0</v>
      </c>
      <c r="D32" s="41">
        <v>0</v>
      </c>
      <c r="E32" s="41">
        <v>0</v>
      </c>
      <c r="F32" s="41">
        <v>0</v>
      </c>
      <c r="G32" s="41">
        <v>0</v>
      </c>
      <c r="H32" s="41">
        <v>0</v>
      </c>
      <c r="I32" s="41">
        <v>0</v>
      </c>
      <c r="J32" s="41">
        <v>0</v>
      </c>
      <c r="K32" s="41">
        <v>0</v>
      </c>
      <c r="L32" s="41">
        <v>0</v>
      </c>
      <c r="M32" s="41">
        <v>0</v>
      </c>
      <c r="N32" s="41">
        <v>0</v>
      </c>
      <c r="O32" s="41">
        <v>0</v>
      </c>
      <c r="P32" s="41">
        <v>0</v>
      </c>
      <c r="Q32" s="41">
        <v>0</v>
      </c>
      <c r="R32" s="41">
        <v>0</v>
      </c>
      <c r="S32" s="302">
        <v>0</v>
      </c>
      <c r="T32" s="41">
        <v>0</v>
      </c>
      <c r="U32" s="41">
        <v>0</v>
      </c>
      <c r="V32" s="41">
        <v>0</v>
      </c>
      <c r="W32" s="41">
        <v>0</v>
      </c>
      <c r="X32" s="41">
        <v>0</v>
      </c>
      <c r="Y32" s="41">
        <v>0</v>
      </c>
      <c r="Z32" s="41">
        <v>0</v>
      </c>
      <c r="AA32" s="41">
        <v>0</v>
      </c>
      <c r="AB32" s="41">
        <v>0</v>
      </c>
      <c r="AC32" s="41">
        <v>0</v>
      </c>
      <c r="AD32" s="41">
        <v>0</v>
      </c>
      <c r="AE32" s="41">
        <v>0</v>
      </c>
      <c r="AF32" s="41">
        <v>0</v>
      </c>
      <c r="AG32" s="41">
        <v>0</v>
      </c>
      <c r="AH32" s="308">
        <f t="shared" si="1"/>
        <v>0</v>
      </c>
      <c r="AI32" s="307"/>
    </row>
    <row r="33" spans="1:35" ht="12.75">
      <c r="A33" s="40" t="s">
        <v>45</v>
      </c>
      <c r="B33" s="216">
        <v>0</v>
      </c>
      <c r="C33" s="216">
        <v>0</v>
      </c>
      <c r="D33" s="41">
        <v>0</v>
      </c>
      <c r="E33" s="41">
        <v>0</v>
      </c>
      <c r="F33" s="41">
        <v>0</v>
      </c>
      <c r="G33" s="41">
        <v>0</v>
      </c>
      <c r="H33" s="41">
        <v>0</v>
      </c>
      <c r="I33" s="41">
        <v>0</v>
      </c>
      <c r="J33" s="41">
        <v>0</v>
      </c>
      <c r="K33" s="41">
        <v>0</v>
      </c>
      <c r="L33" s="41">
        <v>0</v>
      </c>
      <c r="M33" s="41">
        <v>0</v>
      </c>
      <c r="N33" s="41">
        <v>0</v>
      </c>
      <c r="O33" s="41">
        <v>0</v>
      </c>
      <c r="P33" s="41">
        <v>0</v>
      </c>
      <c r="Q33" s="41">
        <v>0</v>
      </c>
      <c r="R33" s="41">
        <v>0</v>
      </c>
      <c r="S33" s="302">
        <v>0</v>
      </c>
      <c r="T33" s="41">
        <v>0</v>
      </c>
      <c r="U33" s="41">
        <v>0</v>
      </c>
      <c r="V33" s="41">
        <v>0</v>
      </c>
      <c r="W33" s="41">
        <v>0</v>
      </c>
      <c r="X33" s="41">
        <v>0</v>
      </c>
      <c r="Y33" s="41">
        <v>0</v>
      </c>
      <c r="Z33" s="41">
        <v>0</v>
      </c>
      <c r="AA33" s="41">
        <v>0</v>
      </c>
      <c r="AB33" s="41">
        <v>0</v>
      </c>
      <c r="AC33" s="41">
        <v>0</v>
      </c>
      <c r="AD33" s="41">
        <v>0</v>
      </c>
      <c r="AE33" s="41">
        <v>0</v>
      </c>
      <c r="AF33" s="41">
        <v>0</v>
      </c>
      <c r="AG33" s="41">
        <v>0</v>
      </c>
      <c r="AH33" s="308">
        <f t="shared" si="1"/>
        <v>0</v>
      </c>
      <c r="AI33" s="307"/>
    </row>
    <row r="34" spans="1:35" ht="12.75">
      <c r="A34" s="40" t="s">
        <v>45</v>
      </c>
      <c r="B34" s="216">
        <v>0</v>
      </c>
      <c r="C34" s="216">
        <v>0</v>
      </c>
      <c r="D34" s="41">
        <v>0</v>
      </c>
      <c r="E34" s="41">
        <v>0</v>
      </c>
      <c r="F34" s="41">
        <v>0</v>
      </c>
      <c r="G34" s="41">
        <v>0</v>
      </c>
      <c r="H34" s="41">
        <v>0</v>
      </c>
      <c r="I34" s="41">
        <v>0</v>
      </c>
      <c r="J34" s="41">
        <v>0</v>
      </c>
      <c r="K34" s="41">
        <v>0</v>
      </c>
      <c r="L34" s="41">
        <v>0</v>
      </c>
      <c r="M34" s="41">
        <v>0</v>
      </c>
      <c r="N34" s="41">
        <v>0</v>
      </c>
      <c r="O34" s="41">
        <v>0</v>
      </c>
      <c r="P34" s="41">
        <v>0</v>
      </c>
      <c r="Q34" s="41">
        <v>0</v>
      </c>
      <c r="R34" s="41">
        <v>0</v>
      </c>
      <c r="S34" s="302">
        <v>0</v>
      </c>
      <c r="T34" s="41">
        <v>0</v>
      </c>
      <c r="U34" s="41">
        <v>0</v>
      </c>
      <c r="V34" s="41">
        <v>0</v>
      </c>
      <c r="W34" s="41">
        <v>0</v>
      </c>
      <c r="X34" s="41">
        <v>0</v>
      </c>
      <c r="Y34" s="41">
        <v>0</v>
      </c>
      <c r="Z34" s="41">
        <v>0</v>
      </c>
      <c r="AA34" s="41">
        <v>0</v>
      </c>
      <c r="AB34" s="41">
        <v>0</v>
      </c>
      <c r="AC34" s="41">
        <v>0</v>
      </c>
      <c r="AD34" s="41">
        <v>0</v>
      </c>
      <c r="AE34" s="41">
        <v>0</v>
      </c>
      <c r="AF34" s="41">
        <v>0</v>
      </c>
      <c r="AG34" s="41">
        <v>0</v>
      </c>
      <c r="AH34" s="308">
        <f t="shared" si="1"/>
        <v>0</v>
      </c>
      <c r="AI34" s="307"/>
    </row>
    <row r="35" spans="1:35" ht="12.75">
      <c r="A35" s="40" t="s">
        <v>45</v>
      </c>
      <c r="B35" s="216">
        <v>0</v>
      </c>
      <c r="C35" s="216">
        <v>0</v>
      </c>
      <c r="D35" s="41">
        <v>0</v>
      </c>
      <c r="E35" s="41">
        <v>0</v>
      </c>
      <c r="F35" s="41">
        <v>0</v>
      </c>
      <c r="G35" s="41">
        <v>0</v>
      </c>
      <c r="H35" s="41">
        <v>0</v>
      </c>
      <c r="I35" s="41">
        <v>0</v>
      </c>
      <c r="J35" s="41">
        <v>0</v>
      </c>
      <c r="K35" s="41">
        <v>0</v>
      </c>
      <c r="L35" s="41">
        <v>0</v>
      </c>
      <c r="M35" s="41">
        <v>0</v>
      </c>
      <c r="N35" s="41">
        <v>0</v>
      </c>
      <c r="O35" s="41">
        <v>0</v>
      </c>
      <c r="P35" s="41">
        <v>0</v>
      </c>
      <c r="Q35" s="41">
        <v>0</v>
      </c>
      <c r="R35" s="41">
        <v>0</v>
      </c>
      <c r="S35" s="302">
        <v>0</v>
      </c>
      <c r="T35" s="41">
        <v>0</v>
      </c>
      <c r="U35" s="41">
        <v>0</v>
      </c>
      <c r="V35" s="41">
        <v>0</v>
      </c>
      <c r="W35" s="41">
        <v>0</v>
      </c>
      <c r="X35" s="41">
        <v>0</v>
      </c>
      <c r="Y35" s="41">
        <v>0</v>
      </c>
      <c r="Z35" s="41">
        <v>0</v>
      </c>
      <c r="AA35" s="41">
        <v>0</v>
      </c>
      <c r="AB35" s="41">
        <v>0</v>
      </c>
      <c r="AC35" s="41">
        <v>0</v>
      </c>
      <c r="AD35" s="41">
        <v>0</v>
      </c>
      <c r="AE35" s="41">
        <v>0</v>
      </c>
      <c r="AF35" s="41">
        <v>0</v>
      </c>
      <c r="AG35" s="41">
        <v>0</v>
      </c>
      <c r="AH35" s="308">
        <f t="shared" si="1"/>
        <v>0</v>
      </c>
      <c r="AI35" s="307"/>
    </row>
    <row r="36" spans="1:35" ht="12.75">
      <c r="A36" s="40" t="s">
        <v>45</v>
      </c>
      <c r="B36" s="216">
        <v>0</v>
      </c>
      <c r="C36" s="216">
        <v>0</v>
      </c>
      <c r="D36" s="41">
        <v>0</v>
      </c>
      <c r="E36" s="41">
        <v>0</v>
      </c>
      <c r="F36" s="41">
        <v>0</v>
      </c>
      <c r="G36" s="41">
        <v>0</v>
      </c>
      <c r="H36" s="41">
        <v>0</v>
      </c>
      <c r="I36" s="41">
        <v>0</v>
      </c>
      <c r="J36" s="41">
        <v>0</v>
      </c>
      <c r="K36" s="41">
        <v>0</v>
      </c>
      <c r="L36" s="41">
        <v>0</v>
      </c>
      <c r="M36" s="41">
        <v>0</v>
      </c>
      <c r="N36" s="41">
        <v>0</v>
      </c>
      <c r="O36" s="41">
        <v>0</v>
      </c>
      <c r="P36" s="41">
        <v>0</v>
      </c>
      <c r="Q36" s="41">
        <v>0</v>
      </c>
      <c r="R36" s="41">
        <v>0</v>
      </c>
      <c r="S36" s="302">
        <v>0</v>
      </c>
      <c r="T36" s="41">
        <v>0</v>
      </c>
      <c r="U36" s="41">
        <v>0</v>
      </c>
      <c r="V36" s="41">
        <v>0</v>
      </c>
      <c r="W36" s="41">
        <v>0</v>
      </c>
      <c r="X36" s="41">
        <v>0</v>
      </c>
      <c r="Y36" s="41">
        <v>0</v>
      </c>
      <c r="Z36" s="41">
        <v>0</v>
      </c>
      <c r="AA36" s="41">
        <v>0</v>
      </c>
      <c r="AB36" s="41">
        <v>0</v>
      </c>
      <c r="AC36" s="41">
        <v>0</v>
      </c>
      <c r="AD36" s="41">
        <v>0</v>
      </c>
      <c r="AE36" s="41">
        <v>0</v>
      </c>
      <c r="AF36" s="41">
        <v>0</v>
      </c>
      <c r="AG36" s="41">
        <v>0</v>
      </c>
      <c r="AH36" s="308">
        <f t="shared" si="1"/>
        <v>0</v>
      </c>
      <c r="AI36" s="307"/>
    </row>
    <row r="37" spans="1:35" ht="12.75">
      <c r="A37" s="40" t="s">
        <v>45</v>
      </c>
      <c r="B37" s="216">
        <v>0</v>
      </c>
      <c r="C37" s="216">
        <v>0</v>
      </c>
      <c r="D37" s="41">
        <v>0</v>
      </c>
      <c r="E37" s="41">
        <v>0</v>
      </c>
      <c r="F37" s="41">
        <v>0</v>
      </c>
      <c r="G37" s="41">
        <v>0</v>
      </c>
      <c r="H37" s="41">
        <v>0</v>
      </c>
      <c r="I37" s="41">
        <v>0</v>
      </c>
      <c r="J37" s="41">
        <v>0</v>
      </c>
      <c r="K37" s="41">
        <v>0</v>
      </c>
      <c r="L37" s="41">
        <v>0</v>
      </c>
      <c r="M37" s="41">
        <v>0</v>
      </c>
      <c r="N37" s="41">
        <v>0</v>
      </c>
      <c r="O37" s="41">
        <v>0</v>
      </c>
      <c r="P37" s="41">
        <v>0</v>
      </c>
      <c r="Q37" s="41">
        <v>0</v>
      </c>
      <c r="R37" s="41">
        <v>0</v>
      </c>
      <c r="S37" s="302">
        <v>0</v>
      </c>
      <c r="T37" s="41">
        <v>0</v>
      </c>
      <c r="U37" s="41">
        <v>0</v>
      </c>
      <c r="V37" s="41">
        <v>0</v>
      </c>
      <c r="W37" s="41">
        <v>0</v>
      </c>
      <c r="X37" s="41">
        <v>0</v>
      </c>
      <c r="Y37" s="41">
        <v>0</v>
      </c>
      <c r="Z37" s="41">
        <v>0</v>
      </c>
      <c r="AA37" s="41">
        <v>0</v>
      </c>
      <c r="AB37" s="41">
        <v>0</v>
      </c>
      <c r="AC37" s="41">
        <v>0</v>
      </c>
      <c r="AD37" s="41">
        <v>0</v>
      </c>
      <c r="AE37" s="41">
        <v>0</v>
      </c>
      <c r="AF37" s="41">
        <v>0</v>
      </c>
      <c r="AG37" s="41">
        <v>0</v>
      </c>
      <c r="AH37" s="308">
        <f t="shared" si="1"/>
        <v>0</v>
      </c>
      <c r="AI37" s="307"/>
    </row>
    <row r="38" spans="1:35" ht="12.75">
      <c r="A38" s="40" t="s">
        <v>45</v>
      </c>
      <c r="B38" s="216">
        <v>0</v>
      </c>
      <c r="C38" s="216">
        <v>0</v>
      </c>
      <c r="D38" s="41">
        <v>0</v>
      </c>
      <c r="E38" s="41">
        <v>0</v>
      </c>
      <c r="F38" s="41">
        <v>0</v>
      </c>
      <c r="G38" s="41">
        <v>0</v>
      </c>
      <c r="H38" s="41">
        <v>0</v>
      </c>
      <c r="I38" s="41">
        <v>0</v>
      </c>
      <c r="J38" s="41">
        <v>0</v>
      </c>
      <c r="K38" s="41">
        <v>0</v>
      </c>
      <c r="L38" s="41">
        <v>0</v>
      </c>
      <c r="M38" s="41">
        <v>0</v>
      </c>
      <c r="N38" s="41">
        <v>0</v>
      </c>
      <c r="O38" s="41">
        <v>0</v>
      </c>
      <c r="P38" s="41">
        <v>0</v>
      </c>
      <c r="Q38" s="41">
        <v>0</v>
      </c>
      <c r="R38" s="41">
        <v>0</v>
      </c>
      <c r="S38" s="302">
        <v>0</v>
      </c>
      <c r="T38" s="41">
        <v>0</v>
      </c>
      <c r="U38" s="41">
        <v>0</v>
      </c>
      <c r="V38" s="41">
        <v>0</v>
      </c>
      <c r="W38" s="41">
        <v>0</v>
      </c>
      <c r="X38" s="41">
        <v>0</v>
      </c>
      <c r="Y38" s="41">
        <v>0</v>
      </c>
      <c r="Z38" s="41">
        <v>0</v>
      </c>
      <c r="AA38" s="41">
        <v>0</v>
      </c>
      <c r="AB38" s="41">
        <v>0</v>
      </c>
      <c r="AC38" s="41">
        <v>0</v>
      </c>
      <c r="AD38" s="41">
        <v>0</v>
      </c>
      <c r="AE38" s="41">
        <v>0</v>
      </c>
      <c r="AF38" s="41">
        <v>0</v>
      </c>
      <c r="AG38" s="41">
        <v>0</v>
      </c>
      <c r="AH38" s="308">
        <f t="shared" si="1"/>
        <v>0</v>
      </c>
      <c r="AI38" s="307"/>
    </row>
    <row r="39" spans="1:35" ht="12.75">
      <c r="A39" s="40" t="s">
        <v>45</v>
      </c>
      <c r="B39" s="216">
        <v>0</v>
      </c>
      <c r="C39" s="216">
        <v>0</v>
      </c>
      <c r="D39" s="41">
        <v>0</v>
      </c>
      <c r="E39" s="41">
        <v>0</v>
      </c>
      <c r="F39" s="41">
        <v>0</v>
      </c>
      <c r="G39" s="41">
        <v>0</v>
      </c>
      <c r="H39" s="41">
        <v>0</v>
      </c>
      <c r="I39" s="41">
        <v>0</v>
      </c>
      <c r="J39" s="41">
        <v>0</v>
      </c>
      <c r="K39" s="41">
        <v>0</v>
      </c>
      <c r="L39" s="41">
        <v>0</v>
      </c>
      <c r="M39" s="41">
        <v>0</v>
      </c>
      <c r="N39" s="41">
        <v>0</v>
      </c>
      <c r="O39" s="41">
        <v>0</v>
      </c>
      <c r="P39" s="41">
        <v>0</v>
      </c>
      <c r="Q39" s="41">
        <v>0</v>
      </c>
      <c r="R39" s="41">
        <v>0</v>
      </c>
      <c r="S39" s="302">
        <v>0</v>
      </c>
      <c r="T39" s="41">
        <v>0</v>
      </c>
      <c r="U39" s="41">
        <v>0</v>
      </c>
      <c r="V39" s="41">
        <v>0</v>
      </c>
      <c r="W39" s="41">
        <v>0</v>
      </c>
      <c r="X39" s="41">
        <v>0</v>
      </c>
      <c r="Y39" s="41">
        <v>0</v>
      </c>
      <c r="Z39" s="41">
        <v>0</v>
      </c>
      <c r="AA39" s="41">
        <v>0</v>
      </c>
      <c r="AB39" s="41">
        <v>0</v>
      </c>
      <c r="AC39" s="41">
        <v>0</v>
      </c>
      <c r="AD39" s="41">
        <v>0</v>
      </c>
      <c r="AE39" s="41">
        <v>0</v>
      </c>
      <c r="AF39" s="41">
        <v>0</v>
      </c>
      <c r="AG39" s="41">
        <v>0</v>
      </c>
      <c r="AH39" s="308">
        <f t="shared" si="1"/>
        <v>0</v>
      </c>
      <c r="AI39" s="307"/>
    </row>
    <row r="40" spans="1:35" ht="12.75">
      <c r="A40" s="40" t="s">
        <v>45</v>
      </c>
      <c r="B40" s="216">
        <v>0</v>
      </c>
      <c r="C40" s="216">
        <v>0</v>
      </c>
      <c r="D40" s="41">
        <v>0</v>
      </c>
      <c r="E40" s="41">
        <v>0</v>
      </c>
      <c r="F40" s="41">
        <v>0</v>
      </c>
      <c r="G40" s="41">
        <v>0</v>
      </c>
      <c r="H40" s="41">
        <v>0</v>
      </c>
      <c r="I40" s="41">
        <v>0</v>
      </c>
      <c r="J40" s="41">
        <v>0</v>
      </c>
      <c r="K40" s="41">
        <v>0</v>
      </c>
      <c r="L40" s="41">
        <v>0</v>
      </c>
      <c r="M40" s="41">
        <v>0</v>
      </c>
      <c r="N40" s="41">
        <v>0</v>
      </c>
      <c r="O40" s="41">
        <v>0</v>
      </c>
      <c r="P40" s="41">
        <v>0</v>
      </c>
      <c r="Q40" s="41">
        <v>0</v>
      </c>
      <c r="R40" s="41">
        <v>0</v>
      </c>
      <c r="S40" s="302">
        <v>0</v>
      </c>
      <c r="T40" s="41">
        <v>0</v>
      </c>
      <c r="U40" s="41">
        <v>0</v>
      </c>
      <c r="V40" s="41">
        <v>0</v>
      </c>
      <c r="W40" s="41">
        <v>0</v>
      </c>
      <c r="X40" s="41">
        <v>0</v>
      </c>
      <c r="Y40" s="41">
        <v>0</v>
      </c>
      <c r="Z40" s="41">
        <v>0</v>
      </c>
      <c r="AA40" s="41">
        <v>0</v>
      </c>
      <c r="AB40" s="41">
        <v>0</v>
      </c>
      <c r="AC40" s="41">
        <v>0</v>
      </c>
      <c r="AD40" s="41">
        <v>0</v>
      </c>
      <c r="AE40" s="41">
        <v>0</v>
      </c>
      <c r="AF40" s="41">
        <v>0</v>
      </c>
      <c r="AG40" s="41">
        <v>0</v>
      </c>
      <c r="AH40" s="308">
        <f t="shared" si="1"/>
        <v>0</v>
      </c>
      <c r="AI40" s="307"/>
    </row>
    <row r="41" spans="1:35" ht="12.75">
      <c r="A41" s="40" t="s">
        <v>45</v>
      </c>
      <c r="B41" s="216">
        <v>0</v>
      </c>
      <c r="C41" s="216">
        <v>0</v>
      </c>
      <c r="D41" s="41">
        <v>0</v>
      </c>
      <c r="E41" s="41">
        <v>0</v>
      </c>
      <c r="F41" s="41">
        <v>0</v>
      </c>
      <c r="G41" s="41">
        <v>0</v>
      </c>
      <c r="H41" s="41">
        <v>0</v>
      </c>
      <c r="I41" s="41">
        <v>0</v>
      </c>
      <c r="J41" s="41">
        <v>0</v>
      </c>
      <c r="K41" s="41">
        <v>0</v>
      </c>
      <c r="L41" s="41">
        <v>0</v>
      </c>
      <c r="M41" s="41">
        <v>0</v>
      </c>
      <c r="N41" s="41">
        <v>0</v>
      </c>
      <c r="O41" s="41">
        <v>0</v>
      </c>
      <c r="P41" s="41">
        <v>0</v>
      </c>
      <c r="Q41" s="41">
        <v>0</v>
      </c>
      <c r="R41" s="41">
        <v>0</v>
      </c>
      <c r="S41" s="302">
        <v>0</v>
      </c>
      <c r="T41" s="41">
        <v>0</v>
      </c>
      <c r="U41" s="41">
        <v>0</v>
      </c>
      <c r="V41" s="41">
        <v>0</v>
      </c>
      <c r="W41" s="41">
        <v>0</v>
      </c>
      <c r="X41" s="41">
        <v>0</v>
      </c>
      <c r="Y41" s="41">
        <v>0</v>
      </c>
      <c r="Z41" s="41">
        <v>0</v>
      </c>
      <c r="AA41" s="41">
        <v>0</v>
      </c>
      <c r="AB41" s="41">
        <v>0</v>
      </c>
      <c r="AC41" s="41">
        <v>0</v>
      </c>
      <c r="AD41" s="41">
        <v>0</v>
      </c>
      <c r="AE41" s="41">
        <v>0</v>
      </c>
      <c r="AF41" s="41">
        <v>0</v>
      </c>
      <c r="AG41" s="41">
        <v>0</v>
      </c>
      <c r="AH41" s="308">
        <f t="shared" si="1"/>
        <v>0</v>
      </c>
      <c r="AI41" s="307"/>
    </row>
    <row r="42" spans="1:35" ht="12.75">
      <c r="A42" s="40" t="s">
        <v>45</v>
      </c>
      <c r="B42" s="216">
        <v>0</v>
      </c>
      <c r="C42" s="216">
        <v>0</v>
      </c>
      <c r="D42" s="41">
        <v>0</v>
      </c>
      <c r="E42" s="41">
        <v>0</v>
      </c>
      <c r="F42" s="41">
        <v>0</v>
      </c>
      <c r="G42" s="41">
        <v>0</v>
      </c>
      <c r="H42" s="41">
        <v>0</v>
      </c>
      <c r="I42" s="41">
        <v>0</v>
      </c>
      <c r="J42" s="41">
        <v>0</v>
      </c>
      <c r="K42" s="41">
        <v>0</v>
      </c>
      <c r="L42" s="41">
        <v>0</v>
      </c>
      <c r="M42" s="41">
        <v>0</v>
      </c>
      <c r="N42" s="41">
        <v>0</v>
      </c>
      <c r="O42" s="41">
        <v>0</v>
      </c>
      <c r="P42" s="41">
        <v>0</v>
      </c>
      <c r="Q42" s="41">
        <v>0</v>
      </c>
      <c r="R42" s="41">
        <v>0</v>
      </c>
      <c r="S42" s="302">
        <v>0</v>
      </c>
      <c r="T42" s="41">
        <v>0</v>
      </c>
      <c r="U42" s="41">
        <v>0</v>
      </c>
      <c r="V42" s="41">
        <v>0</v>
      </c>
      <c r="W42" s="41">
        <v>0</v>
      </c>
      <c r="X42" s="41">
        <v>0</v>
      </c>
      <c r="Y42" s="41">
        <v>0</v>
      </c>
      <c r="Z42" s="41">
        <v>0</v>
      </c>
      <c r="AA42" s="41">
        <v>0</v>
      </c>
      <c r="AB42" s="41">
        <v>0</v>
      </c>
      <c r="AC42" s="41">
        <v>0</v>
      </c>
      <c r="AD42" s="41">
        <v>0</v>
      </c>
      <c r="AE42" s="41">
        <v>0</v>
      </c>
      <c r="AF42" s="41">
        <v>0</v>
      </c>
      <c r="AG42" s="41">
        <v>0</v>
      </c>
      <c r="AH42" s="308">
        <f t="shared" si="1"/>
        <v>0</v>
      </c>
      <c r="AI42" s="307"/>
    </row>
    <row r="43" spans="1:35" ht="12.75">
      <c r="A43" s="40" t="s">
        <v>45</v>
      </c>
      <c r="B43" s="216">
        <v>0</v>
      </c>
      <c r="C43" s="216">
        <v>0</v>
      </c>
      <c r="D43" s="41">
        <v>0</v>
      </c>
      <c r="E43" s="41">
        <v>0</v>
      </c>
      <c r="F43" s="41">
        <v>0</v>
      </c>
      <c r="G43" s="41">
        <v>0</v>
      </c>
      <c r="H43" s="41">
        <v>0</v>
      </c>
      <c r="I43" s="41">
        <v>0</v>
      </c>
      <c r="J43" s="41">
        <v>0</v>
      </c>
      <c r="K43" s="41">
        <v>0</v>
      </c>
      <c r="L43" s="41">
        <v>0</v>
      </c>
      <c r="M43" s="41">
        <v>0</v>
      </c>
      <c r="N43" s="41">
        <v>0</v>
      </c>
      <c r="O43" s="41">
        <v>0</v>
      </c>
      <c r="P43" s="41">
        <v>0</v>
      </c>
      <c r="Q43" s="41">
        <v>0</v>
      </c>
      <c r="R43" s="41">
        <v>0</v>
      </c>
      <c r="S43" s="302">
        <v>0</v>
      </c>
      <c r="T43" s="41">
        <v>0</v>
      </c>
      <c r="U43" s="41">
        <v>0</v>
      </c>
      <c r="V43" s="41">
        <v>0</v>
      </c>
      <c r="W43" s="41">
        <v>0</v>
      </c>
      <c r="X43" s="41">
        <v>0</v>
      </c>
      <c r="Y43" s="41">
        <v>0</v>
      </c>
      <c r="Z43" s="41">
        <v>0</v>
      </c>
      <c r="AA43" s="41">
        <v>0</v>
      </c>
      <c r="AB43" s="41">
        <v>0</v>
      </c>
      <c r="AC43" s="41">
        <v>0</v>
      </c>
      <c r="AD43" s="41">
        <v>0</v>
      </c>
      <c r="AE43" s="41">
        <v>0</v>
      </c>
      <c r="AF43" s="41">
        <v>0</v>
      </c>
      <c r="AG43" s="41">
        <v>0</v>
      </c>
      <c r="AH43" s="308">
        <f t="shared" si="1"/>
        <v>0</v>
      </c>
      <c r="AI43" s="307"/>
    </row>
  </sheetData>
  <sheetProtection password="EE5D" sheet="1" selectLockedCells="1" selectUnlockedCells="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indexed="11"/>
    <pageSetUpPr fitToPage="1"/>
  </sheetPr>
  <dimension ref="A1:G83"/>
  <sheetViews>
    <sheetView zoomScalePageLayoutView="0" workbookViewId="0" topLeftCell="A1">
      <pane ySplit="6" topLeftCell="A7" activePane="bottomLeft" state="frozen"/>
      <selection pane="topLeft" activeCell="A1" sqref="A1"/>
      <selection pane="bottomLeft" activeCell="B7" sqref="B7"/>
    </sheetView>
  </sheetViews>
  <sheetFormatPr defaultColWidth="9.140625" defaultRowHeight="12.75"/>
  <cols>
    <col min="1" max="1" width="51.140625" style="0" customWidth="1"/>
    <col min="2" max="2" width="15.7109375" style="0" bestFit="1" customWidth="1"/>
    <col min="3" max="3" width="14.00390625" style="0" bestFit="1" customWidth="1"/>
    <col min="4" max="4" width="45.421875" style="0" bestFit="1" customWidth="1"/>
    <col min="5" max="5" width="14.00390625" style="0" bestFit="1" customWidth="1"/>
    <col min="6" max="6" width="11.57421875" style="0" customWidth="1"/>
  </cols>
  <sheetData>
    <row r="1" spans="1:2" ht="15.75">
      <c r="A1" s="237" t="str">
        <f>VLOOKUP(A2,ALLCHARTERS!$A:$XFD,3,FALSE)</f>
        <v>ENTER CHARTER SCHOOL CDN BELOW (NO DASHES):</v>
      </c>
      <c r="B1" s="220"/>
    </row>
    <row r="2" spans="1:2" ht="15.75">
      <c r="A2" s="238">
        <f>IF(admin="sf161",'MAINFRAME WHATIF'!B3,ENROLLMENT!A2)</f>
        <v>0</v>
      </c>
      <c r="B2" s="221"/>
    </row>
    <row r="3" spans="1:2" ht="15.75">
      <c r="A3" s="239" t="str">
        <f>ENROLLMENT!A3</f>
        <v>2008-2009 Estimate of State Aid Entitlement Template</v>
      </c>
      <c r="B3" s="222"/>
    </row>
    <row r="4" spans="1:2" ht="15.75">
      <c r="A4" s="253" t="s">
        <v>1078</v>
      </c>
      <c r="B4" s="254"/>
    </row>
    <row r="5" spans="1:2" ht="12.75" customHeight="1">
      <c r="A5" s="253" t="s">
        <v>1007</v>
      </c>
      <c r="B5" s="254"/>
    </row>
    <row r="6" spans="1:2" ht="16.5" thickBot="1">
      <c r="A6" s="297" t="s">
        <v>1179</v>
      </c>
      <c r="B6" s="219" t="s">
        <v>1079</v>
      </c>
    </row>
    <row r="7" spans="1:4" ht="15.75">
      <c r="A7" s="44" t="s">
        <v>875</v>
      </c>
      <c r="B7" s="243">
        <f>('RISD1-8'!J7+'RISD9-16'!J7+'RISD17-24'!J7+'RISD25-32'!J7+'RISD33-40'!J7)</f>
        <v>0</v>
      </c>
      <c r="C7" s="267"/>
      <c r="D7" s="39">
        <f>VLOOKUP(A2,ALLCHARTERS!A:K,11,FALSE)</f>
        <v>0</v>
      </c>
    </row>
    <row r="8" spans="1:4" ht="60" customHeight="1">
      <c r="A8" s="45" t="s">
        <v>876</v>
      </c>
      <c r="B8" s="202"/>
      <c r="D8" s="206">
        <f>IF(D7="y","The ADA reported on this template is materially higher than the previous year's FSP ADA.  In the box below, please justify the increase in enrollment and specify whether the charter school is utilizing new facilities to serve these additional students.","")</f>
      </c>
    </row>
    <row r="9" spans="1:4" ht="16.5" thickBot="1">
      <c r="A9" s="46" t="s">
        <v>1051</v>
      </c>
      <c r="B9" s="202">
        <f>('RISD1-8'!J9+'RISD9-16'!J9+'RISD17-24'!J9+'RISD25-32'!J9+'RISD33-40'!J9)</f>
        <v>0</v>
      </c>
      <c r="D9" s="203">
        <f>IF(D7="y","Please Type or Print Only","")</f>
      </c>
    </row>
    <row r="10" spans="1:4" ht="15.75">
      <c r="A10" s="46" t="s">
        <v>1052</v>
      </c>
      <c r="B10" s="244">
        <f>('RISD1-8'!J10+'RISD9-16'!J10+'RISD17-24'!J10+'RISD25-32'!J10+'RISD33-40'!J10)</f>
        <v>0</v>
      </c>
      <c r="D10" s="323"/>
    </row>
    <row r="11" spans="1:4" ht="15.75">
      <c r="A11" s="46" t="s">
        <v>1053</v>
      </c>
      <c r="B11" s="244">
        <f>('RISD1-8'!J11+'RISD9-16'!J11+'RISD17-24'!J11+'RISD25-32'!J11+'RISD33-40'!J11)</f>
        <v>0</v>
      </c>
      <c r="D11" s="324"/>
    </row>
    <row r="12" spans="1:4" ht="15.75">
      <c r="A12" s="46" t="s">
        <v>1054</v>
      </c>
      <c r="B12" s="244">
        <f>('RISD1-8'!J12+'RISD9-16'!J12+'RISD17-24'!J12+'RISD25-32'!J12+'RISD33-40'!J12)</f>
        <v>0</v>
      </c>
      <c r="D12" s="324"/>
    </row>
    <row r="13" spans="1:4" ht="15.75">
      <c r="A13" s="46" t="s">
        <v>1055</v>
      </c>
      <c r="B13" s="244">
        <f>('RISD1-8'!J13+'RISD9-16'!J13+'RISD17-24'!J13+'RISD25-32'!J13+'RISD33-40'!J13)</f>
        <v>0</v>
      </c>
      <c r="D13" s="324"/>
    </row>
    <row r="14" spans="1:4" ht="15.75">
      <c r="A14" s="46" t="s">
        <v>897</v>
      </c>
      <c r="B14" s="244">
        <f>('RISD1-8'!J14+'RISD9-16'!J14+'RISD17-24'!J14+'RISD25-32'!J14+'RISD33-40'!J14)</f>
        <v>0</v>
      </c>
      <c r="D14" s="324"/>
    </row>
    <row r="15" spans="1:4" ht="15.75">
      <c r="A15" s="46" t="s">
        <v>1056</v>
      </c>
      <c r="B15" s="244">
        <f>('RISD1-8'!J15+'RISD9-16'!J15+'RISD17-24'!J15+'RISD25-32'!J15+'RISD33-40'!J15)</f>
        <v>0</v>
      </c>
      <c r="D15" s="324"/>
    </row>
    <row r="16" spans="1:4" ht="15.75">
      <c r="A16" s="46" t="s">
        <v>1057</v>
      </c>
      <c r="B16" s="244">
        <f>('RISD1-8'!J16+'RISD9-16'!J16+'RISD17-24'!J16+'RISD25-32'!J16+'RISD33-40'!J16)</f>
        <v>0</v>
      </c>
      <c r="D16" s="324"/>
    </row>
    <row r="17" spans="1:4" ht="15.75">
      <c r="A17" s="46" t="s">
        <v>1058</v>
      </c>
      <c r="B17" s="244">
        <f>('RISD1-8'!J17+'RISD9-16'!J17+'RISD17-24'!J17+'RISD25-32'!J17+'RISD33-40'!J17)</f>
        <v>0</v>
      </c>
      <c r="D17" s="324"/>
    </row>
    <row r="18" spans="1:4" ht="15.75">
      <c r="A18" s="46" t="s">
        <v>1059</v>
      </c>
      <c r="B18" s="244">
        <f>('RISD1-8'!J18+'RISD9-16'!J18+'RISD17-24'!J18+'RISD25-32'!J18+'RISD33-40'!J18)</f>
        <v>0</v>
      </c>
      <c r="D18" s="324"/>
    </row>
    <row r="19" spans="1:4" ht="16.5" thickBot="1">
      <c r="A19" s="47" t="s">
        <v>1060</v>
      </c>
      <c r="B19" s="244">
        <f>SUM(B9:B18)</f>
        <v>0</v>
      </c>
      <c r="D19" s="325"/>
    </row>
    <row r="20" spans="1:4" ht="45" customHeight="1">
      <c r="A20" s="47" t="s">
        <v>1061</v>
      </c>
      <c r="B20" s="244">
        <f>(B9*5)+(B10*3)+(B11*5)+(B12*3)+(B13*3)+(B14*3)+(B15*2.7)+(B16*2.3)+(B17*2.8)+(B18*4)</f>
        <v>0</v>
      </c>
      <c r="D20" s="268">
        <f>IF(ENROLLMENT!AP9&gt;ENROLLMENT!AP10,CONCATENATE("You have exceeded your enrollment cap of ",ENROLLMENT!AP10,".  This estimate will not be accepted until you comply with your enrollment cap."),"")</f>
      </c>
    </row>
    <row r="21" spans="1:4" ht="45" customHeight="1">
      <c r="A21" s="47" t="s">
        <v>1175</v>
      </c>
      <c r="B21" s="244">
        <f>'MAINFRAME WHATIF'!AH3</f>
        <v>0</v>
      </c>
      <c r="D21" s="268"/>
    </row>
    <row r="22" spans="1:4" ht="16.5" thickBot="1">
      <c r="A22" s="45" t="s">
        <v>877</v>
      </c>
      <c r="B22" s="202">
        <f>('RISD1-8'!J22+'RISD9-16'!J22+'RISD17-24'!J22+'RISD25-32'!J22+'RISD33-40'!J22)</f>
        <v>0</v>
      </c>
      <c r="D22" s="228"/>
    </row>
    <row r="23" spans="1:4" ht="15.75">
      <c r="A23" s="45" t="s">
        <v>878</v>
      </c>
      <c r="B23" s="244">
        <f>B7-B19-B22</f>
        <v>0</v>
      </c>
      <c r="D23" s="59" t="s">
        <v>858</v>
      </c>
    </row>
    <row r="24" spans="1:4" ht="16.5" thickBot="1">
      <c r="A24" s="45" t="s">
        <v>879</v>
      </c>
      <c r="B24" s="202">
        <f>('RISD1-8'!J24+'RISD9-16'!J24+'RISD17-24'!J24+'RISD25-32'!J24+'RISD33-40'!J24)</f>
        <v>0</v>
      </c>
      <c r="D24" s="229"/>
    </row>
    <row r="25" spans="1:4" ht="15.75">
      <c r="A25" s="45" t="s">
        <v>874</v>
      </c>
      <c r="B25" s="202">
        <f>('RISD1-8'!J26+'RISD9-16'!J26+'RISD17-24'!J26+'RISD25-32'!J26+'RISD33-40'!J26)</f>
        <v>0</v>
      </c>
      <c r="D25" s="59" t="s">
        <v>859</v>
      </c>
    </row>
    <row r="26" spans="1:4" ht="16.5" thickBot="1">
      <c r="A26" s="45" t="s">
        <v>880</v>
      </c>
      <c r="B26" s="202">
        <f>('RISD1-8'!J27+'RISD9-16'!J27+'RISD17-24'!J27+'RISD25-32'!J27+'RISD33-40'!J27)</f>
        <v>0</v>
      </c>
      <c r="D26" s="228"/>
    </row>
    <row r="27" spans="1:4" ht="15.75">
      <c r="A27" s="45" t="s">
        <v>881</v>
      </c>
      <c r="B27" s="202">
        <f>('RISD1-8'!J28+'RISD9-16'!J28+'RISD17-24'!J28+'RISD25-32'!J28+'RISD33-40'!J28)</f>
        <v>0</v>
      </c>
      <c r="D27" s="59" t="s">
        <v>1013</v>
      </c>
    </row>
    <row r="28" spans="1:4" ht="16.5" thickBot="1">
      <c r="A28" s="45" t="s">
        <v>882</v>
      </c>
      <c r="B28" s="202">
        <f>('RISD1-8'!J29+'RISD9-16'!J29+'RISD17-24'!J29+'RISD25-32'!J29+'RISD33-40'!J29)</f>
        <v>0</v>
      </c>
      <c r="D28" s="228"/>
    </row>
    <row r="29" spans="1:4" ht="15.75">
      <c r="A29" s="45" t="s">
        <v>883</v>
      </c>
      <c r="B29" s="54">
        <f>B23</f>
        <v>0</v>
      </c>
      <c r="D29" s="59" t="s">
        <v>51</v>
      </c>
    </row>
    <row r="30" spans="1:4" ht="16.5" thickBot="1">
      <c r="A30" s="45" t="s">
        <v>884</v>
      </c>
      <c r="B30" s="54">
        <f>B20</f>
        <v>0</v>
      </c>
      <c r="D30" s="229"/>
    </row>
    <row r="31" spans="1:4" ht="39" customHeight="1">
      <c r="A31" s="45" t="s">
        <v>885</v>
      </c>
      <c r="B31" s="54">
        <f>B24*1.1</f>
        <v>0</v>
      </c>
      <c r="D31" s="59" t="s">
        <v>1035</v>
      </c>
    </row>
    <row r="32" spans="1:4" ht="16.5" thickBot="1">
      <c r="A32" s="45" t="s">
        <v>886</v>
      </c>
      <c r="B32" s="54">
        <f>B22*1.35</f>
        <v>0</v>
      </c>
      <c r="D32" s="228"/>
    </row>
    <row r="33" spans="1:4" ht="16.5" thickBot="1">
      <c r="A33" s="45" t="s">
        <v>887</v>
      </c>
      <c r="B33" s="54">
        <f>B25*0.12</f>
        <v>0</v>
      </c>
      <c r="D33" s="59" t="s">
        <v>1013</v>
      </c>
    </row>
    <row r="34" spans="1:4" ht="15.75">
      <c r="A34" s="45" t="s">
        <v>888</v>
      </c>
      <c r="B34" s="54">
        <f>B26*0.2</f>
        <v>0</v>
      </c>
      <c r="D34" s="273" t="s">
        <v>927</v>
      </c>
    </row>
    <row r="35" spans="1:4" ht="15.75">
      <c r="A35" s="45" t="s">
        <v>890</v>
      </c>
      <c r="B35" s="54">
        <f>B27*2.41</f>
        <v>0</v>
      </c>
      <c r="D35" s="240" t="s">
        <v>925</v>
      </c>
    </row>
    <row r="36" spans="1:4" ht="15.75">
      <c r="A36" s="45" t="s">
        <v>889</v>
      </c>
      <c r="B36" s="54">
        <f>B28*0.1</f>
        <v>0</v>
      </c>
      <c r="D36" s="240" t="s">
        <v>926</v>
      </c>
    </row>
    <row r="37" spans="1:4" ht="15.75">
      <c r="A37" s="46" t="s">
        <v>1062</v>
      </c>
      <c r="B37" s="54">
        <f>SUM(B29:B36)</f>
        <v>0</v>
      </c>
      <c r="D37" s="240" t="s">
        <v>1010</v>
      </c>
    </row>
    <row r="38" spans="1:4" ht="15.75">
      <c r="A38" s="45" t="s">
        <v>948</v>
      </c>
      <c r="B38" s="54">
        <f>1-((B50-3218)/2)/B50</f>
        <v>0.9732306772374043</v>
      </c>
      <c r="D38" s="241" t="s">
        <v>868</v>
      </c>
    </row>
    <row r="39" spans="1:4" ht="15.75">
      <c r="A39" s="45" t="s">
        <v>891</v>
      </c>
      <c r="B39" s="54">
        <f>(SUM(B55:B63)*B38)/3218</f>
        <v>0</v>
      </c>
      <c r="D39" s="294" t="s">
        <v>694</v>
      </c>
    </row>
    <row r="40" spans="1:4" ht="15.75">
      <c r="A40" s="45"/>
      <c r="B40" s="54"/>
      <c r="D40" s="240" t="s">
        <v>992</v>
      </c>
    </row>
    <row r="41" spans="1:4" ht="15.75">
      <c r="A41" s="196" t="s">
        <v>789</v>
      </c>
      <c r="B41" s="230" t="s">
        <v>1125</v>
      </c>
      <c r="D41" s="241" t="s">
        <v>993</v>
      </c>
    </row>
    <row r="42" spans="1:4" ht="16.5" thickBot="1">
      <c r="A42" s="196" t="s">
        <v>14</v>
      </c>
      <c r="B42" s="230" t="s">
        <v>1125</v>
      </c>
      <c r="D42" s="242" t="s">
        <v>1011</v>
      </c>
    </row>
    <row r="43" spans="1:4" ht="15.75">
      <c r="A43" s="83" t="s">
        <v>46</v>
      </c>
      <c r="B43" s="103">
        <v>0</v>
      </c>
      <c r="C43" s="249">
        <f>ENROLLMENT!B$35</f>
      </c>
      <c r="D43" s="250">
        <f>ENROLLMENT!B$36</f>
      </c>
    </row>
    <row r="44" spans="1:4" ht="15.75">
      <c r="A44" s="83" t="s">
        <v>1006</v>
      </c>
      <c r="B44" s="104">
        <v>0</v>
      </c>
      <c r="C44" s="249">
        <f>ENROLLMENT!C$35</f>
      </c>
      <c r="D44" s="250">
        <f>ENROLLMENT!C$36</f>
      </c>
    </row>
    <row r="45" spans="1:4" ht="15.75">
      <c r="A45" s="83" t="s">
        <v>1026</v>
      </c>
      <c r="B45" s="104">
        <v>0</v>
      </c>
      <c r="C45" s="249">
        <f>ENROLLMENT!D$35</f>
      </c>
      <c r="D45" s="250">
        <f>ENROLLMENT!D$36</f>
      </c>
    </row>
    <row r="46" spans="1:4" ht="15.75">
      <c r="A46" s="83" t="s">
        <v>742</v>
      </c>
      <c r="B46" s="104">
        <v>0</v>
      </c>
      <c r="C46" s="249">
        <f>ENROLLMENT!E$35</f>
      </c>
      <c r="D46" s="250">
        <f>ENROLLMENT!E$36</f>
      </c>
    </row>
    <row r="47" spans="1:4" ht="15.75">
      <c r="A47" s="83" t="s">
        <v>743</v>
      </c>
      <c r="B47" s="104">
        <v>0</v>
      </c>
      <c r="C47" s="249">
        <f>ENROLLMENT!F$35</f>
      </c>
      <c r="D47" s="250">
        <f>ENROLLMENT!F$36</f>
      </c>
    </row>
    <row r="48" spans="1:4" ht="15.75">
      <c r="A48" s="83" t="s">
        <v>892</v>
      </c>
      <c r="B48" s="82"/>
      <c r="C48" s="249">
        <f>ENROLLMENT!G$35</f>
      </c>
      <c r="D48" s="250">
        <f>ENROLLMENT!G$36</f>
      </c>
    </row>
    <row r="49" spans="1:4" ht="15.75">
      <c r="A49" s="84" t="s">
        <v>787</v>
      </c>
      <c r="B49" s="97">
        <f>FSPVAR!H6</f>
        <v>4125.9073171</v>
      </c>
      <c r="C49" s="249">
        <f>ENROLLMENT!H$35</f>
      </c>
      <c r="D49" s="250">
        <f>ENROLLMENT!H$36</f>
      </c>
    </row>
    <row r="50" spans="1:4" ht="15.75">
      <c r="A50" s="84" t="s">
        <v>946</v>
      </c>
      <c r="B50" s="97">
        <f>FSPVAR!G6</f>
        <v>3400.0331707</v>
      </c>
      <c r="C50" s="249">
        <f>ENROLLMENT!I$35</f>
      </c>
      <c r="D50" s="250">
        <f>ENROLLMENT!I$36</f>
      </c>
    </row>
    <row r="51" spans="1:4" ht="15.75">
      <c r="A51" s="83" t="s">
        <v>49</v>
      </c>
      <c r="B51" s="231">
        <f>FSPVAR!I6</f>
        <v>0.1133931707</v>
      </c>
      <c r="C51" s="249">
        <f>ENROLLMENT!J$35</f>
      </c>
      <c r="D51" s="250">
        <f>ENROLLMENT!J$36</f>
      </c>
    </row>
    <row r="52" spans="1:4" ht="15.75">
      <c r="A52" s="83" t="s">
        <v>50</v>
      </c>
      <c r="B52" s="231">
        <f>FSPVAR!J6</f>
        <v>0.0570913171</v>
      </c>
      <c r="C52" s="249">
        <f>ENROLLMENT!K$35</f>
      </c>
      <c r="D52" s="250">
        <f>ENROLLMENT!K$36</f>
      </c>
    </row>
    <row r="53" spans="1:4" ht="15.75">
      <c r="A53" s="83" t="s">
        <v>1003</v>
      </c>
      <c r="B53" s="231">
        <f>FSPVAR!K6</f>
        <v>0.0343474146</v>
      </c>
      <c r="C53" s="249">
        <f>ENROLLMENT!L$35</f>
      </c>
      <c r="D53" s="250">
        <f>ENROLLMENT!L$36</f>
      </c>
    </row>
    <row r="54" spans="1:4" ht="15.75">
      <c r="A54" s="83" t="s">
        <v>717</v>
      </c>
      <c r="B54" s="97">
        <v>4974</v>
      </c>
      <c r="C54" s="249">
        <f>ENROLLMENT!M$35</f>
      </c>
      <c r="D54" s="250">
        <f>ENROLLMENT!M$36</f>
      </c>
    </row>
    <row r="55" spans="1:4" ht="15.75">
      <c r="A55" s="87" t="s">
        <v>914</v>
      </c>
      <c r="B55" s="97">
        <f>B29*B49</f>
        <v>0</v>
      </c>
      <c r="C55" s="249">
        <f>ENROLLMENT!N$35</f>
      </c>
      <c r="D55" s="250">
        <f>ENROLLMENT!N$36</f>
      </c>
    </row>
    <row r="56" spans="1:6" ht="15.75">
      <c r="A56" s="87" t="s">
        <v>915</v>
      </c>
      <c r="B56" s="97">
        <f>B30*B49</f>
        <v>0</v>
      </c>
      <c r="C56" s="249">
        <f>ENROLLMENT!O$35</f>
      </c>
      <c r="D56" s="250">
        <f>ENROLLMENT!O$36</f>
      </c>
      <c r="E56" s="33"/>
      <c r="F56" s="34"/>
    </row>
    <row r="57" spans="1:6" ht="15.75">
      <c r="A57" s="87" t="s">
        <v>916</v>
      </c>
      <c r="B57" s="97">
        <f>B31*B49</f>
        <v>0</v>
      </c>
      <c r="C57" s="249">
        <f>ENROLLMENT!P$35</f>
      </c>
      <c r="D57" s="250">
        <f>ENROLLMENT!P$36</f>
      </c>
      <c r="E57" s="37"/>
      <c r="F57" s="38"/>
    </row>
    <row r="58" spans="1:6" ht="15.75">
      <c r="A58" s="87" t="s">
        <v>921</v>
      </c>
      <c r="B58" s="97">
        <f>B32*B49</f>
        <v>0</v>
      </c>
      <c r="C58" s="249">
        <f>ENROLLMENT!Q$35</f>
      </c>
      <c r="D58" s="250">
        <f>ENROLLMENT!Q$36</f>
      </c>
      <c r="E58" s="37"/>
      <c r="F58" s="38"/>
    </row>
    <row r="59" spans="1:6" ht="15.75">
      <c r="A59" s="87" t="s">
        <v>917</v>
      </c>
      <c r="B59" s="97">
        <f>B33*B49</f>
        <v>0</v>
      </c>
      <c r="C59" s="249">
        <f>ENROLLMENT!R$35</f>
      </c>
      <c r="D59" s="250">
        <f>ENROLLMENT!R$36</f>
      </c>
      <c r="E59" s="37"/>
      <c r="F59" s="38"/>
    </row>
    <row r="60" spans="1:6" ht="15.75">
      <c r="A60" s="87" t="s">
        <v>918</v>
      </c>
      <c r="B60" s="97">
        <f>B34*B49</f>
        <v>0</v>
      </c>
      <c r="C60" s="249">
        <f>ENROLLMENT!S$35</f>
      </c>
      <c r="D60" s="250">
        <f>ENROLLMENT!S$36</f>
      </c>
      <c r="E60" s="37"/>
      <c r="F60" s="38"/>
    </row>
    <row r="61" spans="1:6" ht="15.75">
      <c r="A61" s="87" t="s">
        <v>919</v>
      </c>
      <c r="B61" s="97">
        <f>B35*B49</f>
        <v>0</v>
      </c>
      <c r="C61" s="249">
        <f>ENROLLMENT!T$35</f>
      </c>
      <c r="D61" s="250">
        <f>ENROLLMENT!T$36</f>
      </c>
      <c r="E61" s="37"/>
      <c r="F61" s="38"/>
    </row>
    <row r="62" spans="1:6" ht="15.75">
      <c r="A62" s="87" t="s">
        <v>920</v>
      </c>
      <c r="B62" s="97">
        <f>B36*B49</f>
        <v>0</v>
      </c>
      <c r="C62" s="249">
        <f>ENROLLMENT!U$35</f>
      </c>
      <c r="D62" s="250">
        <f>ENROLLMENT!U$36</f>
      </c>
      <c r="E62" s="37"/>
      <c r="F62" s="38"/>
    </row>
    <row r="63" spans="1:6" ht="15.75">
      <c r="A63" s="87" t="s">
        <v>1165</v>
      </c>
      <c r="B63" s="97">
        <f>B21*B49*0.75</f>
        <v>0</v>
      </c>
      <c r="C63" s="249"/>
      <c r="D63" s="250"/>
      <c r="E63" s="37"/>
      <c r="F63" s="38"/>
    </row>
    <row r="64" spans="1:6" ht="15.75">
      <c r="A64" s="89" t="s">
        <v>783</v>
      </c>
      <c r="B64" s="58"/>
      <c r="C64" s="249">
        <f>ENROLLMENT!Z$35</f>
      </c>
      <c r="D64" s="250">
        <f>ENROLLMENT!Z$36</f>
      </c>
      <c r="E64" s="37"/>
      <c r="F64" s="38"/>
    </row>
    <row r="65" spans="1:6" ht="15.75">
      <c r="A65" s="90" t="s">
        <v>784</v>
      </c>
      <c r="B65" s="110">
        <v>0</v>
      </c>
      <c r="C65" s="249">
        <f>ENROLLMENT!AA$35</f>
      </c>
      <c r="D65" s="250">
        <f>ENROLLMENT!AA$36</f>
      </c>
      <c r="E65" s="39"/>
      <c r="F65" s="39"/>
    </row>
    <row r="66" spans="1:6" ht="15.75">
      <c r="A66" s="90" t="s">
        <v>785</v>
      </c>
      <c r="B66" s="110">
        <v>0</v>
      </c>
      <c r="C66" s="249">
        <f>ENROLLMENT!AB$35</f>
      </c>
      <c r="D66" s="250">
        <f>ENROLLMENT!AB$36</f>
      </c>
      <c r="E66" s="37"/>
      <c r="F66" s="38"/>
    </row>
    <row r="67" spans="1:6" ht="15.75">
      <c r="A67" s="90" t="s">
        <v>786</v>
      </c>
      <c r="B67" s="110">
        <v>0</v>
      </c>
      <c r="C67" s="249">
        <f>ENROLLMENT!AC$35</f>
      </c>
      <c r="D67" s="250">
        <f>ENROLLMENT!AC$36</f>
      </c>
      <c r="E67" s="37"/>
      <c r="F67" s="38"/>
    </row>
    <row r="68" spans="1:6" ht="15.75">
      <c r="A68" s="87" t="s">
        <v>932</v>
      </c>
      <c r="B68" s="97">
        <f>SUM(B55:B63)+SUM(B65:B67)</f>
        <v>0</v>
      </c>
      <c r="C68" s="249">
        <f>ENROLLMENT!W$35</f>
      </c>
      <c r="D68" s="250">
        <f>ENROLLMENT!W$36</f>
      </c>
      <c r="E68" s="37"/>
      <c r="F68" s="39"/>
    </row>
    <row r="69" spans="1:6" ht="16.5" thickBot="1">
      <c r="A69" s="87" t="s">
        <v>935</v>
      </c>
      <c r="B69" s="98">
        <f>ROUND((37.42*B39*B51*100)+(50.98*B39*B52*100)+(31.95*B39*B53*100),1)</f>
        <v>0</v>
      </c>
      <c r="C69" s="249">
        <f>ENROLLMENT!X$35</f>
      </c>
      <c r="D69" s="250">
        <f>ENROLLMENT!X$36</f>
      </c>
      <c r="E69" s="37"/>
      <c r="F69" s="38"/>
    </row>
    <row r="70" spans="1:6" ht="15.75">
      <c r="A70" s="88" t="s">
        <v>936</v>
      </c>
      <c r="B70" s="99">
        <f>B68+B69</f>
        <v>0</v>
      </c>
      <c r="C70" s="249">
        <f>ENROLLMENT!Y$35</f>
      </c>
      <c r="D70" s="250">
        <f>ENROLLMENT!Y$36</f>
      </c>
      <c r="E70" s="37"/>
      <c r="F70" s="38"/>
    </row>
    <row r="71" spans="1:6" ht="15.75">
      <c r="A71" s="87" t="s">
        <v>1041</v>
      </c>
      <c r="B71" s="245">
        <v>0</v>
      </c>
      <c r="C71" s="249">
        <f>ENROLLMENT!AD$35</f>
      </c>
      <c r="D71" s="250">
        <f>ENROLLMENT!AD$36</f>
      </c>
      <c r="E71" s="37"/>
      <c r="F71" s="37"/>
    </row>
    <row r="72" spans="1:6" ht="15.75">
      <c r="A72" s="91" t="s">
        <v>741</v>
      </c>
      <c r="B72" s="97">
        <f>B39*110</f>
        <v>0</v>
      </c>
      <c r="C72" s="249"/>
      <c r="D72" s="250"/>
      <c r="E72" s="37"/>
      <c r="F72" s="37"/>
    </row>
    <row r="73" spans="1:6" ht="15.75">
      <c r="A73" s="91" t="s">
        <v>1002</v>
      </c>
      <c r="B73" s="97">
        <f>((B54*B39)-SUM(B55:B63)-ROUND((37.42*B39*B51*100),1)-B71-B72)</f>
        <v>0</v>
      </c>
      <c r="C73" s="295"/>
      <c r="D73" s="296"/>
      <c r="E73" s="37"/>
      <c r="F73" s="37"/>
    </row>
    <row r="74" spans="1:6" ht="15.75">
      <c r="A74" s="87" t="s">
        <v>1019</v>
      </c>
      <c r="B74" s="97">
        <f>B39*23.63</f>
        <v>0</v>
      </c>
      <c r="C74" s="249">
        <f>ENROLLMENT!AG$35</f>
      </c>
      <c r="D74" s="250">
        <f>ENROLLMENT!AG$36</f>
      </c>
      <c r="E74" s="37"/>
      <c r="F74" s="37"/>
    </row>
    <row r="75" spans="1:7" ht="15.75">
      <c r="A75" s="87"/>
      <c r="B75" s="247"/>
      <c r="C75" s="249">
        <f>ENROLLMENT!AH$35</f>
      </c>
      <c r="D75" s="250">
        <f>ENROLLMENT!AH$36</f>
      </c>
      <c r="F75" s="36"/>
      <c r="G75" s="35"/>
    </row>
    <row r="76" spans="1:7" ht="15.75">
      <c r="A76" s="87" t="s">
        <v>47</v>
      </c>
      <c r="B76" s="246">
        <f>B43*275</f>
        <v>0</v>
      </c>
      <c r="C76" s="249">
        <f>ENROLLMENT!AI$35</f>
      </c>
      <c r="D76" s="250">
        <f>ENROLLMENT!AI$36</f>
      </c>
      <c r="F76" s="36"/>
      <c r="G76" s="35"/>
    </row>
    <row r="77" spans="1:6" ht="15.75">
      <c r="A77" s="87" t="s">
        <v>1082</v>
      </c>
      <c r="B77" s="246">
        <f>IF(B41="NO",0,IF(B42="YES",(B44*2500+B45*1250),IF(B42="NO",(B44*2000+B45*1000),0)))</f>
        <v>0</v>
      </c>
      <c r="C77" s="249">
        <f>ENROLLMENT!AJ$35</f>
      </c>
      <c r="D77" s="250">
        <f>ENROLLMENT!AJ$36</f>
      </c>
      <c r="E77" s="37"/>
      <c r="F77" s="37"/>
    </row>
    <row r="78" spans="1:6" ht="15.75">
      <c r="A78" s="87" t="s">
        <v>652</v>
      </c>
      <c r="B78" s="246">
        <f>IF(B41="YES",IF(B42="YES",B46*500,0),0)</f>
        <v>0</v>
      </c>
      <c r="C78" s="249">
        <f>ENROLLMENT!AK$35</f>
      </c>
      <c r="D78" s="250">
        <f>ENROLLMENT!AK$36</f>
      </c>
      <c r="E78" s="37"/>
      <c r="F78" s="37"/>
    </row>
    <row r="79" spans="1:6" ht="15.75">
      <c r="A79" s="87" t="s">
        <v>654</v>
      </c>
      <c r="B79" s="246">
        <f>IF(B41="YES",IF(B42="YES",B47*250,0),0)</f>
        <v>0</v>
      </c>
      <c r="C79" s="249">
        <f>ENROLLMENT!AL$35</f>
      </c>
      <c r="D79" s="250">
        <f>ENROLLMENT!AL$36</f>
      </c>
      <c r="E79" s="37"/>
      <c r="F79" s="37"/>
    </row>
    <row r="80" spans="1:6" ht="15.75">
      <c r="A80" s="92" t="s">
        <v>872</v>
      </c>
      <c r="B80" s="246">
        <f>SUM(B70:B79)</f>
        <v>0</v>
      </c>
      <c r="C80" s="249">
        <f>ENROLLMENT!AM$35</f>
      </c>
      <c r="D80" s="250">
        <f>ENROLLMENT!AM$36</f>
      </c>
      <c r="E80" s="37"/>
      <c r="F80" s="37"/>
    </row>
    <row r="81" spans="1:6" ht="15.75">
      <c r="A81" s="87" t="s">
        <v>1120</v>
      </c>
      <c r="B81" s="97">
        <f>B7*29.5</f>
        <v>0</v>
      </c>
      <c r="C81" s="249">
        <f>ENROLLMENT!AN$35</f>
      </c>
      <c r="D81" s="250">
        <f>ENROLLMENT!AN$36</f>
      </c>
      <c r="E81" s="37"/>
      <c r="F81" s="37"/>
    </row>
    <row r="82" spans="1:6" ht="16.5" thickBot="1">
      <c r="A82" s="92" t="s">
        <v>1039</v>
      </c>
      <c r="B82" s="248">
        <f>SUM(B80:B81)</f>
        <v>0</v>
      </c>
      <c r="C82" s="249">
        <f>ENROLLMENT!AO$35</f>
      </c>
      <c r="D82" s="250">
        <f>ENROLLMENT!AO$36</f>
      </c>
      <c r="E82" s="37"/>
      <c r="F82" s="37"/>
    </row>
    <row r="83" spans="4:6" ht="13.5" thickTop="1">
      <c r="D83" s="249"/>
      <c r="E83" s="37">
        <f>SUM(E81:E82)</f>
        <v>0</v>
      </c>
      <c r="F83" s="38">
        <f>B82-E83</f>
        <v>0</v>
      </c>
    </row>
  </sheetData>
  <sheetProtection/>
  <mergeCells count="1">
    <mergeCell ref="D10:D19"/>
  </mergeCells>
  <printOptions headings="1" horizontalCentered="1"/>
  <pageMargins left="0.5" right="0.5" top="0.5" bottom="0.75" header="0.5" footer="0.5"/>
  <pageSetup cellComments="asDisplayed" fitToHeight="1" fitToWidth="1" horizontalDpi="300" verticalDpi="300" orientation="portrait" scale="49" r:id="rId3"/>
  <headerFooter alignWithMargins="0">
    <oddFooter>&amp;C&amp;A
Printed on &amp;D</oddFooter>
  </headerFooter>
  <rowBreaks count="1" manualBreakCount="1">
    <brk id="13" max="255" man="1"/>
  </rowBreaks>
  <colBreaks count="1" manualBreakCount="1">
    <brk id="5" max="65535" man="1"/>
  </colBreaks>
  <ignoredErrors>
    <ignoredError sqref="B7 B22:B24 B26:B28 B9:B20" unlockedFormula="1"/>
  </ignoredErrors>
  <legacyDrawing r:id="rId2"/>
</worksheet>
</file>

<file path=xl/worksheets/sheet5.xml><?xml version="1.0" encoding="utf-8"?>
<worksheet xmlns="http://schemas.openxmlformats.org/spreadsheetml/2006/main" xmlns:r="http://schemas.openxmlformats.org/officeDocument/2006/relationships">
  <sheetPr>
    <tabColor indexed="40"/>
    <pageSetUpPr fitToPage="1"/>
  </sheetPr>
  <dimension ref="A1:I94"/>
  <sheetViews>
    <sheetView zoomScalePageLayoutView="0" workbookViewId="0" topLeftCell="A1">
      <selection activeCell="A5" sqref="A5"/>
    </sheetView>
  </sheetViews>
  <sheetFormatPr defaultColWidth="9.140625" defaultRowHeight="12.75"/>
  <cols>
    <col min="1" max="1" width="52.140625" style="0" customWidth="1"/>
    <col min="2" max="2" width="14.140625" style="0" bestFit="1" customWidth="1"/>
    <col min="3" max="3" width="12.7109375" style="0" customWidth="1"/>
    <col min="4" max="4" width="14.140625" style="0" bestFit="1" customWidth="1"/>
    <col min="5" max="5" width="14.140625" style="0" customWidth="1"/>
    <col min="6" max="6" width="44.7109375" style="0" customWidth="1"/>
    <col min="7" max="9" width="14.00390625" style="0" bestFit="1" customWidth="1"/>
  </cols>
  <sheetData>
    <row r="1" spans="1:4" ht="15.75">
      <c r="A1" s="255" t="str">
        <f>VLOOKUP(A2,ALLCHARTERS!$A:$XFD,3,FALSE)</f>
        <v>ENTER CHARTER SCHOOL CDN BELOW (NO DASHES):</v>
      </c>
      <c r="B1" s="256"/>
      <c r="C1" s="256"/>
      <c r="D1" s="263"/>
    </row>
    <row r="2" spans="1:4" ht="15.75">
      <c r="A2" s="257">
        <f>IF(admin="sf161",'MAINFRAME WHATIF'!B3,ENROLLMENT!A2)</f>
        <v>0</v>
      </c>
      <c r="B2" s="258"/>
      <c r="C2" s="258"/>
      <c r="D2" s="264"/>
    </row>
    <row r="3" spans="1:4" ht="15.75">
      <c r="A3" s="259" t="str">
        <f>ENROLLMENT!A3</f>
        <v>2008-2009 Estimate of State Aid Entitlement Template</v>
      </c>
      <c r="B3" s="260"/>
      <c r="C3" s="260"/>
      <c r="D3" s="265"/>
    </row>
    <row r="4" spans="1:4" ht="15.75">
      <c r="A4" s="261" t="s">
        <v>1008</v>
      </c>
      <c r="B4" s="262"/>
      <c r="C4" s="262"/>
      <c r="D4" s="266"/>
    </row>
    <row r="5" spans="1:4" ht="15.75">
      <c r="A5" s="298" t="str">
        <f>'STATE AVG '!A6</f>
        <v>Template Date 5/18/2010-Final</v>
      </c>
      <c r="B5" s="299"/>
      <c r="C5" s="299"/>
      <c r="D5" s="300"/>
    </row>
    <row r="6" spans="1:4" ht="31.5">
      <c r="A6" s="232"/>
      <c r="B6" s="227" t="s">
        <v>1028</v>
      </c>
      <c r="C6" s="227" t="s">
        <v>1028</v>
      </c>
      <c r="D6" s="233" t="s">
        <v>1040</v>
      </c>
    </row>
    <row r="7" spans="1:4" ht="16.5" thickBot="1">
      <c r="A7" s="234"/>
      <c r="B7" s="235" t="s">
        <v>720</v>
      </c>
      <c r="C7" s="235" t="s">
        <v>721</v>
      </c>
      <c r="D7" s="236" t="s">
        <v>1029</v>
      </c>
    </row>
    <row r="8" spans="1:6" ht="15.75">
      <c r="A8" s="44" t="s">
        <v>875</v>
      </c>
      <c r="B8" s="48">
        <f>('RISD1-8'!J7+'RISD9-16'!J7+'RISD17-24'!J7+'RISD25-32'!J7+'RISD33-40'!J7)*('RISD1-8'!$B$50)</f>
        <v>0</v>
      </c>
      <c r="C8" s="49">
        <f>('RISD1-8'!J7+'RISD9-16'!J7+'RISD17-24'!J7+'RISD25-32'!J7+'RISD33-40'!J7)*(1-'RISD1-8'!$B$50)</f>
        <v>0</v>
      </c>
      <c r="D8" s="251">
        <f>B8+C8</f>
        <v>0</v>
      </c>
      <c r="F8" s="39">
        <f>VLOOKUP(A2,ALLCHARTERS!A:K,11,FALSE)</f>
        <v>0</v>
      </c>
    </row>
    <row r="9" spans="1:6" ht="60" customHeight="1">
      <c r="A9" s="45" t="s">
        <v>876</v>
      </c>
      <c r="B9" s="51"/>
      <c r="C9" s="51"/>
      <c r="D9" s="51"/>
      <c r="F9" s="206">
        <f>IF(F8="y","The ADA reported on this template is materially higher than the previous year's FSP ADA.  In the box below, please justify the increase in enrollment and specify whether the charter school is utilizing new facilities to serve these additional students.","")</f>
      </c>
    </row>
    <row r="10" spans="1:6" ht="16.5" thickBot="1">
      <c r="A10" s="46" t="s">
        <v>1051</v>
      </c>
      <c r="B10" s="50">
        <f>('RISD1-8'!J9+'RISD9-16'!J9+'RISD17-24'!J9+'RISD25-32'!J9+'RISD33-40'!J9)*('RISD1-8'!$B$50)</f>
        <v>0</v>
      </c>
      <c r="C10" s="51">
        <f>('RISD1-8'!J9+'RISD9-16'!J9+'RISD17-24'!J9+'RISD25-32'!J9+'RISD33-40'!J9)*(1-'RISD1-8'!$B$50)</f>
        <v>0</v>
      </c>
      <c r="D10" s="51">
        <f aca="true" t="shared" si="0" ref="D10:D40">B10+C10</f>
        <v>0</v>
      </c>
      <c r="F10" s="203">
        <f>IF(F8="y","Please Type or Print Only","")</f>
      </c>
    </row>
    <row r="11" spans="1:6" ht="15.75">
      <c r="A11" s="46" t="s">
        <v>1052</v>
      </c>
      <c r="B11" s="48">
        <f>('RISD1-8'!J10+'RISD9-16'!J10+'RISD17-24'!J10+'RISD25-32'!J10+'RISD33-40'!J10)*('RISD1-8'!$B$50)</f>
        <v>0</v>
      </c>
      <c r="C11" s="49">
        <f>('RISD1-8'!J10+'RISD9-16'!J10+'RISD17-24'!J10+'RISD25-32'!J10+'RISD33-40'!J10)*(1-'RISD1-8'!$B$50)</f>
        <v>0</v>
      </c>
      <c r="D11" s="51">
        <f t="shared" si="0"/>
        <v>0</v>
      </c>
      <c r="F11" s="323"/>
    </row>
    <row r="12" spans="1:6" ht="15.75">
      <c r="A12" s="46" t="s">
        <v>1053</v>
      </c>
      <c r="B12" s="48">
        <f>('RISD1-8'!J11+'RISD9-16'!J11+'RISD17-24'!J11+'RISD25-32'!J11+'RISD33-40'!J11)*('RISD1-8'!$B$50)</f>
        <v>0</v>
      </c>
      <c r="C12" s="49">
        <f>('RISD1-8'!J11+'RISD9-16'!J11+'RISD17-24'!J11+'RISD25-32'!J11+'RISD33-40'!J11)*(1-'RISD1-8'!$B$50)</f>
        <v>0</v>
      </c>
      <c r="D12" s="51">
        <f t="shared" si="0"/>
        <v>0</v>
      </c>
      <c r="F12" s="324"/>
    </row>
    <row r="13" spans="1:6" ht="15.75">
      <c r="A13" s="46" t="s">
        <v>1054</v>
      </c>
      <c r="B13" s="48">
        <f>('RISD1-8'!J12+'RISD9-16'!J12+'RISD17-24'!J12+'RISD25-32'!J12+'RISD33-40'!J12)*('RISD1-8'!$B$50)</f>
        <v>0</v>
      </c>
      <c r="C13" s="49">
        <f>('RISD1-8'!J12+'RISD9-16'!J12+'RISD17-24'!J12+'RISD25-32'!J12+'RISD33-40'!J12)*(1-'RISD1-8'!$B$50)</f>
        <v>0</v>
      </c>
      <c r="D13" s="51">
        <f t="shared" si="0"/>
        <v>0</v>
      </c>
      <c r="F13" s="324"/>
    </row>
    <row r="14" spans="1:6" ht="15.75">
      <c r="A14" s="46" t="s">
        <v>1055</v>
      </c>
      <c r="B14" s="48">
        <f>('RISD1-8'!J13+'RISD9-16'!J13+'RISD17-24'!J13+'RISD25-32'!J13+'RISD33-40'!J13)*('RISD1-8'!$B$50)</f>
        <v>0</v>
      </c>
      <c r="C14" s="49">
        <f>('RISD1-8'!J13+'RISD9-16'!J13+'RISD17-24'!J13+'RISD25-32'!J13+'RISD33-40'!J13)*(1-'RISD1-8'!$B$50)</f>
        <v>0</v>
      </c>
      <c r="D14" s="51">
        <f t="shared" si="0"/>
        <v>0</v>
      </c>
      <c r="F14" s="324"/>
    </row>
    <row r="15" spans="1:6" ht="15.75">
      <c r="A15" s="46" t="s">
        <v>897</v>
      </c>
      <c r="B15" s="48">
        <f>('RISD1-8'!J14+'RISD9-16'!J14+'RISD17-24'!J14+'RISD25-32'!J14+'RISD33-40'!J14)*('RISD1-8'!$B$50)</f>
        <v>0</v>
      </c>
      <c r="C15" s="49">
        <f>('RISD1-8'!J14+'RISD9-16'!J14+'RISD17-24'!J14+'RISD25-32'!J14+'RISD33-40'!J14)*(1-'RISD1-8'!$B$50)</f>
        <v>0</v>
      </c>
      <c r="D15" s="51">
        <f t="shared" si="0"/>
        <v>0</v>
      </c>
      <c r="F15" s="324"/>
    </row>
    <row r="16" spans="1:6" ht="15.75">
      <c r="A16" s="46" t="s">
        <v>1056</v>
      </c>
      <c r="B16" s="48">
        <f>('RISD1-8'!J15+'RISD9-16'!J15+'RISD17-24'!J15+'RISD25-32'!J15+'RISD33-40'!J15)*('RISD1-8'!$B$50)</f>
        <v>0</v>
      </c>
      <c r="C16" s="49">
        <f>('RISD1-8'!J15+'RISD9-16'!J15+'RISD17-24'!J15+'RISD25-32'!J15+'RISD33-40'!J15)*(1-'RISD1-8'!$B$50)</f>
        <v>0</v>
      </c>
      <c r="D16" s="51">
        <f t="shared" si="0"/>
        <v>0</v>
      </c>
      <c r="F16" s="324"/>
    </row>
    <row r="17" spans="1:6" ht="15.75">
      <c r="A17" s="46" t="s">
        <v>1057</v>
      </c>
      <c r="B17" s="48">
        <f>('RISD1-8'!J16+'RISD9-16'!J16+'RISD17-24'!J16+'RISD25-32'!J16+'RISD33-40'!J16)*('RISD1-8'!$B$50)</f>
        <v>0</v>
      </c>
      <c r="C17" s="49">
        <f>('RISD1-8'!J16+'RISD9-16'!J16+'RISD17-24'!J16+'RISD25-32'!J16+'RISD33-40'!J16)*(1-'RISD1-8'!$B$50)</f>
        <v>0</v>
      </c>
      <c r="D17" s="51">
        <f t="shared" si="0"/>
        <v>0</v>
      </c>
      <c r="F17" s="324"/>
    </row>
    <row r="18" spans="1:6" ht="15.75">
      <c r="A18" s="46" t="s">
        <v>1058</v>
      </c>
      <c r="B18" s="48">
        <f>('RISD1-8'!J17+'RISD9-16'!J17+'RISD17-24'!J17+'RISD25-32'!J17+'RISD33-40'!J17)*('RISD1-8'!$B$50)</f>
        <v>0</v>
      </c>
      <c r="C18" s="49">
        <f>('RISD1-8'!J17+'RISD9-16'!J17+'RISD17-24'!J17+'RISD25-32'!J17+'RISD33-40'!J17)*(1-'RISD1-8'!$B$50)</f>
        <v>0</v>
      </c>
      <c r="D18" s="51">
        <f t="shared" si="0"/>
        <v>0</v>
      </c>
      <c r="F18" s="324"/>
    </row>
    <row r="19" spans="1:6" ht="15.75">
      <c r="A19" s="46" t="s">
        <v>1059</v>
      </c>
      <c r="B19" s="48">
        <f>('RISD1-8'!J18+'RISD9-16'!J18+'RISD17-24'!J18+'RISD25-32'!J18+'RISD33-40'!J18)*('RISD1-8'!$B$50)</f>
        <v>0</v>
      </c>
      <c r="C19" s="49">
        <f>('RISD1-8'!J18+'RISD9-16'!J18+'RISD17-24'!J18+'RISD25-32'!J18+'RISD33-40'!J18)*(1-'RISD1-8'!$B$50)</f>
        <v>0</v>
      </c>
      <c r="D19" s="51">
        <f t="shared" si="0"/>
        <v>0</v>
      </c>
      <c r="F19" s="324"/>
    </row>
    <row r="20" spans="1:6" ht="16.5" thickBot="1">
      <c r="A20" s="47" t="s">
        <v>1060</v>
      </c>
      <c r="B20" s="48">
        <f>('RISD1-8'!J19+'RISD9-16'!J19+'RISD17-24'!J19+'RISD25-32'!J19+'RISD33-40'!J19)*('RISD1-8'!$B$50)</f>
        <v>0</v>
      </c>
      <c r="C20" s="49">
        <f>('RISD1-8'!J19+'RISD9-16'!J19+'RISD17-24'!J19+'RISD25-32'!J19+'RISD33-40'!J19)*(1-'RISD1-8'!$B$50)</f>
        <v>0</v>
      </c>
      <c r="D20" s="51">
        <f t="shared" si="0"/>
        <v>0</v>
      </c>
      <c r="F20" s="325"/>
    </row>
    <row r="21" spans="1:6" ht="45" customHeight="1">
      <c r="A21" s="47" t="s">
        <v>1061</v>
      </c>
      <c r="B21" s="48">
        <f>('RISD1-8'!J20+'RISD9-16'!J20+'RISD17-24'!J20+'RISD25-32'!J20+'RISD33-40'!J20)*('RISD1-8'!$B$50)</f>
        <v>0</v>
      </c>
      <c r="C21" s="49">
        <f>('RISD1-8'!J20+'RISD9-16'!J20+'RISD17-24'!J20+'RISD25-32'!J20+'RISD33-40'!J20)*(1-'RISD1-8'!$B$50)</f>
        <v>0</v>
      </c>
      <c r="D21" s="49">
        <f t="shared" si="0"/>
        <v>0</v>
      </c>
      <c r="F21" s="268">
        <f>IF(ENROLLMENT!AP9&gt;ENROLLMENT!AP10,CONCATENATE("You have exceeded your enrollment cap of ",ENROLLMENT!AP10,".  This estimate will not be accepted until you comply with your enrollment cap."),"")</f>
      </c>
    </row>
    <row r="22" spans="1:6" ht="45" customHeight="1">
      <c r="A22" s="47" t="s">
        <v>1175</v>
      </c>
      <c r="B22" s="310">
        <f>('RISD1-8'!J21+'RISD9-16'!J21+'RISD17-24'!J21+'RISD25-32'!J21+'RISD33-40'!J21)*('RISD1-8'!$B$50)</f>
        <v>0</v>
      </c>
      <c r="C22" s="311">
        <f>('RISD1-8'!J21+'RISD9-16'!J21+'RISD17-24'!J21+'RISD25-32'!J21+'RISD33-40'!J21)*(1-'RISD1-8'!$B$50)</f>
        <v>0</v>
      </c>
      <c r="D22" s="311">
        <f t="shared" si="0"/>
        <v>0</v>
      </c>
      <c r="F22" s="268"/>
    </row>
    <row r="23" spans="1:6" ht="16.5" thickBot="1">
      <c r="A23" s="45" t="s">
        <v>877</v>
      </c>
      <c r="B23" s="48">
        <f>('RISD1-8'!J22+'RISD9-16'!J22+'RISD17-24'!J22+'RISD25-32'!J22+'RISD33-40'!J22)*('RISD1-8'!$B$50)</f>
        <v>0</v>
      </c>
      <c r="C23" s="49">
        <f>('RISD1-8'!J22+'RISD9-16'!J22+'RISD17-24'!J22+'RISD25-32'!J22+'RISD33-40'!J22)*(1-'RISD1-8'!$B$50)</f>
        <v>0</v>
      </c>
      <c r="D23" s="49">
        <f t="shared" si="0"/>
        <v>0</v>
      </c>
      <c r="F23" s="228"/>
    </row>
    <row r="24" spans="1:6" ht="15.75">
      <c r="A24" s="45"/>
      <c r="B24" s="48"/>
      <c r="C24" s="49"/>
      <c r="D24" s="49"/>
      <c r="F24" s="59" t="s">
        <v>858</v>
      </c>
    </row>
    <row r="25" spans="1:6" ht="16.5" thickBot="1">
      <c r="A25" s="45" t="s">
        <v>878</v>
      </c>
      <c r="B25" s="48">
        <f>('RISD1-8'!J23+'RISD9-16'!J23+'RISD17-24'!J23+'RISD25-32'!J23+'RISD33-40'!J23)*('RISD1-8'!$B$50)</f>
        <v>0</v>
      </c>
      <c r="C25" s="49">
        <f>('RISD1-8'!J23+'RISD9-16'!J23+'RISD17-24'!J23+'RISD25-32'!J23+'RISD33-40'!J23)*(1-'RISD1-8'!$B$50)</f>
        <v>0</v>
      </c>
      <c r="D25" s="49">
        <f t="shared" si="0"/>
        <v>0</v>
      </c>
      <c r="F25" s="229"/>
    </row>
    <row r="26" spans="1:6" ht="15.75">
      <c r="A26" s="45" t="s">
        <v>879</v>
      </c>
      <c r="B26" s="48">
        <f>('RISD1-8'!J24+'RISD9-16'!J24+'RISD17-24'!J24+'RISD25-32'!J24+'RISD33-40'!J24)*('RISD1-8'!$B$50)</f>
        <v>0</v>
      </c>
      <c r="C26" s="49">
        <f>('RISD1-8'!J24+'RISD9-16'!J24+'RISD17-24'!J24+'RISD25-32'!J24+'RISD33-40'!J24)*(1-'RISD1-8'!$B$50)</f>
        <v>0</v>
      </c>
      <c r="D26" s="51">
        <f t="shared" si="0"/>
        <v>0</v>
      </c>
      <c r="F26" s="59" t="s">
        <v>859</v>
      </c>
    </row>
    <row r="27" spans="1:6" ht="16.5" thickBot="1">
      <c r="A27" s="45" t="s">
        <v>874</v>
      </c>
      <c r="B27" s="48">
        <f>('RISD1-8'!J26+'RISD9-16'!J26+'RISD17-24'!J26+'RISD25-32'!J26+'RISD33-40'!J26)*('RISD1-8'!$B$50)</f>
        <v>0</v>
      </c>
      <c r="C27" s="49">
        <f>('RISD1-8'!J26+'RISD9-16'!J26+'RISD17-24'!J26+'RISD25-32'!J26+'RISD33-40'!J26)*(1-'RISD1-8'!$B$50)</f>
        <v>0</v>
      </c>
      <c r="D27" s="49">
        <f t="shared" si="0"/>
        <v>0</v>
      </c>
      <c r="F27" s="228"/>
    </row>
    <row r="28" spans="1:6" ht="15.75">
      <c r="A28" s="45" t="s">
        <v>880</v>
      </c>
      <c r="B28" s="48">
        <f>('RISD1-8'!J27+'RISD9-16'!J27+'RISD17-24'!J27+'RISD25-32'!J27+'RISD33-40'!J27)*('RISD1-8'!$B$50)</f>
        <v>0</v>
      </c>
      <c r="C28" s="49">
        <f>('RISD1-8'!J27+'RISD9-16'!J27+'RISD17-24'!J27+'RISD25-32'!J27+'RISD33-40'!J27)*(1-'RISD1-8'!$B$50)</f>
        <v>0</v>
      </c>
      <c r="D28" s="49">
        <f t="shared" si="0"/>
        <v>0</v>
      </c>
      <c r="F28" s="59" t="s">
        <v>1013</v>
      </c>
    </row>
    <row r="29" spans="1:6" ht="16.5" thickBot="1">
      <c r="A29" s="45" t="s">
        <v>881</v>
      </c>
      <c r="B29" s="48">
        <f>('RISD1-8'!J28+'RISD9-16'!J28+'RISD17-24'!J28+'RISD25-32'!J28+'RISD33-40'!J28)*('RISD1-8'!$B$50)</f>
        <v>0</v>
      </c>
      <c r="C29" s="49">
        <f>('RISD1-8'!J28+'RISD9-16'!J28+'RISD17-24'!J28+'RISD25-32'!J28+'RISD33-40'!J28)*(1-'RISD1-8'!$B$50)</f>
        <v>0</v>
      </c>
      <c r="D29" s="49">
        <f t="shared" si="0"/>
        <v>0</v>
      </c>
      <c r="F29" s="228"/>
    </row>
    <row r="30" spans="1:6" ht="15.75">
      <c r="A30" s="45" t="s">
        <v>882</v>
      </c>
      <c r="B30" s="50">
        <f>('RISD1-8'!J29+'RISD9-16'!J29+'RISD17-24'!J29+'RISD25-32'!J29+'RISD33-40'!J29)*('RISD1-8'!$B$50)</f>
        <v>0</v>
      </c>
      <c r="C30" s="51">
        <f>('RISD1-8'!J29+'RISD9-16'!J29+'RISD17-24'!J29+'RISD25-32'!J29+'RISD33-40'!J29)*(1-'RISD1-8'!$B$50)</f>
        <v>0</v>
      </c>
      <c r="D30" s="51">
        <f t="shared" si="0"/>
        <v>0</v>
      </c>
      <c r="F30" s="59" t="s">
        <v>51</v>
      </c>
    </row>
    <row r="31" spans="1:6" ht="16.5" thickBot="1">
      <c r="A31" s="45" t="s">
        <v>883</v>
      </c>
      <c r="B31" s="50">
        <f>('RISD1-8'!J31+'RISD9-16'!J31+'RISD17-24'!J31+'RISD25-32'!J31+'RISD33-40'!J31)*('RISD1-8'!$B$50)</f>
        <v>0</v>
      </c>
      <c r="C31" s="51">
        <f>('RISD1-8'!J31+'RISD9-16'!J31+'RISD17-24'!J31+'RISD25-32'!J31+'RISD33-40'!J31)*(1-'RISD1-8'!$B$50)</f>
        <v>0</v>
      </c>
      <c r="D31" s="51">
        <f t="shared" si="0"/>
        <v>0</v>
      </c>
      <c r="F31" s="229"/>
    </row>
    <row r="32" spans="1:6" ht="15.75">
      <c r="A32" s="45" t="s">
        <v>884</v>
      </c>
      <c r="B32" s="48">
        <f>('RISD1-8'!J32+'RISD9-16'!J32+'RISD17-24'!J32+'RISD25-32'!J32+'RISD33-40'!J32)*('RISD1-8'!$B$50)</f>
        <v>0</v>
      </c>
      <c r="C32" s="49">
        <f>('RISD1-8'!J32+'RISD9-16'!J32+'RISD17-24'!J32+'RISD25-32'!J32+'RISD33-40'!J32)*(1-'RISD1-8'!$B$50)</f>
        <v>0</v>
      </c>
      <c r="D32" s="51">
        <f t="shared" si="0"/>
        <v>0</v>
      </c>
      <c r="F32" s="59" t="s">
        <v>1035</v>
      </c>
    </row>
    <row r="33" spans="1:6" ht="16.5" thickBot="1">
      <c r="A33" s="45" t="s">
        <v>885</v>
      </c>
      <c r="B33" s="48">
        <f>('RISD1-8'!J33+'RISD9-16'!J33+'RISD17-24'!J33+'RISD25-32'!J33+'RISD33-40'!J33)*('RISD1-8'!$B$50)</f>
        <v>0</v>
      </c>
      <c r="C33" s="49">
        <f>('RISD1-8'!J33+'RISD9-16'!J33+'RISD17-24'!J33+'RISD25-32'!J33+'RISD33-40'!J33)*(1-'RISD1-8'!$B$50)</f>
        <v>0</v>
      </c>
      <c r="D33" s="51">
        <f t="shared" si="0"/>
        <v>0</v>
      </c>
      <c r="F33" s="228"/>
    </row>
    <row r="34" spans="1:6" ht="16.5" thickBot="1">
      <c r="A34" s="45" t="s">
        <v>886</v>
      </c>
      <c r="B34" s="48">
        <f>('RISD1-8'!J34+'RISD9-16'!J34+'RISD17-24'!J34+'RISD25-32'!J34+'RISD33-40'!J34)*('RISD1-8'!$B$50)</f>
        <v>0</v>
      </c>
      <c r="C34" s="49">
        <f>('RISD1-8'!J34+'RISD9-16'!J34+'RISD17-24'!J34+'RISD25-32'!J34+'RISD33-40'!J34)*(1-'RISD1-8'!$B$50)</f>
        <v>0</v>
      </c>
      <c r="D34" s="51">
        <f t="shared" si="0"/>
        <v>0</v>
      </c>
      <c r="F34" s="59" t="s">
        <v>1013</v>
      </c>
    </row>
    <row r="35" spans="1:6" ht="15.75">
      <c r="A35" s="45" t="s">
        <v>887</v>
      </c>
      <c r="B35" s="48">
        <f>('RISD1-8'!J35+'RISD9-16'!J35+'RISD17-24'!J35+'RISD25-32'!J35+'RISD33-40'!J35)*('RISD1-8'!$B$50)</f>
        <v>0</v>
      </c>
      <c r="C35" s="49">
        <f>('RISD1-8'!J35+'RISD9-16'!J35+'RISD17-24'!J35+'RISD25-32'!J35+'RISD33-40'!J35)*(1-'RISD1-8'!$B$50)</f>
        <v>0</v>
      </c>
      <c r="D35" s="51">
        <f t="shared" si="0"/>
        <v>0</v>
      </c>
      <c r="F35" s="269" t="s">
        <v>923</v>
      </c>
    </row>
    <row r="36" spans="1:6" ht="15.75">
      <c r="A36" s="45" t="s">
        <v>888</v>
      </c>
      <c r="B36" s="48">
        <f>('RISD1-8'!J36+'RISD9-16'!J36+'RISD17-24'!J36+'RISD25-32'!J36+'RISD33-40'!J36)*('RISD1-8'!$B$50)</f>
        <v>0</v>
      </c>
      <c r="C36" s="49">
        <f>('RISD1-8'!J36+'RISD9-16'!J36+'RISD17-24'!J36+'RISD25-32'!J36+'RISD33-40'!J36)*(1-'RISD1-8'!$B$50)</f>
        <v>0</v>
      </c>
      <c r="D36" s="51">
        <f t="shared" si="0"/>
        <v>0</v>
      </c>
      <c r="F36" s="272" t="s">
        <v>924</v>
      </c>
    </row>
    <row r="37" spans="1:6" ht="15.75">
      <c r="A37" s="45" t="s">
        <v>890</v>
      </c>
      <c r="B37" s="48">
        <f>('RISD1-8'!J37+'RISD9-16'!J37+'RISD17-24'!J37+'RISD25-32'!J37+'RISD33-40'!J37)*('RISD1-8'!$B$50)</f>
        <v>0</v>
      </c>
      <c r="C37" s="49">
        <f>('RISD1-8'!J37+'RISD9-16'!J37+'RISD17-24'!J37+'RISD25-32'!J37+'RISD33-40'!J37)*(1-'RISD1-8'!$B$50)</f>
        <v>0</v>
      </c>
      <c r="D37" s="51">
        <f t="shared" si="0"/>
        <v>0</v>
      </c>
      <c r="F37" s="240" t="s">
        <v>925</v>
      </c>
    </row>
    <row r="38" spans="1:6" ht="15.75">
      <c r="A38" s="45" t="s">
        <v>889</v>
      </c>
      <c r="B38" s="50">
        <f>('RISD1-8'!J38+'RISD9-16'!J38+'RISD17-24'!J38+'RISD25-32'!J38+'RISD33-40'!J38)*('RISD1-8'!$B$50)</f>
        <v>0</v>
      </c>
      <c r="C38" s="51">
        <f>('RISD1-8'!J38+'RISD9-16'!J38+'RISD17-24'!J38+'RISD25-32'!J38+'RISD33-40'!J38)*(1-'RISD1-8'!$B$50)</f>
        <v>0</v>
      </c>
      <c r="D38" s="51">
        <f t="shared" si="0"/>
        <v>0</v>
      </c>
      <c r="F38" s="240" t="s">
        <v>926</v>
      </c>
    </row>
    <row r="39" spans="1:6" ht="15.75">
      <c r="A39" s="45" t="s">
        <v>1178</v>
      </c>
      <c r="B39" s="309">
        <f>('RISD1-8'!J21+'RISD9-16'!J21+'RISD17-24'!J21+'RISD25-32'!J21+'RISD33-40'!J21)*'RISD1-8'!B50</f>
        <v>0</v>
      </c>
      <c r="C39" s="309">
        <f>('RISD1-8'!J21+'RISD9-16'!J21+'RISD17-24'!J21+'RISD25-32'!J21+'RISD33-40'!J21)*1-'RISD1-8'!B50</f>
        <v>-0.4</v>
      </c>
      <c r="D39" s="312">
        <f>SUM(B39:C39)</f>
        <v>-0.4</v>
      </c>
      <c r="F39" s="240"/>
    </row>
    <row r="40" spans="1:6" ht="15.75">
      <c r="A40" s="46" t="s">
        <v>1062</v>
      </c>
      <c r="B40" s="285">
        <f>('RISD1-8'!J40+'RISD9-16'!J40+'RISD17-24'!J40+'RISD25-32'!J40+'RISD33-40'!J40)*('RISD1-8'!$B$50)</f>
        <v>0</v>
      </c>
      <c r="C40" s="51">
        <f>('RISD1-8'!J40+'RISD9-16'!J40+'RISD17-24'!J40+'RISD25-32'!J40+'RISD33-40'!J40)*(1-'RISD1-8'!$B$50)</f>
        <v>0</v>
      </c>
      <c r="D40" s="51">
        <f t="shared" si="0"/>
        <v>0</v>
      </c>
      <c r="F40" s="240" t="s">
        <v>1010</v>
      </c>
    </row>
    <row r="41" spans="1:6" ht="15.75">
      <c r="A41" s="45" t="s">
        <v>948</v>
      </c>
      <c r="B41" s="52"/>
      <c r="C41" s="54">
        <f>1-((C52-3218)/2)/C52</f>
        <v>0.9732306772374043</v>
      </c>
      <c r="D41" s="53"/>
      <c r="F41" s="241" t="s">
        <v>868</v>
      </c>
    </row>
    <row r="42" spans="1:6" ht="15.75">
      <c r="A42" s="45" t="s">
        <v>891</v>
      </c>
      <c r="B42" s="309">
        <f>((('RISD1-8'!J42+'RISD9-16'!J42+'RISD17-24'!J42+'RISD25-32'!J42+'RISD33-40'!J42))*('RISD1-8'!$B$50))</f>
        <v>0</v>
      </c>
      <c r="C42" s="54">
        <f>(SUM(C61:C69)*C41)/3218</f>
        <v>0</v>
      </c>
      <c r="D42" s="51">
        <f>B42+C42</f>
        <v>0</v>
      </c>
      <c r="F42" s="240" t="s">
        <v>995</v>
      </c>
    </row>
    <row r="43" spans="1:6" s="31" customFormat="1" ht="12.75">
      <c r="A43" s="107"/>
      <c r="B43" s="108"/>
      <c r="C43" s="109"/>
      <c r="D43" s="109"/>
      <c r="E43"/>
      <c r="F43" s="240" t="s">
        <v>992</v>
      </c>
    </row>
    <row r="44" spans="1:6" ht="15.75">
      <c r="A44" s="196" t="s">
        <v>14</v>
      </c>
      <c r="B44" s="55"/>
      <c r="C44" s="56"/>
      <c r="D44" s="102" t="s">
        <v>1180</v>
      </c>
      <c r="F44" s="241" t="s">
        <v>993</v>
      </c>
    </row>
    <row r="45" spans="1:6" ht="16.5" thickBot="1">
      <c r="A45" s="83" t="s">
        <v>46</v>
      </c>
      <c r="B45" s="55"/>
      <c r="C45" s="56"/>
      <c r="D45" s="103">
        <v>0</v>
      </c>
      <c r="F45" s="242" t="s">
        <v>1011</v>
      </c>
    </row>
    <row r="46" spans="1:6" ht="15.75">
      <c r="A46" s="83" t="s">
        <v>1006</v>
      </c>
      <c r="B46" s="55"/>
      <c r="C46" s="56"/>
      <c r="D46" s="104">
        <v>0</v>
      </c>
      <c r="F46" s="250">
        <f>ENROLLMENT!B$36</f>
      </c>
    </row>
    <row r="47" spans="1:6" ht="15.75">
      <c r="A47" s="83" t="s">
        <v>1026</v>
      </c>
      <c r="B47" s="55"/>
      <c r="C47" s="56"/>
      <c r="D47" s="104">
        <v>0</v>
      </c>
      <c r="F47" s="250">
        <f>ENROLLMENT!C$36</f>
      </c>
    </row>
    <row r="48" spans="1:6" ht="15.75">
      <c r="A48" s="83" t="s">
        <v>742</v>
      </c>
      <c r="B48" s="55"/>
      <c r="C48" s="56"/>
      <c r="D48" s="104">
        <v>0</v>
      </c>
      <c r="F48" s="250">
        <f>ENROLLMENT!D$36</f>
      </c>
    </row>
    <row r="49" spans="1:6" ht="15.75">
      <c r="A49" s="83" t="s">
        <v>743</v>
      </c>
      <c r="B49" s="55"/>
      <c r="C49" s="56"/>
      <c r="D49" s="104">
        <v>0</v>
      </c>
      <c r="F49" s="250">
        <f>ENROLLMENT!E$36</f>
      </c>
    </row>
    <row r="50" spans="1:6" ht="15.75">
      <c r="A50" s="83" t="s">
        <v>892</v>
      </c>
      <c r="B50" s="72"/>
      <c r="C50" s="72"/>
      <c r="D50" s="72"/>
      <c r="F50" s="250">
        <f>ENROLLMENT!F$36</f>
      </c>
    </row>
    <row r="51" spans="1:6" ht="15.75">
      <c r="A51" s="84" t="s">
        <v>787</v>
      </c>
      <c r="B51" s="72"/>
      <c r="C51" s="85">
        <f>FSPVAR!H6</f>
        <v>4125.9073171</v>
      </c>
      <c r="D51" s="252"/>
      <c r="F51" s="250">
        <f>ENROLLMENT!G$36</f>
      </c>
    </row>
    <row r="52" spans="1:6" ht="15.75">
      <c r="A52" s="84" t="s">
        <v>947</v>
      </c>
      <c r="B52" s="72"/>
      <c r="C52" s="85">
        <f>FSPVAR!G6</f>
        <v>3400.0331707</v>
      </c>
      <c r="D52" s="252"/>
      <c r="F52" s="250">
        <f>ENROLLMENT!H$36</f>
      </c>
    </row>
    <row r="53" spans="1:6" ht="15.75">
      <c r="A53" s="83" t="s">
        <v>48</v>
      </c>
      <c r="B53" s="72"/>
      <c r="C53" s="86">
        <f>FSPVAR!I6</f>
        <v>0.1133931707</v>
      </c>
      <c r="D53" s="252"/>
      <c r="F53" s="250">
        <f>ENROLLMENT!I$36</f>
      </c>
    </row>
    <row r="54" spans="1:6" ht="15.75">
      <c r="A54" s="83" t="s">
        <v>1024</v>
      </c>
      <c r="B54" s="72"/>
      <c r="C54" s="86">
        <f>FSPVAR!J6</f>
        <v>0.0570913171</v>
      </c>
      <c r="D54" s="252"/>
      <c r="F54" s="250">
        <f>ENROLLMENT!J$36</f>
      </c>
    </row>
    <row r="55" spans="1:6" ht="15.75">
      <c r="A55" s="83" t="s">
        <v>1025</v>
      </c>
      <c r="B55" s="72"/>
      <c r="C55" s="86">
        <f>FSPVAR!K6</f>
        <v>0.0343474146</v>
      </c>
      <c r="D55" s="252"/>
      <c r="F55" s="250">
        <f>ENROLLMENT!K$36</f>
      </c>
    </row>
    <row r="56" spans="1:6" ht="15.75">
      <c r="A56" s="83" t="s">
        <v>717</v>
      </c>
      <c r="B56" s="72"/>
      <c r="C56" s="85">
        <v>4974</v>
      </c>
      <c r="D56" s="252"/>
      <c r="F56" s="250">
        <f>ENROLLMENT!L$36</f>
      </c>
    </row>
    <row r="57" spans="1:6" ht="15.75">
      <c r="A57" s="94" t="s">
        <v>893</v>
      </c>
      <c r="B57" s="95">
        <f>'RISD1-8'!J52+'RISD9-16'!J52+'RISD17-24'!J52+'RISD25-32'!J52+'RISD33-40'!J52</f>
        <v>0</v>
      </c>
      <c r="C57" s="57"/>
      <c r="D57" s="96">
        <f>B57</f>
        <v>0</v>
      </c>
      <c r="F57" s="250">
        <f>ENROLLMENT!M$36</f>
      </c>
    </row>
    <row r="58" spans="1:6" ht="15.75">
      <c r="A58" s="94" t="s">
        <v>894</v>
      </c>
      <c r="B58" s="95">
        <f>'RISD1-8'!J54+'RISD9-16'!J54+'RISD17-24'!J54+'RISD25-32'!J54+'RISD33-40'!J54</f>
        <v>0</v>
      </c>
      <c r="C58" s="57"/>
      <c r="D58" s="96">
        <f>B58</f>
        <v>0</v>
      </c>
      <c r="F58" s="250">
        <f>ENROLLMENT!N$36</f>
      </c>
    </row>
    <row r="59" spans="1:6" ht="15.75">
      <c r="A59" s="94" t="s">
        <v>895</v>
      </c>
      <c r="B59" s="85">
        <f>'RISD1-8'!J56+'RISD9-16'!J56+'RISD17-24'!J56+'RISD25-32'!J56+'RISD33-40'!J56</f>
        <v>0</v>
      </c>
      <c r="C59" s="73"/>
      <c r="D59" s="85">
        <f>B59</f>
        <v>0</v>
      </c>
      <c r="F59" s="250">
        <f>ENROLLMENT!O$36</f>
      </c>
    </row>
    <row r="60" spans="1:7" ht="15.75">
      <c r="A60" s="83" t="s">
        <v>896</v>
      </c>
      <c r="B60" s="72"/>
      <c r="C60" s="72"/>
      <c r="D60" s="72"/>
      <c r="F60" s="250">
        <f>ENROLLMENT!P$36</f>
      </c>
      <c r="G60" s="35"/>
    </row>
    <row r="61" spans="1:7" ht="15.75">
      <c r="A61" s="87" t="s">
        <v>914</v>
      </c>
      <c r="B61" s="85">
        <f>'RISD1-8'!J59+'RISD9-16'!J59+'RISD17-24'!J59+'RISD25-32'!J59+'RISD33-40'!J59</f>
        <v>0</v>
      </c>
      <c r="C61" s="97">
        <f>C31*C51</f>
        <v>0</v>
      </c>
      <c r="D61" s="97">
        <f>SUM(B61:C61)</f>
        <v>0</v>
      </c>
      <c r="F61" s="250">
        <f>ENROLLMENT!Q$36</f>
      </c>
      <c r="G61" s="36"/>
    </row>
    <row r="62" spans="1:7" ht="15.75">
      <c r="A62" s="87" t="s">
        <v>915</v>
      </c>
      <c r="B62" s="85">
        <f>'RISD1-8'!J60+'RISD9-16'!J60+'RISD17-24'!J60+'RISD25-32'!J60+'RISD33-40'!J60</f>
        <v>0</v>
      </c>
      <c r="C62" s="97">
        <f>C32*C51</f>
        <v>0</v>
      </c>
      <c r="D62" s="97">
        <f aca="true" t="shared" si="1" ref="D62:D75">SUM(B62:C62)</f>
        <v>0</v>
      </c>
      <c r="F62" s="250">
        <f>ENROLLMENT!R$36</f>
      </c>
      <c r="G62" s="36"/>
    </row>
    <row r="63" spans="1:7" ht="15.75">
      <c r="A63" s="87" t="s">
        <v>916</v>
      </c>
      <c r="B63" s="85">
        <f>'RISD1-8'!J61+'RISD9-16'!J61+'RISD17-24'!J61+'RISD25-32'!J61+'RISD33-40'!J61</f>
        <v>0</v>
      </c>
      <c r="C63" s="97">
        <f>C33*C51</f>
        <v>0</v>
      </c>
      <c r="D63" s="97">
        <f t="shared" si="1"/>
        <v>0</v>
      </c>
      <c r="F63" s="250">
        <f>ENROLLMENT!S$36</f>
      </c>
      <c r="G63" s="36"/>
    </row>
    <row r="64" spans="1:7" ht="15.75">
      <c r="A64" s="87" t="s">
        <v>921</v>
      </c>
      <c r="B64" s="85">
        <f>'RISD1-8'!J62+'RISD9-16'!J62+'RISD17-24'!J62+'RISD25-32'!J62+'RISD33-40'!J62</f>
        <v>0</v>
      </c>
      <c r="C64" s="97">
        <f>C34*C51</f>
        <v>0</v>
      </c>
      <c r="D64" s="97">
        <f t="shared" si="1"/>
        <v>0</v>
      </c>
      <c r="F64" s="250">
        <f>ENROLLMENT!T$36</f>
      </c>
      <c r="G64" s="36"/>
    </row>
    <row r="65" spans="1:7" ht="15.75">
      <c r="A65" s="87" t="s">
        <v>917</v>
      </c>
      <c r="B65" s="85">
        <f>'RISD1-8'!J63+'RISD9-16'!J63+'RISD17-24'!J63+'RISD25-32'!J63+'RISD33-40'!J63</f>
        <v>0</v>
      </c>
      <c r="C65" s="97">
        <f>C35*C51</f>
        <v>0</v>
      </c>
      <c r="D65" s="97">
        <f t="shared" si="1"/>
        <v>0</v>
      </c>
      <c r="F65" s="250">
        <f>ENROLLMENT!U$36</f>
      </c>
      <c r="G65" s="36"/>
    </row>
    <row r="66" spans="1:7" ht="15.75">
      <c r="A66" s="87" t="s">
        <v>918</v>
      </c>
      <c r="B66" s="85">
        <f>'RISD1-8'!J64+'RISD9-16'!J64+'RISD17-24'!J64+'RISD25-32'!J64+'RISD33-40'!J64</f>
        <v>0</v>
      </c>
      <c r="C66" s="97">
        <f>C36*C51</f>
        <v>0</v>
      </c>
      <c r="D66" s="97">
        <f t="shared" si="1"/>
        <v>0</v>
      </c>
      <c r="F66" s="250">
        <f>ENROLLMENT!V$36</f>
      </c>
      <c r="G66" s="36"/>
    </row>
    <row r="67" spans="1:7" ht="15.75">
      <c r="A67" s="87" t="s">
        <v>919</v>
      </c>
      <c r="B67" s="85">
        <f>'RISD1-8'!J65+'RISD9-16'!J65+'RISD17-24'!J65+'RISD25-32'!J65+'RISD33-40'!J65</f>
        <v>0</v>
      </c>
      <c r="C67" s="97">
        <f>C37*C51</f>
        <v>0</v>
      </c>
      <c r="D67" s="97">
        <f t="shared" si="1"/>
        <v>0</v>
      </c>
      <c r="F67" s="250">
        <f>ENROLLMENT!W$36</f>
      </c>
      <c r="G67" s="36"/>
    </row>
    <row r="68" spans="1:7" ht="15.75">
      <c r="A68" s="87" t="s">
        <v>920</v>
      </c>
      <c r="B68" s="85">
        <f>'RISD1-8'!J66+'RISD9-16'!J66+'RISD17-24'!J66+'RISD25-32'!J66+'RISD33-40'!J66</f>
        <v>0</v>
      </c>
      <c r="C68" s="97">
        <f>C38*C51</f>
        <v>0</v>
      </c>
      <c r="D68" s="97">
        <f t="shared" si="1"/>
        <v>0</v>
      </c>
      <c r="F68" s="250">
        <f>ENROLLMENT!X$36</f>
      </c>
      <c r="G68" s="36"/>
    </row>
    <row r="69" spans="1:7" ht="15.75">
      <c r="A69" s="87" t="s">
        <v>1165</v>
      </c>
      <c r="B69" s="85">
        <f>'RISD1-8'!J67+'RISD9-16'!J67+'RISD17-24'!J67+'RISD25-32'!J67+'RISD33-40'!J67</f>
        <v>0</v>
      </c>
      <c r="C69" s="97">
        <f>C22*C51*0.75</f>
        <v>0</v>
      </c>
      <c r="D69" s="97">
        <f>SUM(B69:C69)</f>
        <v>0</v>
      </c>
      <c r="F69" s="250"/>
      <c r="G69" s="36"/>
    </row>
    <row r="70" spans="1:7" ht="15.75">
      <c r="A70" s="89" t="s">
        <v>783</v>
      </c>
      <c r="B70" s="58"/>
      <c r="C70" s="58"/>
      <c r="D70" s="58"/>
      <c r="F70" s="250">
        <f>ENROLLMENT!AC$36</f>
      </c>
      <c r="G70" s="35"/>
    </row>
    <row r="71" spans="1:7" ht="15.75">
      <c r="A71" s="90" t="s">
        <v>784</v>
      </c>
      <c r="B71" s="43"/>
      <c r="C71" s="58"/>
      <c r="D71" s="110">
        <v>0</v>
      </c>
      <c r="F71" s="250">
        <f>ENROLLMENT!AD$36</f>
      </c>
      <c r="G71" s="35"/>
    </row>
    <row r="72" spans="1:7" ht="15.75">
      <c r="A72" s="90" t="s">
        <v>785</v>
      </c>
      <c r="B72" s="43"/>
      <c r="C72" s="58"/>
      <c r="D72" s="110">
        <v>0</v>
      </c>
      <c r="F72" s="250">
        <f>ENROLLMENT!AE$36</f>
      </c>
      <c r="G72" s="35"/>
    </row>
    <row r="73" spans="1:7" ht="15.75">
      <c r="A73" s="90" t="s">
        <v>786</v>
      </c>
      <c r="B73" s="43"/>
      <c r="C73" s="58"/>
      <c r="D73" s="110">
        <v>0</v>
      </c>
      <c r="F73" s="250">
        <f>ENROLLMENT!AF$36</f>
      </c>
      <c r="G73" s="35"/>
    </row>
    <row r="74" spans="1:7" ht="15.75">
      <c r="A74" s="87" t="s">
        <v>932</v>
      </c>
      <c r="B74" s="85">
        <f>'RISD1-8'!J68+'RISD9-16'!J68+'RISD17-24'!J68+'RISD25-32'!J68+'RISD33-40'!J68</f>
        <v>0</v>
      </c>
      <c r="C74" s="97">
        <f>SUM(C61:C69)</f>
        <v>0</v>
      </c>
      <c r="D74" s="97">
        <f>SUM(D61:D73)</f>
        <v>0</v>
      </c>
      <c r="F74" s="250">
        <f>ENROLLMENT!Z$36</f>
      </c>
      <c r="G74" s="36"/>
    </row>
    <row r="75" spans="1:7" ht="16.5" thickBot="1">
      <c r="A75" s="87" t="s">
        <v>935</v>
      </c>
      <c r="B75" s="98">
        <f>'RISD1-8'!J69+'RISD9-16'!J69+'RISD17-24'!J69+'RISD25-32'!J69+'RISD33-40'!J69</f>
        <v>0</v>
      </c>
      <c r="C75" s="98">
        <f>ROUND((37.42*C42*C53*100)+(50.98*C42*C54*100)+(31.95*C42*C55*100),1)</f>
        <v>0</v>
      </c>
      <c r="D75" s="98">
        <f t="shared" si="1"/>
        <v>0</v>
      </c>
      <c r="F75" s="250">
        <f>ENROLLMENT!AA$36</f>
      </c>
      <c r="G75" s="36"/>
    </row>
    <row r="76" spans="1:7" ht="15.75">
      <c r="A76" s="88" t="s">
        <v>936</v>
      </c>
      <c r="B76" s="99">
        <f>B74+B75</f>
        <v>0</v>
      </c>
      <c r="C76" s="99">
        <f>C74+C75</f>
        <v>0</v>
      </c>
      <c r="D76" s="99">
        <f>D74+D75</f>
        <v>0</v>
      </c>
      <c r="F76" s="250">
        <f>ENROLLMENT!AB$36</f>
      </c>
      <c r="G76" s="36"/>
    </row>
    <row r="77" spans="1:7" ht="15.75">
      <c r="A77" s="87" t="s">
        <v>1041</v>
      </c>
      <c r="B77" s="43"/>
      <c r="C77" s="58"/>
      <c r="D77" s="110">
        <v>0</v>
      </c>
      <c r="F77" s="250">
        <f>ENROLLMENT!AG$36</f>
      </c>
      <c r="G77" s="35"/>
    </row>
    <row r="78" spans="1:7" ht="15.75">
      <c r="A78" s="91" t="s">
        <v>741</v>
      </c>
      <c r="B78" s="105">
        <f>'RISD1-8'!J72+'RISD9-16'!J72+'RISD17-24'!J72+'RISD25-32'!J72+'RISD33-40'!J72</f>
        <v>0</v>
      </c>
      <c r="C78" s="106">
        <f>C42*110</f>
        <v>0</v>
      </c>
      <c r="D78" s="97">
        <f>SUM(B78:C78)</f>
        <v>0</v>
      </c>
      <c r="F78" s="250">
        <f>ENROLLMENT!AH$36</f>
      </c>
      <c r="G78" s="35"/>
    </row>
    <row r="79" spans="1:7" ht="15.75">
      <c r="A79" s="87" t="s">
        <v>1002</v>
      </c>
      <c r="B79" s="217"/>
      <c r="C79" s="218"/>
      <c r="D79" s="97">
        <f>((C42*C56)-SUM(C61:C69)-ROUND((37.42*C42*C53*100),1)-D77-C42*110)</f>
        <v>0</v>
      </c>
      <c r="F79" s="296"/>
      <c r="G79" s="35"/>
    </row>
    <row r="80" spans="1:7" ht="15.75">
      <c r="A80" s="87" t="s">
        <v>1019</v>
      </c>
      <c r="B80" s="217"/>
      <c r="C80" s="218"/>
      <c r="D80" s="97">
        <f>D42*23.63</f>
        <v>0</v>
      </c>
      <c r="F80" s="250">
        <f>ENROLLMENT!AJ$36</f>
      </c>
      <c r="G80" s="35"/>
    </row>
    <row r="81" spans="1:7" ht="15.75">
      <c r="A81" s="87" t="s">
        <v>47</v>
      </c>
      <c r="B81" s="68"/>
      <c r="C81" s="69"/>
      <c r="D81" s="97">
        <f>D45*275</f>
        <v>0</v>
      </c>
      <c r="F81" s="250">
        <f>ENROLLMENT!AK$36</f>
      </c>
      <c r="G81" s="35"/>
    </row>
    <row r="82" spans="1:7" ht="15.75">
      <c r="A82" s="87" t="s">
        <v>1082</v>
      </c>
      <c r="B82" s="68"/>
      <c r="C82" s="69"/>
      <c r="D82" s="97">
        <f>IF(D44="YES",D46*2500+D47*1250,D46*2000+D47*1000)</f>
        <v>0</v>
      </c>
      <c r="F82" s="250">
        <f>ENROLLMENT!AL$36</f>
      </c>
      <c r="G82" s="35"/>
    </row>
    <row r="83" spans="1:7" ht="15.75">
      <c r="A83" s="87" t="s">
        <v>653</v>
      </c>
      <c r="B83" s="68"/>
      <c r="C83" s="69"/>
      <c r="D83" s="246">
        <f>IF(D44="YES",D48*500,0)</f>
        <v>0</v>
      </c>
      <c r="F83" s="250">
        <f>ENROLLMENT!AM$36</f>
      </c>
      <c r="G83" s="35"/>
    </row>
    <row r="84" spans="1:7" ht="15.75">
      <c r="A84" s="87" t="s">
        <v>654</v>
      </c>
      <c r="B84" s="68"/>
      <c r="C84" s="69"/>
      <c r="D84" s="246">
        <f>IF(D44="YES",D49*250,0)</f>
        <v>0</v>
      </c>
      <c r="F84" s="250">
        <f>ENROLLMENT!AN$36</f>
      </c>
      <c r="G84" s="35"/>
    </row>
    <row r="85" spans="1:7" ht="16.5" thickBot="1">
      <c r="A85" s="92" t="s">
        <v>872</v>
      </c>
      <c r="B85" s="74"/>
      <c r="C85" s="74"/>
      <c r="D85" s="100">
        <f>SUM(D76:D84)</f>
        <v>0</v>
      </c>
      <c r="E85" s="34"/>
      <c r="F85" s="250">
        <f>ENROLLMENT!AO$36</f>
      </c>
      <c r="G85" s="35"/>
    </row>
    <row r="86" spans="1:7" ht="16.5" thickTop="1">
      <c r="A86" s="87" t="s">
        <v>1120</v>
      </c>
      <c r="B86" s="70"/>
      <c r="C86" s="71"/>
      <c r="D86" s="99">
        <f>D8*29.5</f>
        <v>0</v>
      </c>
      <c r="G86" s="35"/>
    </row>
    <row r="87" spans="1:7" ht="16.5" thickBot="1">
      <c r="A87" s="92" t="s">
        <v>1039</v>
      </c>
      <c r="B87" s="101">
        <f>B76</f>
        <v>0</v>
      </c>
      <c r="C87" s="100">
        <f>C76</f>
        <v>0</v>
      </c>
      <c r="D87" s="100">
        <f>D85+D86</f>
        <v>0</v>
      </c>
      <c r="G87" s="35"/>
    </row>
    <row r="88" spans="8:9" ht="13.5" thickTop="1">
      <c r="H88" s="33"/>
      <c r="I88" s="34"/>
    </row>
    <row r="93" ht="12.75">
      <c r="F93" s="36"/>
    </row>
    <row r="94" ht="12.75">
      <c r="F94" s="36"/>
    </row>
  </sheetData>
  <sheetProtection password="EE5D" sheet="1"/>
  <mergeCells count="1">
    <mergeCell ref="F11:F20"/>
  </mergeCells>
  <printOptions headings="1"/>
  <pageMargins left="0.5" right="0.5" top="0.5" bottom="0.75" header="0.5" footer="0.5"/>
  <pageSetup fitToHeight="1" fitToWidth="1" horizontalDpi="300" verticalDpi="300" orientation="portrait" scale="47" r:id="rId1"/>
  <headerFooter alignWithMargins="0">
    <oddFooter>&amp;CRESIDENT DISTRICT
PRINTED ON &amp;D</oddFooter>
  </headerFooter>
  <ignoredErrors>
    <ignoredError sqref="D81" unlockedFormula="1"/>
  </ignoredErrors>
</worksheet>
</file>

<file path=xl/worksheets/sheet6.xml><?xml version="1.0" encoding="utf-8"?>
<worksheet xmlns="http://schemas.openxmlformats.org/spreadsheetml/2006/main" xmlns:r="http://schemas.openxmlformats.org/officeDocument/2006/relationships">
  <sheetPr>
    <tabColor indexed="40"/>
    <pageSetUpPr fitToPage="1"/>
  </sheetPr>
  <dimension ref="A1:J74"/>
  <sheetViews>
    <sheetView zoomScale="88" zoomScaleNormal="88" zoomScaleSheetLayoutView="88" zoomScalePageLayoutView="0" workbookViewId="0" topLeftCell="A1">
      <pane xSplit="1" ySplit="6" topLeftCell="B7" activePane="bottomRight" state="frozen"/>
      <selection pane="topLeft" activeCell="D79" sqref="D79"/>
      <selection pane="topRight" activeCell="D79" sqref="D79"/>
      <selection pane="bottomLeft" activeCell="D79" sqref="D79"/>
      <selection pane="bottomRight" activeCell="D79" sqref="D79"/>
    </sheetView>
  </sheetViews>
  <sheetFormatPr defaultColWidth="9.140625" defaultRowHeight="12.75"/>
  <cols>
    <col min="1" max="1" width="42.7109375" style="144" customWidth="1"/>
    <col min="2" max="9" width="12.7109375" style="144" customWidth="1"/>
    <col min="10" max="10" width="13.57421875" style="144" bestFit="1" customWidth="1"/>
    <col min="11" max="16384" width="9.140625" style="144" customWidth="1"/>
  </cols>
  <sheetData>
    <row r="1" spans="1:10" ht="12.75">
      <c r="A1" s="326" t="str">
        <f>VLOOKUP(A2,ALLCHARTERS!$A:$XFD,3,FALSE)</f>
        <v>ENTER CHARTER SCHOOL CDN BELOW (NO DASHES):</v>
      </c>
      <c r="B1" s="327"/>
      <c r="C1" s="327"/>
      <c r="D1" s="327"/>
      <c r="E1" s="327"/>
      <c r="F1" s="327"/>
      <c r="G1" s="327"/>
      <c r="H1" s="327"/>
      <c r="I1" s="327"/>
      <c r="J1" s="328"/>
    </row>
    <row r="2" spans="1:10" ht="12.75">
      <c r="A2" s="329">
        <f>IF(admin="sf161",'MAINFRAME WHATIF'!B3,ENROLLMENT!A2)</f>
        <v>0</v>
      </c>
      <c r="B2" s="330"/>
      <c r="C2" s="330"/>
      <c r="D2" s="330"/>
      <c r="E2" s="330"/>
      <c r="F2" s="330"/>
      <c r="G2" s="330"/>
      <c r="H2" s="330"/>
      <c r="I2" s="330"/>
      <c r="J2" s="331"/>
    </row>
    <row r="3" spans="1:10" ht="12.75">
      <c r="A3" s="332" t="str">
        <f>ENROLLMENT!A3</f>
        <v>2008-2009 Estimate of State Aid Entitlement Template</v>
      </c>
      <c r="B3" s="333"/>
      <c r="C3" s="333"/>
      <c r="D3" s="333"/>
      <c r="E3" s="333"/>
      <c r="F3" s="333"/>
      <c r="G3" s="333"/>
      <c r="H3" s="333"/>
      <c r="I3" s="333"/>
      <c r="J3" s="334"/>
    </row>
    <row r="4" spans="1:10" ht="12.75">
      <c r="A4" s="185"/>
      <c r="B4" s="184">
        <v>1</v>
      </c>
      <c r="C4" s="184">
        <v>2</v>
      </c>
      <c r="D4" s="184">
        <v>3</v>
      </c>
      <c r="E4" s="184">
        <v>4</v>
      </c>
      <c r="F4" s="184">
        <v>5</v>
      </c>
      <c r="G4" s="184">
        <v>6</v>
      </c>
      <c r="H4" s="184">
        <v>7</v>
      </c>
      <c r="I4" s="184">
        <v>8</v>
      </c>
      <c r="J4" s="186"/>
    </row>
    <row r="5" spans="1:10" ht="24.75" customHeight="1">
      <c r="A5" s="187"/>
      <c r="B5" s="188" t="str">
        <f>VLOOKUP(B$6,FSPVAR!$A:$F,2,FALSE)</f>
        <v>NONE</v>
      </c>
      <c r="C5" s="188" t="str">
        <f>VLOOKUP(C$6,FSPVAR!$A:$F,2,FALSE)</f>
        <v>NONE</v>
      </c>
      <c r="D5" s="188" t="str">
        <f>VLOOKUP(D$6,FSPVAR!$A:$F,2,FALSE)</f>
        <v>NONE</v>
      </c>
      <c r="E5" s="188" t="str">
        <f>VLOOKUP(E$6,FSPVAR!$A:$F,2,FALSE)</f>
        <v>NONE</v>
      </c>
      <c r="F5" s="188" t="str">
        <f>VLOOKUP(F$6,FSPVAR!$A:$F,2,FALSE)</f>
        <v>NONE</v>
      </c>
      <c r="G5" s="188" t="str">
        <f>VLOOKUP(G$6,FSPVAR!$A:$F,2,FALSE)</f>
        <v>NONE</v>
      </c>
      <c r="H5" s="188" t="str">
        <f>VLOOKUP(H$6,FSPVAR!$A:$F,2,FALSE)</f>
        <v>NONE</v>
      </c>
      <c r="I5" s="188" t="str">
        <f>VLOOKUP(I$6,FSPVAR!$A:$F,2,FALSE)</f>
        <v>NONE</v>
      </c>
      <c r="J5" s="188" t="s">
        <v>1027</v>
      </c>
    </row>
    <row r="6" spans="1:10" ht="12.75">
      <c r="A6" s="187" t="s">
        <v>1077</v>
      </c>
      <c r="B6" s="189">
        <f>IF(admin="sf161",_cdn1,ENROLLMENT!B8)</f>
        <v>0</v>
      </c>
      <c r="C6" s="189">
        <f>IF(admin="sf161",_cdn2,ENROLLMENT!C8)</f>
        <v>0</v>
      </c>
      <c r="D6" s="189">
        <f>IF(admin="sf161",_cdn3,ENROLLMENT!D8)</f>
        <v>0</v>
      </c>
      <c r="E6" s="189">
        <f>IF(admin="sf161",_cdn4,ENROLLMENT!E8)</f>
        <v>0</v>
      </c>
      <c r="F6" s="189">
        <f>IF(admin="sf161",_cdn5,ENROLLMENT!F8)</f>
        <v>0</v>
      </c>
      <c r="G6" s="189">
        <f>IF(admin="sf161",_cdn6,ENROLLMENT!G8)</f>
        <v>0</v>
      </c>
      <c r="H6" s="189">
        <f>IF(admin="sf161",_cdn7,ENROLLMENT!H8)</f>
        <v>0</v>
      </c>
      <c r="I6" s="189">
        <f>IF(admin="sf161",_cdn8,ENROLLMENT!I8)</f>
        <v>0</v>
      </c>
      <c r="J6" s="188"/>
    </row>
    <row r="7" spans="1:10" ht="12.75">
      <c r="A7" s="144" t="s">
        <v>875</v>
      </c>
      <c r="B7" s="158">
        <f>IF(admin="sf161",VLOOKUP(B6,whatif,2,FALSE),ENROLLMENT!B9*ENROLLMENT!B10)</f>
        <v>0</v>
      </c>
      <c r="C7" s="158">
        <f>IF(admin="sf161",VLOOKUP(C6,whatif,2,FALSE),ENROLLMENT!C9*ENROLLMENT!C10)</f>
        <v>0</v>
      </c>
      <c r="D7" s="158">
        <f>IF(admin="sf161",VLOOKUP(D6,whatif,2,FALSE),ENROLLMENT!D9*ENROLLMENT!D10)</f>
        <v>0</v>
      </c>
      <c r="E7" s="158">
        <f>IF(admin="sf161",VLOOKUP(E6,whatif,2,FALSE),ENROLLMENT!E9*ENROLLMENT!E10)</f>
        <v>0</v>
      </c>
      <c r="F7" s="158">
        <f>IF(admin="sf161",VLOOKUP(F6,whatif,2,FALSE),ENROLLMENT!F9*ENROLLMENT!F10)</f>
        <v>0</v>
      </c>
      <c r="G7" s="158">
        <f>IF(admin="sf161",VLOOKUP(G6,whatif,2,FALSE),ENROLLMENT!G9*ENROLLMENT!G10)</f>
        <v>0</v>
      </c>
      <c r="H7" s="158">
        <f>IF(admin="sf161",VLOOKUP(H6,whatif,2,FALSE),ENROLLMENT!H9*ENROLLMENT!H10)</f>
        <v>0</v>
      </c>
      <c r="I7" s="158">
        <f>IF(admin="sf161",VLOOKUP(I6,whatif,2,FALSE),ENROLLMENT!I9*ENROLLMENT!I10)</f>
        <v>0</v>
      </c>
      <c r="J7" s="119">
        <f>SUM(B7:I7)</f>
        <v>0</v>
      </c>
    </row>
    <row r="8" spans="1:10" ht="12.75">
      <c r="A8" s="144" t="s">
        <v>876</v>
      </c>
      <c r="B8" s="159"/>
      <c r="C8" s="159"/>
      <c r="D8" s="159"/>
      <c r="E8" s="159"/>
      <c r="F8" s="159"/>
      <c r="G8" s="159"/>
      <c r="H8" s="159"/>
      <c r="I8" s="159"/>
      <c r="J8" s="145"/>
    </row>
    <row r="9" spans="1:10" ht="12.75">
      <c r="A9" s="146" t="s">
        <v>1051</v>
      </c>
      <c r="B9" s="277">
        <f>IF(admin="sf161",VLOOKUP(B6,whatif,4,FALSE),ENROLLMENT!B13*ENROLLMENT!B10*1/6)</f>
        <v>0</v>
      </c>
      <c r="C9" s="277">
        <f>IF(admin="sf161",VLOOKUP(C6,whatif,4,FALSE),ENROLLMENT!C13*ENROLLMENT!C10*1/6)</f>
        <v>0</v>
      </c>
      <c r="D9" s="277">
        <f>IF(admin="sf161",VLOOKUP(D6,whatif,4,FALSE),ENROLLMENT!D13*ENROLLMENT!D10*1/6)</f>
        <v>0</v>
      </c>
      <c r="E9" s="277">
        <f>IF(admin="sf161",VLOOKUP(E6,whatif,4,FALSE),ENROLLMENT!E13*ENROLLMENT!E10*1/6)</f>
        <v>0</v>
      </c>
      <c r="F9" s="277">
        <f>IF(admin="sf161",VLOOKUP(F6,whatif,4,FALSE),ENROLLMENT!F13*ENROLLMENT!F10*1/6)</f>
        <v>0</v>
      </c>
      <c r="G9" s="277">
        <f>IF(admin="sf161",VLOOKUP(G6,whatif,4,FALSE),ENROLLMENT!G13*ENROLLMENT!G10*1/6)</f>
        <v>0</v>
      </c>
      <c r="H9" s="277">
        <f>IF(admin="sf161",VLOOKUP(H6,whatif,4,FALSE),ENROLLMENT!H13*ENROLLMENT!H10*1/6)</f>
        <v>0</v>
      </c>
      <c r="I9" s="277">
        <f>IF(admin="sf161",VLOOKUP(I6,whatif,4,FALSE),ENROLLMENT!I13*ENROLLMENT!I10*1/6)</f>
        <v>0</v>
      </c>
      <c r="J9" s="118">
        <f aca="true" t="shared" si="0" ref="J9:J40">SUM(B9:I9)</f>
        <v>0</v>
      </c>
    </row>
    <row r="10" spans="1:10" ht="12.75">
      <c r="A10" s="146" t="s">
        <v>1052</v>
      </c>
      <c r="B10" s="277">
        <f>IF(admin="sf161",VLOOKUP(B6,whatif,5,FALSE),ENROLLMENT!B14*ENROLLMENT!B10*4.5/6)</f>
        <v>0</v>
      </c>
      <c r="C10" s="277">
        <f>IF(admin="sf161",VLOOKUP(C6,whatif,5,FALSE),ENROLLMENT!C14*ENROLLMENT!C10*4.5/6)</f>
        <v>0</v>
      </c>
      <c r="D10" s="277">
        <f>IF(admin="sf161",VLOOKUP(D6,whatif,5,FALSE),ENROLLMENT!D14*ENROLLMENT!D10*4.5/6)</f>
        <v>0</v>
      </c>
      <c r="E10" s="277">
        <f>IF(admin="sf161",VLOOKUP(E6,whatif,5,FALSE),ENROLLMENT!E14*ENROLLMENT!E10*4.5/6)</f>
        <v>0</v>
      </c>
      <c r="F10" s="277">
        <f>IF(admin="sf161",VLOOKUP(F6,whatif,5,FALSE),ENROLLMENT!F14*ENROLLMENT!F10*4.5/6)</f>
        <v>0</v>
      </c>
      <c r="G10" s="277">
        <f>IF(admin="sf161",VLOOKUP(G6,whatif,5,FALSE),ENROLLMENT!G14*ENROLLMENT!G10*4.5/6)</f>
        <v>0</v>
      </c>
      <c r="H10" s="277">
        <f>IF(admin="sf161",VLOOKUP(H6,whatif,5,FALSE),ENROLLMENT!H14*ENROLLMENT!H10*4.5/6)</f>
        <v>0</v>
      </c>
      <c r="I10" s="277">
        <f>IF(admin="sf161",VLOOKUP(I6,whatif,5,FALSE),ENROLLMENT!I14*ENROLLMENT!I10*4.5/6)</f>
        <v>0</v>
      </c>
      <c r="J10" s="119">
        <f t="shared" si="0"/>
        <v>0</v>
      </c>
    </row>
    <row r="11" spans="1:10" ht="12.75">
      <c r="A11" s="146" t="s">
        <v>1053</v>
      </c>
      <c r="B11" s="277">
        <f>IF(admin="sf161",VLOOKUP(B6,whatif,6,FALSE),ENROLLMENT!B15*ENROLLMENT!B10*0.25/6)</f>
        <v>0</v>
      </c>
      <c r="C11" s="277">
        <f>IF(admin="sf161",VLOOKUP(C6,whatif,6,FALSE),ENROLLMENT!C15*ENROLLMENT!C10*0.25/6)</f>
        <v>0</v>
      </c>
      <c r="D11" s="277">
        <f>IF(admin="sf161",VLOOKUP(D6,whatif,6,FALSE),ENROLLMENT!D15*ENROLLMENT!D10*0.25/6)</f>
        <v>0</v>
      </c>
      <c r="E11" s="277">
        <f>IF(admin="sf161",VLOOKUP(E6,whatif,6,FALSE),ENROLLMENT!E15*ENROLLMENT!E10*0.25/6)</f>
        <v>0</v>
      </c>
      <c r="F11" s="277">
        <f>IF(admin="sf161",VLOOKUP(F6,whatif,6,FALSE),ENROLLMENT!F15*ENROLLMENT!F10*0.25/6)</f>
        <v>0</v>
      </c>
      <c r="G11" s="277">
        <f>IF(admin="sf161",VLOOKUP(G6,whatif,6,FALSE),ENROLLMENT!G15*ENROLLMENT!G10*0.25/6)</f>
        <v>0</v>
      </c>
      <c r="H11" s="277">
        <f>IF(admin="sf161",VLOOKUP(H6,whatif,6,FALSE),ENROLLMENT!H15*ENROLLMENT!H10*0.25/6)</f>
        <v>0</v>
      </c>
      <c r="I11" s="277">
        <f>IF(admin="sf161",VLOOKUP(I6,whatif,6,FALSE),ENROLLMENT!I15*ENROLLMENT!I10*0.25/6)</f>
        <v>0</v>
      </c>
      <c r="J11" s="119">
        <f t="shared" si="0"/>
        <v>0</v>
      </c>
    </row>
    <row r="12" spans="1:10" ht="12.75">
      <c r="A12" s="146" t="s">
        <v>1054</v>
      </c>
      <c r="B12" s="277">
        <f>IF(admin="sf161",VLOOKUP(B6,whatif,7,FALSE),ENROLLMENT!B16*ENROLLMENT!B10*2.859/6)</f>
        <v>0</v>
      </c>
      <c r="C12" s="277">
        <f>IF(admin="sf161",VLOOKUP(C6,whatif,7,FALSE),ENROLLMENT!C16*ENROLLMENT!C10*2.859/6)</f>
        <v>0</v>
      </c>
      <c r="D12" s="277">
        <f>IF(admin="sf161",VLOOKUP(D6,whatif,7,FALSE),ENROLLMENT!D16*ENROLLMENT!D10*2.859/6)</f>
        <v>0</v>
      </c>
      <c r="E12" s="277">
        <f>IF(admin="sf161",VLOOKUP(E6,whatif,7,FALSE),ENROLLMENT!E16*ENROLLMENT!E10*2.859/6)</f>
        <v>0</v>
      </c>
      <c r="F12" s="277">
        <f>IF(admin="sf161",VLOOKUP(F6,whatif,7,FALSE),ENROLLMENT!F16*ENROLLMENT!F10*2.859/6)</f>
        <v>0</v>
      </c>
      <c r="G12" s="277">
        <f>IF(admin="sf161",VLOOKUP(G6,whatif,7,FALSE),ENROLLMENT!G16*ENROLLMENT!G10*2.859/6)</f>
        <v>0</v>
      </c>
      <c r="H12" s="277">
        <f>IF(admin="sf161",VLOOKUP(H6,whatif,7,FALSE),ENROLLMENT!H16*ENROLLMENT!H10*2.859/6)</f>
        <v>0</v>
      </c>
      <c r="I12" s="277">
        <f>IF(admin="sf161",VLOOKUP(I6,whatif,7,FALSE),ENROLLMENT!I16*ENROLLMENT!I10*2.859/6)</f>
        <v>0</v>
      </c>
      <c r="J12" s="119">
        <f t="shared" si="0"/>
        <v>0</v>
      </c>
    </row>
    <row r="13" spans="1:10" ht="12.75">
      <c r="A13" s="146" t="s">
        <v>1073</v>
      </c>
      <c r="B13" s="277">
        <f>IF(admin="sf161",VLOOKUP(B6,whatif,8,FALSE),ENROLLMENT!B17*ENROLLMENT!B10*2.859/6)</f>
        <v>0</v>
      </c>
      <c r="C13" s="277">
        <f>IF(admin="sf161",VLOOKUP(C6,whatif,8,FALSE),ENROLLMENT!C17*ENROLLMENT!C10*2.859/6)</f>
        <v>0</v>
      </c>
      <c r="D13" s="277">
        <f>IF(admin="sf161",VLOOKUP(D6,whatif,8,FALSE),ENROLLMENT!D17*ENROLLMENT!D10*2.859/6)</f>
        <v>0</v>
      </c>
      <c r="E13" s="277">
        <f>IF(admin="sf161",VLOOKUP(E6,whatif,8,FALSE),ENROLLMENT!E17*ENROLLMENT!E10*2.859/6)</f>
        <v>0</v>
      </c>
      <c r="F13" s="277">
        <f>IF(admin="sf161",VLOOKUP(F6,whatif,8,FALSE),ENROLLMENT!F17*ENROLLMENT!F10*2.859/6)</f>
        <v>0</v>
      </c>
      <c r="G13" s="277">
        <f>IF(admin="sf161",VLOOKUP(G6,whatif,8,FALSE),ENROLLMENT!G17*ENROLLMENT!G10*2.859/6)</f>
        <v>0</v>
      </c>
      <c r="H13" s="277">
        <f>IF(admin="sf161",VLOOKUP(H6,whatif,8,FALSE),ENROLLMENT!H17*ENROLLMENT!H10*2.859/6)</f>
        <v>0</v>
      </c>
      <c r="I13" s="277">
        <f>IF(admin="sf161",VLOOKUP(I6,whatif,8,FALSE),ENROLLMENT!I17*ENROLLMENT!I10*2.859/6)</f>
        <v>0</v>
      </c>
      <c r="J13" s="119">
        <f t="shared" si="0"/>
        <v>0</v>
      </c>
    </row>
    <row r="14" spans="1:10" ht="12.75">
      <c r="A14" s="146" t="s">
        <v>897</v>
      </c>
      <c r="B14" s="277">
        <f>IF(admin="sf161",VLOOKUP(B6,whatif,9,FALSE),ENROLLMENT!B18*ENROLLMENT!B$10*2.859/6)</f>
        <v>0</v>
      </c>
      <c r="C14" s="277">
        <f>IF(admin="sf161",VLOOKUP(C6,whatif,9,FALSE),ENROLLMENT!C18*ENROLLMENT!C$10*2.859/6)</f>
        <v>0</v>
      </c>
      <c r="D14" s="277">
        <f>IF(admin="sf161",VLOOKUP(D6,whatif,9,FALSE),ENROLLMENT!D18*ENROLLMENT!D$10*2.859/6)</f>
        <v>0</v>
      </c>
      <c r="E14" s="277">
        <f>IF(admin="sf161",VLOOKUP(E6,whatif,9,FALSE),ENROLLMENT!E18*ENROLLMENT!E$10*2.859/6)</f>
        <v>0</v>
      </c>
      <c r="F14" s="277">
        <f>IF(admin="sf161",VLOOKUP(F6,whatif,9,FALSE),ENROLLMENT!F18*ENROLLMENT!F$10*2.859/6)</f>
        <v>0</v>
      </c>
      <c r="G14" s="277">
        <f>IF(admin="sf161",VLOOKUP(G6,whatif,9,FALSE),ENROLLMENT!G18*ENROLLMENT!G$10*2.859/6)</f>
        <v>0</v>
      </c>
      <c r="H14" s="277">
        <f>IF(admin="sf161",VLOOKUP(H6,whatif,9,FALSE),ENROLLMENT!H18*ENROLLMENT!H$10*2.859/6)</f>
        <v>0</v>
      </c>
      <c r="I14" s="277">
        <f>IF(admin="sf161",VLOOKUP(I6,whatif,9,FALSE),ENROLLMENT!I18*ENROLLMENT!I$10*2.859/6)</f>
        <v>0</v>
      </c>
      <c r="J14" s="119">
        <f t="shared" si="0"/>
        <v>0</v>
      </c>
    </row>
    <row r="15" spans="1:10" ht="12.75">
      <c r="A15" s="146" t="s">
        <v>1074</v>
      </c>
      <c r="B15" s="277">
        <f>IF(admin="sf161",VLOOKUP(B6,whatif,10,FALSE),ENROLLMENT!B19*ENROLLMENT!B10*4.25/6)</f>
        <v>0</v>
      </c>
      <c r="C15" s="277">
        <f>IF(admin="sf161",VLOOKUP(C6,whatif,10,FALSE),ENROLLMENT!C19*ENROLLMENT!C10*4.25/6)</f>
        <v>0</v>
      </c>
      <c r="D15" s="277">
        <f>IF(admin="sf161",VLOOKUP(D6,whatif,10,FALSE),ENROLLMENT!D19*ENROLLMENT!D10*4.25/6)</f>
        <v>0</v>
      </c>
      <c r="E15" s="277">
        <f>IF(admin="sf161",VLOOKUP(E6,whatif,10,FALSE),ENROLLMENT!E19*ENROLLMENT!E10*4.25/6)</f>
        <v>0</v>
      </c>
      <c r="F15" s="277">
        <f>IF(admin="sf161",VLOOKUP(F6,whatif,10,FALSE),ENROLLMENT!F19*ENROLLMENT!F10*4.25/6)</f>
        <v>0</v>
      </c>
      <c r="G15" s="277">
        <f>IF(admin="sf161",VLOOKUP(G6,whatif,10,FALSE),ENROLLMENT!G19*ENROLLMENT!G10*4.25/6)</f>
        <v>0</v>
      </c>
      <c r="H15" s="277">
        <f>IF(admin="sf161",VLOOKUP(H6,whatif,10,FALSE),ENROLLMENT!H19*ENROLLMENT!H10*4.25/6)</f>
        <v>0</v>
      </c>
      <c r="I15" s="277">
        <f>IF(admin="sf161",VLOOKUP(I6,whatif,10,FALSE),ENROLLMENT!I19*ENROLLMENT!I10*4.25/6)</f>
        <v>0</v>
      </c>
      <c r="J15" s="119">
        <f t="shared" si="0"/>
        <v>0</v>
      </c>
    </row>
    <row r="16" spans="1:10" ht="12.75">
      <c r="A16" s="146" t="s">
        <v>1057</v>
      </c>
      <c r="B16" s="277">
        <f>IF(admin="sf161",VLOOKUP(B6,whatif,11,FALSE),ENROLLMENT!B20*ENROLLMENT!B10*5.5/6)</f>
        <v>0</v>
      </c>
      <c r="C16" s="277">
        <f>IF(admin="sf161",VLOOKUP(C6,whatif,11,FALSE),ENROLLMENT!C20*ENROLLMENT!C10*5.5/6)</f>
        <v>0</v>
      </c>
      <c r="D16" s="277">
        <f>IF(admin="sf161",VLOOKUP(D6,whatif,11,FALSE),ENROLLMENT!D20*ENROLLMENT!D10*5.5/6)</f>
        <v>0</v>
      </c>
      <c r="E16" s="277">
        <f>IF(admin="sf161",VLOOKUP(E6,whatif,11,FALSE),ENROLLMENT!E20*ENROLLMENT!E10*5.5/6)</f>
        <v>0</v>
      </c>
      <c r="F16" s="277">
        <f>IF(admin="sf161",VLOOKUP(F6,whatif,11,FALSE),ENROLLMENT!F20*ENROLLMENT!F10*5.5/6)</f>
        <v>0</v>
      </c>
      <c r="G16" s="277">
        <f>IF(admin="sf161",VLOOKUP(G6,whatif,11,FALSE),ENROLLMENT!G20*ENROLLMENT!G10*5.5/6)</f>
        <v>0</v>
      </c>
      <c r="H16" s="277">
        <f>IF(admin="sf161",VLOOKUP(H6,whatif,11,FALSE),ENROLLMENT!H20*ENROLLMENT!H10*5.5/6)</f>
        <v>0</v>
      </c>
      <c r="I16" s="277">
        <f>IF(admin="sf161",VLOOKUP(I6,whatif,11,FALSE),ENROLLMENT!I20*ENROLLMENT!I10*5.5/6)</f>
        <v>0</v>
      </c>
      <c r="J16" s="119">
        <f t="shared" si="0"/>
        <v>0</v>
      </c>
    </row>
    <row r="17" spans="1:10" ht="12.75">
      <c r="A17" s="146" t="s">
        <v>1058</v>
      </c>
      <c r="B17" s="277">
        <f>IF(admin="sf161",VLOOKUP(B6,whatif,12,FALSE),ENROLLMENT!B21*ENROLLMENT!B10*5.5/6)</f>
        <v>0</v>
      </c>
      <c r="C17" s="277">
        <f>IF(admin="sf161",VLOOKUP(C6,whatif,12,FALSE),ENROLLMENT!C21*ENROLLMENT!C10*5.5/6)</f>
        <v>0</v>
      </c>
      <c r="D17" s="277">
        <f>IF(admin="sf161",VLOOKUP(D6,whatif,12,FALSE),ENROLLMENT!D21*ENROLLMENT!D10*5.5/6)</f>
        <v>0</v>
      </c>
      <c r="E17" s="277">
        <f>IF(admin="sf161",VLOOKUP(E6,whatif,12,FALSE),ENROLLMENT!E21*ENROLLMENT!E10*5.5/6)</f>
        <v>0</v>
      </c>
      <c r="F17" s="277">
        <f>IF(admin="sf161",VLOOKUP(F6,whatif,12,FALSE),ENROLLMENT!F21*ENROLLMENT!F10*5.5/6)</f>
        <v>0</v>
      </c>
      <c r="G17" s="277">
        <f>IF(admin="sf161",VLOOKUP(G6,whatif,12,FALSE),ENROLLMENT!G21*ENROLLMENT!G10*5.5/6)</f>
        <v>0</v>
      </c>
      <c r="H17" s="277">
        <f>IF(admin="sf161",VLOOKUP(H6,whatif,12,FALSE),ENROLLMENT!H21*ENROLLMENT!H10*5.5/6)</f>
        <v>0</v>
      </c>
      <c r="I17" s="277">
        <f>IF(admin="sf161",VLOOKUP(I6,whatif,12,FALSE),ENROLLMENT!I21*ENROLLMENT!I10*5.5/6)</f>
        <v>0</v>
      </c>
      <c r="J17" s="119">
        <f t="shared" si="0"/>
        <v>0</v>
      </c>
    </row>
    <row r="18" spans="1:10" ht="12.75">
      <c r="A18" s="146" t="s">
        <v>1059</v>
      </c>
      <c r="B18" s="277">
        <f>IF(admin="sf161",VLOOKUP(B6,whatif,13,FALSE),ENROLLMENT!B22*ENROLLMENT!B10*5.5/6)</f>
        <v>0</v>
      </c>
      <c r="C18" s="277">
        <f>IF(admin="sf161",VLOOKUP(C6,whatif,13,FALSE),ENROLLMENT!C22*ENROLLMENT!C10*5.5/6)</f>
        <v>0</v>
      </c>
      <c r="D18" s="277">
        <f>IF(admin="sf161",VLOOKUP(D6,whatif,13,FALSE),ENROLLMENT!D22*ENROLLMENT!D10*5.5/6)</f>
        <v>0</v>
      </c>
      <c r="E18" s="277">
        <f>IF(admin="sf161",VLOOKUP(E6,whatif,13,FALSE),ENROLLMENT!E22*ENROLLMENT!E10*5.5/6)</f>
        <v>0</v>
      </c>
      <c r="F18" s="277">
        <f>IF(admin="sf161",VLOOKUP(F6,whatif,13,FALSE),ENROLLMENT!F22*ENROLLMENT!F10*5.5/6)</f>
        <v>0</v>
      </c>
      <c r="G18" s="277">
        <f>IF(admin="sf161",VLOOKUP(G6,whatif,13,FALSE),ENROLLMENT!G22*ENROLLMENT!G10*5.5/6)</f>
        <v>0</v>
      </c>
      <c r="H18" s="277">
        <f>IF(admin="sf161",VLOOKUP(H6,whatif,13,FALSE),ENROLLMENT!H22*ENROLLMENT!H10*5.5/6)</f>
        <v>0</v>
      </c>
      <c r="I18" s="277">
        <f>IF(admin="sf161",VLOOKUP(I6,whatif,13,FALSE),ENROLLMENT!I22*ENROLLMENT!I10*5.5/6)</f>
        <v>0</v>
      </c>
      <c r="J18" s="119">
        <f t="shared" si="0"/>
        <v>0</v>
      </c>
    </row>
    <row r="19" spans="1:10" ht="12.75">
      <c r="A19" s="147" t="s">
        <v>1060</v>
      </c>
      <c r="B19" s="277">
        <f aca="true" t="shared" si="1" ref="B19:I19">SUM(B9:B18)</f>
        <v>0</v>
      </c>
      <c r="C19" s="277">
        <f t="shared" si="1"/>
        <v>0</v>
      </c>
      <c r="D19" s="277">
        <f t="shared" si="1"/>
        <v>0</v>
      </c>
      <c r="E19" s="277">
        <f t="shared" si="1"/>
        <v>0</v>
      </c>
      <c r="F19" s="277">
        <f t="shared" si="1"/>
        <v>0</v>
      </c>
      <c r="G19" s="277">
        <f t="shared" si="1"/>
        <v>0</v>
      </c>
      <c r="H19" s="277">
        <f t="shared" si="1"/>
        <v>0</v>
      </c>
      <c r="I19" s="277">
        <f t="shared" si="1"/>
        <v>0</v>
      </c>
      <c r="J19" s="119">
        <f t="shared" si="0"/>
        <v>0</v>
      </c>
    </row>
    <row r="20" spans="1:10" ht="12.75">
      <c r="A20" s="147" t="s">
        <v>1061</v>
      </c>
      <c r="B20" s="277">
        <f>(B9*5)+(B10*3)+(B11*5)+(B12*3)+(B13*3)+(B14*3)+(B15*2.7)+(B16*2.3)+(B17*2.8)+(B18*4)</f>
        <v>0</v>
      </c>
      <c r="C20" s="277">
        <f aca="true" t="shared" si="2" ref="C20:I20">(C9*5)+(C10*3)+(C11*5)+(C12*3)+(C13*3)+(C14*3)+(C15*2.7)+(C16*2.3)+(C17*2.8)+(C18*4)</f>
        <v>0</v>
      </c>
      <c r="D20" s="277">
        <f t="shared" si="2"/>
        <v>0</v>
      </c>
      <c r="E20" s="277">
        <f t="shared" si="2"/>
        <v>0</v>
      </c>
      <c r="F20" s="277">
        <f t="shared" si="2"/>
        <v>0</v>
      </c>
      <c r="G20" s="277">
        <f t="shared" si="2"/>
        <v>0</v>
      </c>
      <c r="H20" s="277">
        <f t="shared" si="2"/>
        <v>0</v>
      </c>
      <c r="I20" s="277">
        <f t="shared" si="2"/>
        <v>0</v>
      </c>
      <c r="J20" s="119">
        <f t="shared" si="0"/>
        <v>0</v>
      </c>
    </row>
    <row r="21" spans="1:10" ht="12.75">
      <c r="A21" s="116" t="s">
        <v>1175</v>
      </c>
      <c r="B21" s="277">
        <f>VLOOKUP(B6,'MAINFRAME WHATIF'!$C$3:$AH$43,32,FALSE)</f>
        <v>0</v>
      </c>
      <c r="C21" s="277">
        <f>VLOOKUP(C6,'MAINFRAME WHATIF'!$C$3:$AH$43,32,FALSE)</f>
        <v>0</v>
      </c>
      <c r="D21" s="277">
        <f>VLOOKUP(D6,'MAINFRAME WHATIF'!$C$3:$AH$43,32,FALSE)</f>
        <v>0</v>
      </c>
      <c r="E21" s="277">
        <f>VLOOKUP(E6,'MAINFRAME WHATIF'!$C$3:$AH$43,32,FALSE)</f>
        <v>0</v>
      </c>
      <c r="F21" s="277">
        <f>VLOOKUP(F6,'MAINFRAME WHATIF'!$C$3:$AH$43,32,FALSE)</f>
        <v>0</v>
      </c>
      <c r="G21" s="277">
        <f>VLOOKUP(G6,'MAINFRAME WHATIF'!$C$3:$AH$43,32,FALSE)</f>
        <v>0</v>
      </c>
      <c r="H21" s="277">
        <f>VLOOKUP(H6,'MAINFRAME WHATIF'!$C$3:$AH$43,32,FALSE)</f>
        <v>0</v>
      </c>
      <c r="I21" s="277">
        <f>VLOOKUP(I6,'MAINFRAME WHATIF'!$C$3:$AH$43,32,FALSE)</f>
        <v>0</v>
      </c>
      <c r="J21" s="119">
        <f>SUM(B21:I21)</f>
        <v>0</v>
      </c>
    </row>
    <row r="22" spans="1:10" ht="12.75">
      <c r="A22" s="144" t="s">
        <v>877</v>
      </c>
      <c r="B22" s="277">
        <f>IF(admin="sf161",VLOOKUP(B6,whatif,15,FALSE),(ENROLLMENT!B25*ENROLLMENT!B10*0.17)+(ENROLLMENT!B26*ENROLLMENT!B10*0.33)+(ENROLLMENT!B27*ENROLLMENT!B10*0.5)+(ENROLLMENT!B28*ENROLLMENT!B10*0.67)+(ENROLLMENT!B29*ENROLLMENT!B10*0.83)+(ENROLLMENT!B30*ENROLLMENT!B10*1))</f>
        <v>0</v>
      </c>
      <c r="C22" s="277">
        <f>IF(admin="sf161",VLOOKUP(C6,whatif,15,FALSE),(ENROLLMENT!C25*ENROLLMENT!C10*0.17)+(ENROLLMENT!C26*ENROLLMENT!C10*0.33)+(ENROLLMENT!C27*ENROLLMENT!C10*0.5)+(ENROLLMENT!C28*ENROLLMENT!C10*0.67)+(ENROLLMENT!C29*ENROLLMENT!C10*0.83)+(ENROLLMENT!C30*ENROLLMENT!C10*1))</f>
        <v>0</v>
      </c>
      <c r="D22" s="277">
        <f>IF(admin="sf161",VLOOKUP(D6,whatif,15,FALSE),(ENROLLMENT!D25*ENROLLMENT!D10*0.17)+(ENROLLMENT!D26*ENROLLMENT!D10*0.33)+(ENROLLMENT!D27*ENROLLMENT!D10*0.5)+(ENROLLMENT!D28*ENROLLMENT!D10*0.67)+(ENROLLMENT!D29*ENROLLMENT!D10*0.83)+(ENROLLMENT!D30*ENROLLMENT!D10*1))</f>
        <v>0</v>
      </c>
      <c r="E22" s="277">
        <f>IF(admin="sf161",VLOOKUP(E6,whatif,15,FALSE),(ENROLLMENT!E25*ENROLLMENT!E10*0.17)+(ENROLLMENT!E26*ENROLLMENT!E10*0.33)+(ENROLLMENT!E27*ENROLLMENT!E10*0.5)+(ENROLLMENT!E28*ENROLLMENT!E10*0.67)+(ENROLLMENT!E29*ENROLLMENT!E10*0.83)+(ENROLLMENT!E30*ENROLLMENT!E10*1))</f>
        <v>0</v>
      </c>
      <c r="F22" s="277">
        <f>IF(admin="sf161",VLOOKUP(F6,whatif,15,FALSE),(ENROLLMENT!F25*ENROLLMENT!F10*0.17)+(ENROLLMENT!F26*ENROLLMENT!F10*0.33)+(ENROLLMENT!F27*ENROLLMENT!F10*0.5)+(ENROLLMENT!F28*ENROLLMENT!F10*0.67)+(ENROLLMENT!F29*ENROLLMENT!F10*0.83)+(ENROLLMENT!F30*ENROLLMENT!F10*1))</f>
        <v>0</v>
      </c>
      <c r="G22" s="277">
        <f>IF(admin="sf161",VLOOKUP(G6,whatif,15,FALSE),(ENROLLMENT!G25*ENROLLMENT!G10*0.17)+(ENROLLMENT!G26*ENROLLMENT!G10*0.33)+(ENROLLMENT!G27*ENROLLMENT!G10*0.5)+(ENROLLMENT!G28*ENROLLMENT!G10*0.67)+(ENROLLMENT!G29*ENROLLMENT!G10*0.83)+(ENROLLMENT!G30*ENROLLMENT!G10*1))</f>
        <v>0</v>
      </c>
      <c r="H22" s="277">
        <f>IF(admin="sf161",VLOOKUP(H6,whatif,15,FALSE),(ENROLLMENT!H25*ENROLLMENT!H10*0.17)+(ENROLLMENT!H26*ENROLLMENT!H10*0.33)+(ENROLLMENT!H27*ENROLLMENT!H10*0.5)+(ENROLLMENT!H28*ENROLLMENT!H10*0.67)+(ENROLLMENT!H29*ENROLLMENT!H10*0.83)+(ENROLLMENT!H30*ENROLLMENT!H10*1))</f>
        <v>0</v>
      </c>
      <c r="I22" s="277">
        <f>IF(admin="sf161",VLOOKUP(I6,whatif,15,FALSE),(ENROLLMENT!I25*ENROLLMENT!I10*0.17)+(ENROLLMENT!I26*ENROLLMENT!I10*0.33)+(ENROLLMENT!I27*ENROLLMENT!I10*0.5)+(ENROLLMENT!I28*ENROLLMENT!I10*0.67)+(ENROLLMENT!I29*ENROLLMENT!I10*0.83)+(ENROLLMENT!I30*ENROLLMENT!I10*1))</f>
        <v>0</v>
      </c>
      <c r="J22" s="119">
        <f t="shared" si="0"/>
        <v>0</v>
      </c>
    </row>
    <row r="23" spans="1:10" ht="12.75">
      <c r="A23" s="144" t="s">
        <v>878</v>
      </c>
      <c r="B23" s="277">
        <f aca="true" t="shared" si="3" ref="B23:I23">B7-B19-B22</f>
        <v>0</v>
      </c>
      <c r="C23" s="277">
        <f t="shared" si="3"/>
        <v>0</v>
      </c>
      <c r="D23" s="277">
        <f t="shared" si="3"/>
        <v>0</v>
      </c>
      <c r="E23" s="277">
        <f t="shared" si="3"/>
        <v>0</v>
      </c>
      <c r="F23" s="277">
        <f t="shared" si="3"/>
        <v>0</v>
      </c>
      <c r="G23" s="277">
        <f t="shared" si="3"/>
        <v>0</v>
      </c>
      <c r="H23" s="277">
        <f t="shared" si="3"/>
        <v>0</v>
      </c>
      <c r="I23" s="277">
        <f t="shared" si="3"/>
        <v>0</v>
      </c>
      <c r="J23" s="119">
        <f t="shared" si="0"/>
        <v>0</v>
      </c>
    </row>
    <row r="24" spans="1:10" ht="12.75">
      <c r="A24" s="144" t="s">
        <v>879</v>
      </c>
      <c r="B24" s="277">
        <f>IF(admin="sf161",VLOOKUP(B6,whatif,16,FALSE),ENROLLMENT!B23*ENROLLMENT!B10)</f>
        <v>0</v>
      </c>
      <c r="C24" s="277">
        <f>IF(admin="sf161",VLOOKUP(C6,whatif,16,FALSE),ENROLLMENT!C23*ENROLLMENT!C10)</f>
        <v>0</v>
      </c>
      <c r="D24" s="277">
        <f>IF(admin="sf161",VLOOKUP(D6,whatif,16,FALSE),ENROLLMENT!D23*ENROLLMENT!D10)</f>
        <v>0</v>
      </c>
      <c r="E24" s="277">
        <f>IF(admin="sf161",VLOOKUP(E6,whatif,16,FALSE),ENROLLMENT!E23*ENROLLMENT!E10)</f>
        <v>0</v>
      </c>
      <c r="F24" s="277">
        <f>IF(admin="sf161",VLOOKUP(F6,whatif,16,FALSE),ENROLLMENT!F23*ENROLLMENT!F10)</f>
        <v>0</v>
      </c>
      <c r="G24" s="277">
        <f>IF(admin="sf161",VLOOKUP(G6,whatif,16,FALSE),ENROLLMENT!G23*ENROLLMENT!G10)</f>
        <v>0</v>
      </c>
      <c r="H24" s="277">
        <f>IF(admin="sf161",VLOOKUP(H6,whatif,16,FALSE),ENROLLMENT!H23*ENROLLMENT!H10)</f>
        <v>0</v>
      </c>
      <c r="I24" s="277">
        <f>IF(admin="sf161",VLOOKUP(I6,whatif,16,FALSE),ENROLLMENT!I23*ENROLLMENT!I10)</f>
        <v>0</v>
      </c>
      <c r="J24" s="119">
        <f t="shared" si="0"/>
        <v>0</v>
      </c>
    </row>
    <row r="25" spans="1:10" ht="12.75">
      <c r="A25" s="144" t="s">
        <v>874</v>
      </c>
      <c r="B25" s="277">
        <f>IF(admin="sf161",VLOOKUP(B6,whatif,17,FALSE),IF(ENROLLMENT!B31&lt;B7*0.05,ENROLLMENT!B31,B7*0.05))</f>
        <v>0</v>
      </c>
      <c r="C25" s="277">
        <f>IF(admin="sf161",VLOOKUP(C6,whatif,17,FALSE),IF(ENROLLMENT!C31&lt;C7*0.05,ENROLLMENT!C31,C7*0.05))</f>
        <v>0</v>
      </c>
      <c r="D25" s="277">
        <f>IF(admin="sf161",VLOOKUP(D6,whatif,17,FALSE),IF(ENROLLMENT!D31&lt;D7*0.05,ENROLLMENT!D31,D7*0.05))</f>
        <v>0</v>
      </c>
      <c r="E25" s="277">
        <f>IF(admin="sf161",VLOOKUP(E6,whatif,17,FALSE),IF(ENROLLMENT!E31&lt;E7*0.05,ENROLLMENT!E31,E7*0.05))</f>
        <v>0</v>
      </c>
      <c r="F25" s="277">
        <f>IF(admin="sf161",VLOOKUP(F6,whatif,17,FALSE),IF(ENROLLMENT!F31&lt;F7*0.05,ENROLLMENT!F31,F7*0.05))</f>
        <v>0</v>
      </c>
      <c r="G25" s="277">
        <f>IF(admin="sf161",VLOOKUP(G6,whatif,17,FALSE),IF(ENROLLMENT!G31&lt;G7*0.05,ENROLLMENT!G31,G7*0.05))</f>
        <v>0</v>
      </c>
      <c r="H25" s="277">
        <f>IF(admin="sf161",VLOOKUP(H6,whatif,17,FALSE),IF(ENROLLMENT!H31&lt;H7*0.05,ENROLLMENT!H31,H7*0.05))</f>
        <v>0</v>
      </c>
      <c r="I25" s="277">
        <f>IF(admin="sf161",VLOOKUP(I6,whatif,17,FALSE),IF(ENROLLMENT!I31&lt;I7*0.05,ENROLLMENT!I31,I7*0.05))</f>
        <v>0</v>
      </c>
      <c r="J25" s="119">
        <f t="shared" si="0"/>
        <v>0</v>
      </c>
    </row>
    <row r="26" spans="1:10" ht="12.75">
      <c r="A26" s="112" t="s">
        <v>1163</v>
      </c>
      <c r="B26" s="277">
        <f>IF(B25&lt;B7*0.05,B25,B7*0.05)</f>
        <v>0</v>
      </c>
      <c r="C26" s="277">
        <f aca="true" t="shared" si="4" ref="C26:I26">IF(C25&lt;C7*0.05,C25,C7*0.05)</f>
        <v>0</v>
      </c>
      <c r="D26" s="277">
        <f t="shared" si="4"/>
        <v>0</v>
      </c>
      <c r="E26" s="277">
        <f t="shared" si="4"/>
        <v>0</v>
      </c>
      <c r="F26" s="277">
        <f t="shared" si="4"/>
        <v>0</v>
      </c>
      <c r="G26" s="277">
        <f t="shared" si="4"/>
        <v>0</v>
      </c>
      <c r="H26" s="277">
        <f t="shared" si="4"/>
        <v>0</v>
      </c>
      <c r="I26" s="277">
        <f t="shared" si="4"/>
        <v>0</v>
      </c>
      <c r="J26" s="119">
        <f t="shared" si="0"/>
        <v>0</v>
      </c>
    </row>
    <row r="27" spans="1:10" ht="12.75">
      <c r="A27" s="144" t="s">
        <v>880</v>
      </c>
      <c r="B27" s="277">
        <f>IF(admin="sf161",VLOOKUP(B6,whatif,18,FALSE),ENROLLMENT!B32)</f>
        <v>0</v>
      </c>
      <c r="C27" s="277">
        <f>IF(admin="sf161",VLOOKUP(C6,whatif,18,FALSE),ENROLLMENT!C32)</f>
        <v>0</v>
      </c>
      <c r="D27" s="277">
        <f>IF(admin="sf161",VLOOKUP(D6,whatif,18,FALSE),ENROLLMENT!D32)</f>
        <v>0</v>
      </c>
      <c r="E27" s="277">
        <f>IF(admin="sf161",VLOOKUP(E6,whatif,18,FALSE),ENROLLMENT!E32)</f>
        <v>0</v>
      </c>
      <c r="F27" s="277">
        <f>IF(admin="sf161",VLOOKUP(F6,whatif,18,FALSE),ENROLLMENT!F32)</f>
        <v>0</v>
      </c>
      <c r="G27" s="277">
        <f>IF(admin="sf161",VLOOKUP(G6,whatif,18,FALSE),ENROLLMENT!G32)</f>
        <v>0</v>
      </c>
      <c r="H27" s="277">
        <f>IF(admin="sf161",VLOOKUP(H6,whatif,18,FALSE),ENROLLMENT!H32)</f>
        <v>0</v>
      </c>
      <c r="I27" s="277">
        <f>IF(admin="sf161",VLOOKUP(I6,whatif,18,FALSE),ENROLLMENT!I32)</f>
        <v>0</v>
      </c>
      <c r="J27" s="119">
        <f t="shared" si="0"/>
        <v>0</v>
      </c>
    </row>
    <row r="28" spans="1:10" ht="12.75">
      <c r="A28" s="144" t="s">
        <v>1076</v>
      </c>
      <c r="B28" s="277">
        <f>IF(admin="sf161",VLOOKUP(B6,whatif,19,FALSE),ENROLLMENT!B33*ENROLLMENT!B10*0.2936)</f>
        <v>0</v>
      </c>
      <c r="C28" s="277">
        <f>IF(admin="sf161",VLOOKUP(C6,whatif,19,FALSE),ENROLLMENT!C33*ENROLLMENT!C10*0.2936)</f>
        <v>0</v>
      </c>
      <c r="D28" s="277">
        <f>IF(admin="sf161",VLOOKUP(D6,whatif,19,FALSE),ENROLLMENT!D33*ENROLLMENT!D10*0.2936)</f>
        <v>0</v>
      </c>
      <c r="E28" s="277">
        <f>IF(admin="sf161",VLOOKUP(E6,whatif,19,FALSE),ENROLLMENT!E33*ENROLLMENT!E10*0.2936)</f>
        <v>0</v>
      </c>
      <c r="F28" s="277">
        <f>IF(admin="sf161",VLOOKUP(F6,whatif,19,FALSE),ENROLLMENT!F33*ENROLLMENT!F10*0.2936)</f>
        <v>0</v>
      </c>
      <c r="G28" s="277">
        <f>IF(admin="sf161",VLOOKUP(G6,whatif,19,FALSE),ENROLLMENT!G33*ENROLLMENT!G10*0.2936)</f>
        <v>0</v>
      </c>
      <c r="H28" s="277">
        <f>IF(admin="sf161",VLOOKUP(H6,whatif,19,FALSE),ENROLLMENT!H33*ENROLLMENT!H10*0.2936)</f>
        <v>0</v>
      </c>
      <c r="I28" s="277">
        <f>IF(admin="sf161",VLOOKUP(I6,whatif,19,FALSE),ENROLLMENT!I33*ENROLLMENT!I10*0.2936)</f>
        <v>0</v>
      </c>
      <c r="J28" s="119">
        <f t="shared" si="0"/>
        <v>0</v>
      </c>
    </row>
    <row r="29" spans="1:10" ht="12.75">
      <c r="A29" s="144" t="s">
        <v>882</v>
      </c>
      <c r="B29" s="277">
        <f>IF(admin="sf161",VLOOKUP(B6,whatif,20,FALSE),ENROLLMENT!B34*ENROLLMENT!B10)</f>
        <v>0</v>
      </c>
      <c r="C29" s="277">
        <f>IF(admin="sf161",VLOOKUP(C6,whatif,20,FALSE),ENROLLMENT!C34*ENROLLMENT!C10)</f>
        <v>0</v>
      </c>
      <c r="D29" s="277">
        <f>IF(admin="sf161",VLOOKUP(D6,whatif,20,FALSE),ENROLLMENT!D34*ENROLLMENT!D10)</f>
        <v>0</v>
      </c>
      <c r="E29" s="277">
        <f>IF(admin="sf161",VLOOKUP(E6,whatif,20,FALSE),ENROLLMENT!E34*ENROLLMENT!E10)</f>
        <v>0</v>
      </c>
      <c r="F29" s="277">
        <f>IF(admin="sf161",VLOOKUP(F6,whatif,20,FALSE),ENROLLMENT!F34*ENROLLMENT!F10)</f>
        <v>0</v>
      </c>
      <c r="G29" s="277">
        <f>IF(admin="sf161",VLOOKUP(G6,whatif,20,FALSE),ENROLLMENT!G34*ENROLLMENT!G10)</f>
        <v>0</v>
      </c>
      <c r="H29" s="277">
        <f>IF(admin="sf161",VLOOKUP(H6,whatif,20,FALSE),ENROLLMENT!H34*ENROLLMENT!H10)</f>
        <v>0</v>
      </c>
      <c r="I29" s="277">
        <f>IF(admin="sf161",VLOOKUP(I6,whatif,20,FALSE),ENROLLMENT!I34*ENROLLMENT!I10)</f>
        <v>0</v>
      </c>
      <c r="J29" s="118">
        <f t="shared" si="0"/>
        <v>0</v>
      </c>
    </row>
    <row r="30" spans="2:10" ht="12.75">
      <c r="B30" s="148"/>
      <c r="C30" s="148"/>
      <c r="D30" s="148"/>
      <c r="E30" s="148"/>
      <c r="F30" s="148"/>
      <c r="G30" s="148"/>
      <c r="H30" s="148"/>
      <c r="I30" s="148"/>
      <c r="J30" s="148"/>
    </row>
    <row r="31" spans="1:10" ht="12.75">
      <c r="A31" s="144" t="s">
        <v>883</v>
      </c>
      <c r="B31" s="118">
        <f>B23</f>
        <v>0</v>
      </c>
      <c r="C31" s="118">
        <f aca="true" t="shared" si="5" ref="C31:I31">C23</f>
        <v>0</v>
      </c>
      <c r="D31" s="118">
        <f t="shared" si="5"/>
        <v>0</v>
      </c>
      <c r="E31" s="118">
        <f t="shared" si="5"/>
        <v>0</v>
      </c>
      <c r="F31" s="118">
        <f t="shared" si="5"/>
        <v>0</v>
      </c>
      <c r="G31" s="118">
        <f t="shared" si="5"/>
        <v>0</v>
      </c>
      <c r="H31" s="118">
        <f t="shared" si="5"/>
        <v>0</v>
      </c>
      <c r="I31" s="118">
        <f t="shared" si="5"/>
        <v>0</v>
      </c>
      <c r="J31" s="118">
        <f t="shared" si="0"/>
        <v>0</v>
      </c>
    </row>
    <row r="32" spans="1:10" ht="12.75">
      <c r="A32" s="144" t="s">
        <v>884</v>
      </c>
      <c r="B32" s="118">
        <f>B20</f>
        <v>0</v>
      </c>
      <c r="C32" s="118">
        <f aca="true" t="shared" si="6" ref="C32:I32">C20</f>
        <v>0</v>
      </c>
      <c r="D32" s="118">
        <f t="shared" si="6"/>
        <v>0</v>
      </c>
      <c r="E32" s="118">
        <f t="shared" si="6"/>
        <v>0</v>
      </c>
      <c r="F32" s="118">
        <f t="shared" si="6"/>
        <v>0</v>
      </c>
      <c r="G32" s="118">
        <f t="shared" si="6"/>
        <v>0</v>
      </c>
      <c r="H32" s="118">
        <f t="shared" si="6"/>
        <v>0</v>
      </c>
      <c r="I32" s="118">
        <f t="shared" si="6"/>
        <v>0</v>
      </c>
      <c r="J32" s="119">
        <f t="shared" si="0"/>
        <v>0</v>
      </c>
    </row>
    <row r="33" spans="1:10" ht="12.75">
      <c r="A33" s="144" t="s">
        <v>885</v>
      </c>
      <c r="B33" s="118">
        <f>B24*1.1</f>
        <v>0</v>
      </c>
      <c r="C33" s="118">
        <f aca="true" t="shared" si="7" ref="C33:I33">C24*1.1</f>
        <v>0</v>
      </c>
      <c r="D33" s="118">
        <f t="shared" si="7"/>
        <v>0</v>
      </c>
      <c r="E33" s="118">
        <f t="shared" si="7"/>
        <v>0</v>
      </c>
      <c r="F33" s="118">
        <f t="shared" si="7"/>
        <v>0</v>
      </c>
      <c r="G33" s="118">
        <f t="shared" si="7"/>
        <v>0</v>
      </c>
      <c r="H33" s="118">
        <f t="shared" si="7"/>
        <v>0</v>
      </c>
      <c r="I33" s="118">
        <f t="shared" si="7"/>
        <v>0</v>
      </c>
      <c r="J33" s="119">
        <f t="shared" si="0"/>
        <v>0</v>
      </c>
    </row>
    <row r="34" spans="1:10" ht="12.75">
      <c r="A34" s="144" t="s">
        <v>886</v>
      </c>
      <c r="B34" s="118">
        <f aca="true" t="shared" si="8" ref="B34:I34">B22*1.35</f>
        <v>0</v>
      </c>
      <c r="C34" s="118">
        <f t="shared" si="8"/>
        <v>0</v>
      </c>
      <c r="D34" s="118">
        <f t="shared" si="8"/>
        <v>0</v>
      </c>
      <c r="E34" s="118">
        <f t="shared" si="8"/>
        <v>0</v>
      </c>
      <c r="F34" s="118">
        <f t="shared" si="8"/>
        <v>0</v>
      </c>
      <c r="G34" s="118">
        <f t="shared" si="8"/>
        <v>0</v>
      </c>
      <c r="H34" s="118">
        <f t="shared" si="8"/>
        <v>0</v>
      </c>
      <c r="I34" s="118">
        <f t="shared" si="8"/>
        <v>0</v>
      </c>
      <c r="J34" s="119">
        <f t="shared" si="0"/>
        <v>0</v>
      </c>
    </row>
    <row r="35" spans="1:10" ht="12.75">
      <c r="A35" s="144" t="s">
        <v>887</v>
      </c>
      <c r="B35" s="118">
        <f>B26*0.12</f>
        <v>0</v>
      </c>
      <c r="C35" s="118">
        <f aca="true" t="shared" si="9" ref="C35:I35">C26*0.12</f>
        <v>0</v>
      </c>
      <c r="D35" s="118">
        <f t="shared" si="9"/>
        <v>0</v>
      </c>
      <c r="E35" s="118">
        <f t="shared" si="9"/>
        <v>0</v>
      </c>
      <c r="F35" s="118">
        <f t="shared" si="9"/>
        <v>0</v>
      </c>
      <c r="G35" s="118">
        <f t="shared" si="9"/>
        <v>0</v>
      </c>
      <c r="H35" s="118">
        <f t="shared" si="9"/>
        <v>0</v>
      </c>
      <c r="I35" s="118">
        <f t="shared" si="9"/>
        <v>0</v>
      </c>
      <c r="J35" s="119">
        <f t="shared" si="0"/>
        <v>0</v>
      </c>
    </row>
    <row r="36" spans="1:10" ht="12.75">
      <c r="A36" s="144" t="s">
        <v>888</v>
      </c>
      <c r="B36" s="118">
        <f>B27*0.2</f>
        <v>0</v>
      </c>
      <c r="C36" s="118">
        <f aca="true" t="shared" si="10" ref="C36:I36">C27*0.2</f>
        <v>0</v>
      </c>
      <c r="D36" s="118">
        <f t="shared" si="10"/>
        <v>0</v>
      </c>
      <c r="E36" s="118">
        <f t="shared" si="10"/>
        <v>0</v>
      </c>
      <c r="F36" s="118">
        <f t="shared" si="10"/>
        <v>0</v>
      </c>
      <c r="G36" s="118">
        <f t="shared" si="10"/>
        <v>0</v>
      </c>
      <c r="H36" s="118">
        <f t="shared" si="10"/>
        <v>0</v>
      </c>
      <c r="I36" s="118">
        <f t="shared" si="10"/>
        <v>0</v>
      </c>
      <c r="J36" s="119">
        <f t="shared" si="0"/>
        <v>0</v>
      </c>
    </row>
    <row r="37" spans="1:10" ht="12.75">
      <c r="A37" s="144" t="s">
        <v>1075</v>
      </c>
      <c r="B37" s="118">
        <f>B28*2.41</f>
        <v>0</v>
      </c>
      <c r="C37" s="118">
        <f aca="true" t="shared" si="11" ref="C37:I37">C28*2.41</f>
        <v>0</v>
      </c>
      <c r="D37" s="118">
        <f t="shared" si="11"/>
        <v>0</v>
      </c>
      <c r="E37" s="118">
        <f t="shared" si="11"/>
        <v>0</v>
      </c>
      <c r="F37" s="118">
        <f t="shared" si="11"/>
        <v>0</v>
      </c>
      <c r="G37" s="118">
        <f t="shared" si="11"/>
        <v>0</v>
      </c>
      <c r="H37" s="118">
        <f t="shared" si="11"/>
        <v>0</v>
      </c>
      <c r="I37" s="118">
        <f t="shared" si="11"/>
        <v>0</v>
      </c>
      <c r="J37" s="119">
        <f t="shared" si="0"/>
        <v>0</v>
      </c>
    </row>
    <row r="38" spans="1:10" ht="12.75">
      <c r="A38" s="144" t="s">
        <v>889</v>
      </c>
      <c r="B38" s="118">
        <f>B29*0.1</f>
        <v>0</v>
      </c>
      <c r="C38" s="118">
        <f aca="true" t="shared" si="12" ref="C38:I38">C29*0.1</f>
        <v>0</v>
      </c>
      <c r="D38" s="118">
        <f t="shared" si="12"/>
        <v>0</v>
      </c>
      <c r="E38" s="118">
        <f t="shared" si="12"/>
        <v>0</v>
      </c>
      <c r="F38" s="118">
        <f t="shared" si="12"/>
        <v>0</v>
      </c>
      <c r="G38" s="118">
        <f t="shared" si="12"/>
        <v>0</v>
      </c>
      <c r="H38" s="118">
        <f t="shared" si="12"/>
        <v>0</v>
      </c>
      <c r="I38" s="118">
        <f t="shared" si="12"/>
        <v>0</v>
      </c>
      <c r="J38" s="119">
        <f t="shared" si="0"/>
        <v>0</v>
      </c>
    </row>
    <row r="39" spans="1:10" ht="12.75">
      <c r="A39" s="112" t="s">
        <v>1178</v>
      </c>
      <c r="B39" s="118">
        <f>B21</f>
        <v>0</v>
      </c>
      <c r="C39" s="118">
        <f aca="true" t="shared" si="13" ref="C39:I39">C21</f>
        <v>0</v>
      </c>
      <c r="D39" s="118">
        <f t="shared" si="13"/>
        <v>0</v>
      </c>
      <c r="E39" s="118">
        <f t="shared" si="13"/>
        <v>0</v>
      </c>
      <c r="F39" s="118">
        <f t="shared" si="13"/>
        <v>0</v>
      </c>
      <c r="G39" s="118">
        <f t="shared" si="13"/>
        <v>0</v>
      </c>
      <c r="H39" s="118">
        <f t="shared" si="13"/>
        <v>0</v>
      </c>
      <c r="I39" s="118">
        <f t="shared" si="13"/>
        <v>0</v>
      </c>
      <c r="J39" s="119">
        <f t="shared" si="0"/>
        <v>0</v>
      </c>
    </row>
    <row r="40" spans="1:10" ht="12.75">
      <c r="A40" s="146" t="s">
        <v>1062</v>
      </c>
      <c r="B40" s="120">
        <f>SUM(B31:B39)</f>
        <v>0</v>
      </c>
      <c r="C40" s="120">
        <f aca="true" t="shared" si="14" ref="C40:I40">SUM(C31:C39)</f>
        <v>0</v>
      </c>
      <c r="D40" s="120">
        <f t="shared" si="14"/>
        <v>0</v>
      </c>
      <c r="E40" s="120">
        <f t="shared" si="14"/>
        <v>0</v>
      </c>
      <c r="F40" s="120">
        <f t="shared" si="14"/>
        <v>0</v>
      </c>
      <c r="G40" s="120">
        <f t="shared" si="14"/>
        <v>0</v>
      </c>
      <c r="H40" s="120">
        <f t="shared" si="14"/>
        <v>0</v>
      </c>
      <c r="I40" s="120">
        <f t="shared" si="14"/>
        <v>0</v>
      </c>
      <c r="J40" s="118">
        <f t="shared" si="0"/>
        <v>0</v>
      </c>
    </row>
    <row r="41" spans="1:10" ht="12.75">
      <c r="A41" s="146"/>
      <c r="B41" s="120"/>
      <c r="C41" s="120">
        <f>(SUM(C60:C68)*C40)/3218</f>
        <v>0</v>
      </c>
      <c r="D41" s="120"/>
      <c r="E41" s="120"/>
      <c r="F41" s="120"/>
      <c r="G41" s="120"/>
      <c r="H41" s="120"/>
      <c r="I41" s="120"/>
      <c r="J41" s="118"/>
    </row>
    <row r="42" spans="1:10" ht="12.75">
      <c r="A42" s="144" t="s">
        <v>891</v>
      </c>
      <c r="B42" s="149">
        <f>B40*B45</f>
        <v>0</v>
      </c>
      <c r="C42" s="149">
        <f aca="true" t="shared" si="15" ref="C42:I42">C40*C45</f>
        <v>0</v>
      </c>
      <c r="D42" s="149">
        <f t="shared" si="15"/>
        <v>0</v>
      </c>
      <c r="E42" s="149">
        <f t="shared" si="15"/>
        <v>0</v>
      </c>
      <c r="F42" s="149">
        <f t="shared" si="15"/>
        <v>0</v>
      </c>
      <c r="G42" s="149">
        <f t="shared" si="15"/>
        <v>0</v>
      </c>
      <c r="H42" s="149">
        <f t="shared" si="15"/>
        <v>0</v>
      </c>
      <c r="I42" s="149">
        <f t="shared" si="15"/>
        <v>0</v>
      </c>
      <c r="J42" s="149">
        <f>SUM(B42:I42)</f>
        <v>0</v>
      </c>
    </row>
    <row r="44" ht="12.75">
      <c r="A44" s="122" t="s">
        <v>892</v>
      </c>
    </row>
    <row r="45" spans="1:10" ht="12.75">
      <c r="A45" s="146" t="s">
        <v>900</v>
      </c>
      <c r="B45" s="123">
        <f>VLOOKUP(B$6,FSPVAR!$A:$F,3,FALSE)</f>
        <v>1</v>
      </c>
      <c r="C45" s="123">
        <f>VLOOKUP(C$6,FSPVAR!$A:$F,3,FALSE)</f>
        <v>1</v>
      </c>
      <c r="D45" s="123">
        <f>VLOOKUP(D$6,FSPVAR!$A:$F,3,FALSE)</f>
        <v>1</v>
      </c>
      <c r="E45" s="123">
        <f>VLOOKUP(E$6,FSPVAR!$A:$F,3,FALSE)</f>
        <v>1</v>
      </c>
      <c r="F45" s="123">
        <f>VLOOKUP(F$6,FSPVAR!$A:$F,3,FALSE)</f>
        <v>1</v>
      </c>
      <c r="G45" s="123">
        <f>VLOOKUP(G$6,FSPVAR!$A:$F,3,FALSE)</f>
        <v>1</v>
      </c>
      <c r="H45" s="123">
        <f>VLOOKUP(H$6,FSPVAR!$A:$F,3,FALSE)</f>
        <v>1</v>
      </c>
      <c r="I45" s="123">
        <f>VLOOKUP(I$6,FSPVAR!$A:$F,3,FALSE)</f>
        <v>1</v>
      </c>
      <c r="J45" s="123"/>
    </row>
    <row r="46" spans="1:10" ht="12.75">
      <c r="A46" s="146" t="s">
        <v>893</v>
      </c>
      <c r="B46" s="124">
        <f>VLOOKUP(B$6,FSPVAR!$A:$F,4,FALSE)</f>
        <v>1</v>
      </c>
      <c r="C46" s="124">
        <f>VLOOKUP(C$6,FSPVAR!$A:$F,4,FALSE)</f>
        <v>1</v>
      </c>
      <c r="D46" s="124">
        <f>VLOOKUP(D$6,FSPVAR!$A:$F,4,FALSE)</f>
        <v>1</v>
      </c>
      <c r="E46" s="124">
        <f>VLOOKUP(E$6,FSPVAR!$A:$F,4,FALSE)</f>
        <v>1</v>
      </c>
      <c r="F46" s="124">
        <f>VLOOKUP(F$6,FSPVAR!$A:$F,4,FALSE)</f>
        <v>1</v>
      </c>
      <c r="G46" s="124">
        <f>VLOOKUP(G$6,FSPVAR!$A:$F,4,FALSE)</f>
        <v>1</v>
      </c>
      <c r="H46" s="124">
        <f>VLOOKUP(H$6,FSPVAR!$A:$F,4,FALSE)</f>
        <v>1</v>
      </c>
      <c r="I46" s="124">
        <f>VLOOKUP(I$6,FSPVAR!$A:$F,4,FALSE)</f>
        <v>1</v>
      </c>
      <c r="J46" s="124"/>
    </row>
    <row r="47" spans="1:10" ht="12.75">
      <c r="A47" s="146" t="s">
        <v>1063</v>
      </c>
      <c r="B47" s="124">
        <f>VLOOKUP('RISD1-8'!B$6,FSPVAR!$A:$F,5,FALSE)</f>
        <v>1</v>
      </c>
      <c r="C47" s="124">
        <f>VLOOKUP('RISD1-8'!C$6,FSPVAR!$A:$F,5,FALSE)</f>
        <v>1</v>
      </c>
      <c r="D47" s="124">
        <f>VLOOKUP('RISD1-8'!D$6,FSPVAR!$A:$F,5,FALSE)</f>
        <v>1</v>
      </c>
      <c r="E47" s="124">
        <f>VLOOKUP('RISD1-8'!E$6,FSPVAR!$A:$F,5,FALSE)</f>
        <v>1</v>
      </c>
      <c r="F47" s="124">
        <f>VLOOKUP('RISD1-8'!F$6,FSPVAR!$A:$F,5,FALSE)</f>
        <v>1</v>
      </c>
      <c r="G47" s="124">
        <f>VLOOKUP('RISD1-8'!G$6,FSPVAR!$A:$F,5,FALSE)</f>
        <v>1</v>
      </c>
      <c r="H47" s="124">
        <f>VLOOKUP('RISD1-8'!H$6,FSPVAR!$A:$F,5,FALSE)</f>
        <v>1</v>
      </c>
      <c r="I47" s="124">
        <f>VLOOKUP('RISD1-8'!I$6,FSPVAR!$A:$F,5,FALSE)</f>
        <v>1</v>
      </c>
      <c r="J47" s="124"/>
    </row>
    <row r="48" spans="1:10" ht="12.75">
      <c r="A48" s="146" t="s">
        <v>1064</v>
      </c>
      <c r="B48" s="124">
        <f>VLOOKUP(B$6,FSPVAR!$A:$F,6,FALSE)</f>
        <v>1</v>
      </c>
      <c r="C48" s="124">
        <f>VLOOKUP(C$6,FSPVAR!$A:$F,6,FALSE)</f>
        <v>1</v>
      </c>
      <c r="D48" s="124">
        <f>VLOOKUP(D$6,FSPVAR!$A:$F,6,FALSE)</f>
        <v>1</v>
      </c>
      <c r="E48" s="124">
        <f>VLOOKUP(E$6,FSPVAR!$A:$F,6,FALSE)</f>
        <v>1</v>
      </c>
      <c r="F48" s="124">
        <f>VLOOKUP(F$6,FSPVAR!$A:$F,6,FALSE)</f>
        <v>1</v>
      </c>
      <c r="G48" s="124">
        <f>VLOOKUP(G$6,FSPVAR!$A:$F,6,FALSE)</f>
        <v>1</v>
      </c>
      <c r="H48" s="124">
        <f>VLOOKUP(H$6,FSPVAR!$A:$F,6,FALSE)</f>
        <v>1</v>
      </c>
      <c r="I48" s="124">
        <f>VLOOKUP(I$6,FSPVAR!$A:$F,6,FALSE)</f>
        <v>1</v>
      </c>
      <c r="J48" s="124"/>
    </row>
    <row r="50" spans="1:10" ht="12.75">
      <c r="A50" s="191" t="s">
        <v>1072</v>
      </c>
      <c r="B50" s="192">
        <v>0.4</v>
      </c>
      <c r="C50" s="192">
        <f aca="true" t="shared" si="16" ref="C50:I50">B50</f>
        <v>0.4</v>
      </c>
      <c r="D50" s="192">
        <f t="shared" si="16"/>
        <v>0.4</v>
      </c>
      <c r="E50" s="192">
        <f t="shared" si="16"/>
        <v>0.4</v>
      </c>
      <c r="F50" s="192">
        <f t="shared" si="16"/>
        <v>0.4</v>
      </c>
      <c r="G50" s="192">
        <f t="shared" si="16"/>
        <v>0.4</v>
      </c>
      <c r="H50" s="192">
        <f t="shared" si="16"/>
        <v>0.4</v>
      </c>
      <c r="I50" s="192">
        <f t="shared" si="16"/>
        <v>0.4</v>
      </c>
      <c r="J50" s="192"/>
    </row>
    <row r="52" spans="1:10" ht="12.75">
      <c r="A52" s="150" t="s">
        <v>893</v>
      </c>
      <c r="B52" s="126">
        <f aca="true" t="shared" si="17" ref="B52:I52">IF(B46&lt;7001,B46*B7*B50,B7*7000*B50)</f>
        <v>0</v>
      </c>
      <c r="C52" s="126">
        <f t="shared" si="17"/>
        <v>0</v>
      </c>
      <c r="D52" s="126">
        <f t="shared" si="17"/>
        <v>0</v>
      </c>
      <c r="E52" s="126">
        <f t="shared" si="17"/>
        <v>0</v>
      </c>
      <c r="F52" s="126">
        <f t="shared" si="17"/>
        <v>0</v>
      </c>
      <c r="G52" s="126">
        <f t="shared" si="17"/>
        <v>0</v>
      </c>
      <c r="H52" s="126">
        <f t="shared" si="17"/>
        <v>0</v>
      </c>
      <c r="I52" s="126">
        <f t="shared" si="17"/>
        <v>0</v>
      </c>
      <c r="J52" s="126">
        <f>SUM(B52:I52)</f>
        <v>0</v>
      </c>
    </row>
    <row r="53" spans="1:10" ht="12.75">
      <c r="A53" s="150"/>
      <c r="B53" s="127"/>
      <c r="C53" s="127"/>
      <c r="D53" s="127"/>
      <c r="E53" s="127"/>
      <c r="F53" s="127"/>
      <c r="G53" s="127"/>
      <c r="H53" s="127"/>
      <c r="I53" s="127"/>
      <c r="J53" s="127"/>
    </row>
    <row r="54" spans="1:10" ht="12.75">
      <c r="A54" s="150" t="s">
        <v>894</v>
      </c>
      <c r="B54" s="126">
        <f aca="true" t="shared" si="18" ref="B54:I54">B47*B42*B50</f>
        <v>0</v>
      </c>
      <c r="C54" s="126">
        <f t="shared" si="18"/>
        <v>0</v>
      </c>
      <c r="D54" s="126">
        <f t="shared" si="18"/>
        <v>0</v>
      </c>
      <c r="E54" s="126">
        <f t="shared" si="18"/>
        <v>0</v>
      </c>
      <c r="F54" s="126">
        <f t="shared" si="18"/>
        <v>0</v>
      </c>
      <c r="G54" s="126">
        <f t="shared" si="18"/>
        <v>0</v>
      </c>
      <c r="H54" s="126">
        <f t="shared" si="18"/>
        <v>0</v>
      </c>
      <c r="I54" s="126">
        <f t="shared" si="18"/>
        <v>0</v>
      </c>
      <c r="J54" s="126">
        <f>SUM(B54:I54)</f>
        <v>0</v>
      </c>
    </row>
    <row r="55" spans="1:10" ht="12.75">
      <c r="A55" s="150"/>
      <c r="B55" s="127"/>
      <c r="C55" s="127"/>
      <c r="D55" s="127"/>
      <c r="E55" s="127"/>
      <c r="F55" s="127"/>
      <c r="G55" s="127"/>
      <c r="H55" s="127"/>
      <c r="I55" s="127"/>
      <c r="J55" s="127"/>
    </row>
    <row r="56" spans="1:10" ht="25.5">
      <c r="A56" s="150" t="s">
        <v>895</v>
      </c>
      <c r="B56" s="126">
        <f>IF(B52&gt;B54,B52,B54)</f>
        <v>0</v>
      </c>
      <c r="C56" s="126">
        <f aca="true" t="shared" si="19" ref="C56:I56">IF(C52&gt;C54,C52,C54)</f>
        <v>0</v>
      </c>
      <c r="D56" s="126">
        <f t="shared" si="19"/>
        <v>0</v>
      </c>
      <c r="E56" s="126">
        <f t="shared" si="19"/>
        <v>0</v>
      </c>
      <c r="F56" s="126">
        <f t="shared" si="19"/>
        <v>0</v>
      </c>
      <c r="G56" s="126">
        <f t="shared" si="19"/>
        <v>0</v>
      </c>
      <c r="H56" s="126">
        <f t="shared" si="19"/>
        <v>0</v>
      </c>
      <c r="I56" s="126">
        <f t="shared" si="19"/>
        <v>0</v>
      </c>
      <c r="J56" s="126">
        <f>SUM(B56:I56)</f>
        <v>0</v>
      </c>
    </row>
    <row r="57" spans="2:10" ht="12.75">
      <c r="B57" s="128"/>
      <c r="C57" s="128"/>
      <c r="D57" s="128"/>
      <c r="E57" s="128"/>
      <c r="F57" s="128"/>
      <c r="G57" s="128"/>
      <c r="H57" s="128"/>
      <c r="I57" s="128"/>
      <c r="J57" s="128"/>
    </row>
    <row r="58" spans="1:10" ht="12.75">
      <c r="A58" s="151" t="s">
        <v>896</v>
      </c>
      <c r="B58" s="128"/>
      <c r="C58" s="128"/>
      <c r="D58" s="128"/>
      <c r="E58" s="128"/>
      <c r="F58" s="128"/>
      <c r="G58" s="128"/>
      <c r="H58" s="128"/>
      <c r="I58" s="128"/>
      <c r="J58" s="128"/>
    </row>
    <row r="59" spans="1:10" ht="12.75">
      <c r="A59" s="152" t="s">
        <v>914</v>
      </c>
      <c r="B59" s="131">
        <f aca="true" t="shared" si="20" ref="B59:I66">B31*B$48*B$50</f>
        <v>0</v>
      </c>
      <c r="C59" s="131">
        <f t="shared" si="20"/>
        <v>0</v>
      </c>
      <c r="D59" s="131">
        <f t="shared" si="20"/>
        <v>0</v>
      </c>
      <c r="E59" s="131">
        <f t="shared" si="20"/>
        <v>0</v>
      </c>
      <c r="F59" s="131">
        <f t="shared" si="20"/>
        <v>0</v>
      </c>
      <c r="G59" s="131">
        <f t="shared" si="20"/>
        <v>0</v>
      </c>
      <c r="H59" s="131">
        <f t="shared" si="20"/>
        <v>0</v>
      </c>
      <c r="I59" s="131">
        <f t="shared" si="20"/>
        <v>0</v>
      </c>
      <c r="J59" s="126">
        <f aca="true" t="shared" si="21" ref="J59:J73">SUM(B59:I59)</f>
        <v>0</v>
      </c>
    </row>
    <row r="60" spans="1:10" ht="12.75">
      <c r="A60" s="152" t="s">
        <v>1065</v>
      </c>
      <c r="B60" s="131">
        <f t="shared" si="20"/>
        <v>0</v>
      </c>
      <c r="C60" s="131">
        <f t="shared" si="20"/>
        <v>0</v>
      </c>
      <c r="D60" s="131">
        <f t="shared" si="20"/>
        <v>0</v>
      </c>
      <c r="E60" s="131">
        <f t="shared" si="20"/>
        <v>0</v>
      </c>
      <c r="F60" s="131">
        <f t="shared" si="20"/>
        <v>0</v>
      </c>
      <c r="G60" s="131">
        <f t="shared" si="20"/>
        <v>0</v>
      </c>
      <c r="H60" s="131">
        <f t="shared" si="20"/>
        <v>0</v>
      </c>
      <c r="I60" s="131">
        <f t="shared" si="20"/>
        <v>0</v>
      </c>
      <c r="J60" s="126">
        <f t="shared" si="21"/>
        <v>0</v>
      </c>
    </row>
    <row r="61" spans="1:10" ht="12.75">
      <c r="A61" s="152" t="s">
        <v>1066</v>
      </c>
      <c r="B61" s="131">
        <f t="shared" si="20"/>
        <v>0</v>
      </c>
      <c r="C61" s="131">
        <f t="shared" si="20"/>
        <v>0</v>
      </c>
      <c r="D61" s="131">
        <f t="shared" si="20"/>
        <v>0</v>
      </c>
      <c r="E61" s="131">
        <f t="shared" si="20"/>
        <v>0</v>
      </c>
      <c r="F61" s="131">
        <f t="shared" si="20"/>
        <v>0</v>
      </c>
      <c r="G61" s="131">
        <f t="shared" si="20"/>
        <v>0</v>
      </c>
      <c r="H61" s="131">
        <f t="shared" si="20"/>
        <v>0</v>
      </c>
      <c r="I61" s="131">
        <f t="shared" si="20"/>
        <v>0</v>
      </c>
      <c r="J61" s="126">
        <f t="shared" si="21"/>
        <v>0</v>
      </c>
    </row>
    <row r="62" spans="1:10" ht="12.75">
      <c r="A62" s="152" t="s">
        <v>1067</v>
      </c>
      <c r="B62" s="131">
        <f t="shared" si="20"/>
        <v>0</v>
      </c>
      <c r="C62" s="131">
        <f t="shared" si="20"/>
        <v>0</v>
      </c>
      <c r="D62" s="131">
        <f t="shared" si="20"/>
        <v>0</v>
      </c>
      <c r="E62" s="131">
        <f t="shared" si="20"/>
        <v>0</v>
      </c>
      <c r="F62" s="131">
        <f t="shared" si="20"/>
        <v>0</v>
      </c>
      <c r="G62" s="131">
        <f t="shared" si="20"/>
        <v>0</v>
      </c>
      <c r="H62" s="131">
        <f t="shared" si="20"/>
        <v>0</v>
      </c>
      <c r="I62" s="131">
        <f t="shared" si="20"/>
        <v>0</v>
      </c>
      <c r="J62" s="126">
        <f t="shared" si="21"/>
        <v>0</v>
      </c>
    </row>
    <row r="63" spans="1:10" ht="12.75">
      <c r="A63" s="152" t="s">
        <v>1068</v>
      </c>
      <c r="B63" s="131">
        <f t="shared" si="20"/>
        <v>0</v>
      </c>
      <c r="C63" s="131">
        <f t="shared" si="20"/>
        <v>0</v>
      </c>
      <c r="D63" s="131">
        <f t="shared" si="20"/>
        <v>0</v>
      </c>
      <c r="E63" s="131">
        <f t="shared" si="20"/>
        <v>0</v>
      </c>
      <c r="F63" s="131">
        <f t="shared" si="20"/>
        <v>0</v>
      </c>
      <c r="G63" s="131">
        <f t="shared" si="20"/>
        <v>0</v>
      </c>
      <c r="H63" s="131">
        <f t="shared" si="20"/>
        <v>0</v>
      </c>
      <c r="I63" s="131">
        <f t="shared" si="20"/>
        <v>0</v>
      </c>
      <c r="J63" s="126">
        <f t="shared" si="21"/>
        <v>0</v>
      </c>
    </row>
    <row r="64" spans="1:10" ht="12.75">
      <c r="A64" s="152" t="s">
        <v>1069</v>
      </c>
      <c r="B64" s="131">
        <f t="shared" si="20"/>
        <v>0</v>
      </c>
      <c r="C64" s="131">
        <f t="shared" si="20"/>
        <v>0</v>
      </c>
      <c r="D64" s="131">
        <f t="shared" si="20"/>
        <v>0</v>
      </c>
      <c r="E64" s="131">
        <f t="shared" si="20"/>
        <v>0</v>
      </c>
      <c r="F64" s="131">
        <f t="shared" si="20"/>
        <v>0</v>
      </c>
      <c r="G64" s="131">
        <f t="shared" si="20"/>
        <v>0</v>
      </c>
      <c r="H64" s="131">
        <f t="shared" si="20"/>
        <v>0</v>
      </c>
      <c r="I64" s="131">
        <f t="shared" si="20"/>
        <v>0</v>
      </c>
      <c r="J64" s="126">
        <f t="shared" si="21"/>
        <v>0</v>
      </c>
    </row>
    <row r="65" spans="1:10" ht="12.75">
      <c r="A65" s="152" t="s">
        <v>1070</v>
      </c>
      <c r="B65" s="131">
        <f t="shared" si="20"/>
        <v>0</v>
      </c>
      <c r="C65" s="131">
        <f t="shared" si="20"/>
        <v>0</v>
      </c>
      <c r="D65" s="131">
        <f t="shared" si="20"/>
        <v>0</v>
      </c>
      <c r="E65" s="131">
        <f t="shared" si="20"/>
        <v>0</v>
      </c>
      <c r="F65" s="131">
        <f t="shared" si="20"/>
        <v>0</v>
      </c>
      <c r="G65" s="131">
        <f t="shared" si="20"/>
        <v>0</v>
      </c>
      <c r="H65" s="131">
        <f t="shared" si="20"/>
        <v>0</v>
      </c>
      <c r="I65" s="131">
        <f t="shared" si="20"/>
        <v>0</v>
      </c>
      <c r="J65" s="126">
        <f t="shared" si="21"/>
        <v>0</v>
      </c>
    </row>
    <row r="66" spans="1:10" ht="12.75">
      <c r="A66" s="152" t="s">
        <v>1071</v>
      </c>
      <c r="B66" s="131">
        <f t="shared" si="20"/>
        <v>0</v>
      </c>
      <c r="C66" s="131">
        <f t="shared" si="20"/>
        <v>0</v>
      </c>
      <c r="D66" s="131">
        <f t="shared" si="20"/>
        <v>0</v>
      </c>
      <c r="E66" s="131">
        <f t="shared" si="20"/>
        <v>0</v>
      </c>
      <c r="F66" s="131">
        <f t="shared" si="20"/>
        <v>0</v>
      </c>
      <c r="G66" s="131">
        <f t="shared" si="20"/>
        <v>0</v>
      </c>
      <c r="H66" s="131">
        <f t="shared" si="20"/>
        <v>0</v>
      </c>
      <c r="I66" s="131">
        <f t="shared" si="20"/>
        <v>0</v>
      </c>
      <c r="J66" s="126">
        <f t="shared" si="21"/>
        <v>0</v>
      </c>
    </row>
    <row r="67" spans="1:10" ht="12.75">
      <c r="A67" s="152" t="s">
        <v>1177</v>
      </c>
      <c r="B67" s="131">
        <f>B21*B$48*B$50*0.75</f>
        <v>0</v>
      </c>
      <c r="C67" s="131">
        <f aca="true" t="shared" si="22" ref="C67:I67">C21*C$48*C$50*0.75</f>
        <v>0</v>
      </c>
      <c r="D67" s="131">
        <f t="shared" si="22"/>
        <v>0</v>
      </c>
      <c r="E67" s="131">
        <f t="shared" si="22"/>
        <v>0</v>
      </c>
      <c r="F67" s="131">
        <f t="shared" si="22"/>
        <v>0</v>
      </c>
      <c r="G67" s="131">
        <f t="shared" si="22"/>
        <v>0</v>
      </c>
      <c r="H67" s="131">
        <f t="shared" si="22"/>
        <v>0</v>
      </c>
      <c r="I67" s="131">
        <f t="shared" si="22"/>
        <v>0</v>
      </c>
      <c r="J67" s="126">
        <f t="shared" si="21"/>
        <v>0</v>
      </c>
    </row>
    <row r="68" spans="1:10" ht="15.75">
      <c r="A68" s="87" t="s">
        <v>934</v>
      </c>
      <c r="B68" s="131">
        <f>SUM(B59:B67)</f>
        <v>0</v>
      </c>
      <c r="C68" s="131">
        <f aca="true" t="shared" si="23" ref="C68:I68">SUM(C59:C67)</f>
        <v>0</v>
      </c>
      <c r="D68" s="131">
        <f t="shared" si="23"/>
        <v>0</v>
      </c>
      <c r="E68" s="131">
        <f t="shared" si="23"/>
        <v>0</v>
      </c>
      <c r="F68" s="131">
        <f t="shared" si="23"/>
        <v>0</v>
      </c>
      <c r="G68" s="131">
        <f t="shared" si="23"/>
        <v>0</v>
      </c>
      <c r="H68" s="131">
        <f t="shared" si="23"/>
        <v>0</v>
      </c>
      <c r="I68" s="131">
        <f t="shared" si="23"/>
        <v>0</v>
      </c>
      <c r="J68" s="126">
        <f t="shared" si="21"/>
        <v>0</v>
      </c>
    </row>
    <row r="69" spans="1:10" ht="16.5" thickBot="1">
      <c r="A69" s="87" t="s">
        <v>935</v>
      </c>
      <c r="B69" s="132">
        <f aca="true" t="shared" si="24" ref="B69:I69">IF(B52&gt;B54,B52-B68,B54-B68)</f>
        <v>0</v>
      </c>
      <c r="C69" s="132">
        <f t="shared" si="24"/>
        <v>0</v>
      </c>
      <c r="D69" s="132">
        <f t="shared" si="24"/>
        <v>0</v>
      </c>
      <c r="E69" s="132">
        <f t="shared" si="24"/>
        <v>0</v>
      </c>
      <c r="F69" s="132">
        <f t="shared" si="24"/>
        <v>0</v>
      </c>
      <c r="G69" s="132">
        <f t="shared" si="24"/>
        <v>0</v>
      </c>
      <c r="H69" s="132">
        <f t="shared" si="24"/>
        <v>0</v>
      </c>
      <c r="I69" s="132">
        <f t="shared" si="24"/>
        <v>0</v>
      </c>
      <c r="J69" s="133">
        <f t="shared" si="21"/>
        <v>0</v>
      </c>
    </row>
    <row r="70" spans="1:10" ht="16.5" thickBot="1">
      <c r="A70" s="88" t="s">
        <v>936</v>
      </c>
      <c r="B70" s="135">
        <f>B68+B69</f>
        <v>0</v>
      </c>
      <c r="C70" s="135">
        <f aca="true" t="shared" si="25" ref="C70:I70">C68+C69</f>
        <v>0</v>
      </c>
      <c r="D70" s="135">
        <f t="shared" si="25"/>
        <v>0</v>
      </c>
      <c r="E70" s="135">
        <f t="shared" si="25"/>
        <v>0</v>
      </c>
      <c r="F70" s="135">
        <f t="shared" si="25"/>
        <v>0</v>
      </c>
      <c r="G70" s="135">
        <f t="shared" si="25"/>
        <v>0</v>
      </c>
      <c r="H70" s="135">
        <f t="shared" si="25"/>
        <v>0</v>
      </c>
      <c r="I70" s="135">
        <f t="shared" si="25"/>
        <v>0</v>
      </c>
      <c r="J70" s="136">
        <f t="shared" si="21"/>
        <v>0</v>
      </c>
    </row>
    <row r="71" spans="1:10" ht="13.5" thickTop="1">
      <c r="A71" s="151" t="s">
        <v>912</v>
      </c>
      <c r="B71" s="137">
        <f aca="true" t="shared" si="26" ref="B71:I71">B7*30*B50</f>
        <v>0</v>
      </c>
      <c r="C71" s="137">
        <f t="shared" si="26"/>
        <v>0</v>
      </c>
      <c r="D71" s="137">
        <f t="shared" si="26"/>
        <v>0</v>
      </c>
      <c r="E71" s="137">
        <f t="shared" si="26"/>
        <v>0</v>
      </c>
      <c r="F71" s="137">
        <f t="shared" si="26"/>
        <v>0</v>
      </c>
      <c r="G71" s="137">
        <f t="shared" si="26"/>
        <v>0</v>
      </c>
      <c r="H71" s="137">
        <f t="shared" si="26"/>
        <v>0</v>
      </c>
      <c r="I71" s="137">
        <f t="shared" si="26"/>
        <v>0</v>
      </c>
      <c r="J71" s="138">
        <f t="shared" si="21"/>
        <v>0</v>
      </c>
    </row>
    <row r="72" spans="1:10" ht="12.75">
      <c r="A72" s="154" t="s">
        <v>913</v>
      </c>
      <c r="B72" s="140">
        <f aca="true" t="shared" si="27" ref="B72:I72">B42*110*B50</f>
        <v>0</v>
      </c>
      <c r="C72" s="140">
        <f t="shared" si="27"/>
        <v>0</v>
      </c>
      <c r="D72" s="140">
        <f t="shared" si="27"/>
        <v>0</v>
      </c>
      <c r="E72" s="140">
        <f t="shared" si="27"/>
        <v>0</v>
      </c>
      <c r="F72" s="140">
        <f t="shared" si="27"/>
        <v>0</v>
      </c>
      <c r="G72" s="140">
        <f t="shared" si="27"/>
        <v>0</v>
      </c>
      <c r="H72" s="140">
        <f t="shared" si="27"/>
        <v>0</v>
      </c>
      <c r="I72" s="140">
        <f t="shared" si="27"/>
        <v>0</v>
      </c>
      <c r="J72" s="141">
        <f t="shared" si="21"/>
        <v>0</v>
      </c>
    </row>
    <row r="73" spans="1:10" ht="13.5" thickBot="1">
      <c r="A73" s="153" t="s">
        <v>1039</v>
      </c>
      <c r="B73" s="142">
        <f>SUM(B70:B72)</f>
        <v>0</v>
      </c>
      <c r="C73" s="142">
        <f aca="true" t="shared" si="28" ref="C73:I73">SUM(C70:C72)</f>
        <v>0</v>
      </c>
      <c r="D73" s="142">
        <f t="shared" si="28"/>
        <v>0</v>
      </c>
      <c r="E73" s="142">
        <f t="shared" si="28"/>
        <v>0</v>
      </c>
      <c r="F73" s="142">
        <f t="shared" si="28"/>
        <v>0</v>
      </c>
      <c r="G73" s="142">
        <f t="shared" si="28"/>
        <v>0</v>
      </c>
      <c r="H73" s="142">
        <f t="shared" si="28"/>
        <v>0</v>
      </c>
      <c r="I73" s="142">
        <f t="shared" si="28"/>
        <v>0</v>
      </c>
      <c r="J73" s="143">
        <f t="shared" si="21"/>
        <v>0</v>
      </c>
    </row>
    <row r="74" ht="13.5" thickTop="1">
      <c r="C74" s="314">
        <f>SUM(C61:C69)</f>
        <v>0</v>
      </c>
    </row>
  </sheetData>
  <sheetProtection password="EE5D" sheet="1"/>
  <mergeCells count="3">
    <mergeCell ref="A1:J1"/>
    <mergeCell ref="A2:J2"/>
    <mergeCell ref="A3:J3"/>
  </mergeCells>
  <printOptions headings="1" horizontalCentered="1"/>
  <pageMargins left="0.5" right="0.5" top="1" bottom="1" header="0.5" footer="0.5"/>
  <pageSetup cellComments="asDisplayed" fitToHeight="1" fitToWidth="1" horizontalDpi="600" verticalDpi="600" orientation="portrait" scale="60" r:id="rId3"/>
  <headerFooter alignWithMargins="0">
    <oddFooter>&amp;C&amp;A
Printed on &amp;D</oddFooter>
  </headerFooter>
  <rowBreaks count="1" manualBreakCount="1">
    <brk id="42" max="9" man="1"/>
  </rowBreaks>
  <legacyDrawing r:id="rId2"/>
</worksheet>
</file>

<file path=xl/worksheets/sheet7.xml><?xml version="1.0" encoding="utf-8"?>
<worksheet xmlns="http://schemas.openxmlformats.org/spreadsheetml/2006/main" xmlns:r="http://schemas.openxmlformats.org/officeDocument/2006/relationships">
  <sheetPr>
    <tabColor indexed="40"/>
    <pageSetUpPr fitToPage="1"/>
  </sheetPr>
  <dimension ref="A1:J74"/>
  <sheetViews>
    <sheetView zoomScale="88" zoomScaleNormal="88" zoomScaleSheetLayoutView="88" zoomScalePageLayoutView="0" workbookViewId="0" topLeftCell="A1">
      <pane xSplit="1" ySplit="6" topLeftCell="B7" activePane="bottomRight" state="frozen"/>
      <selection pane="topLeft" activeCell="D79" sqref="D79"/>
      <selection pane="topRight" activeCell="D79" sqref="D79"/>
      <selection pane="bottomLeft" activeCell="D79" sqref="D79"/>
      <selection pane="bottomRight" activeCell="B7" sqref="B7"/>
    </sheetView>
  </sheetViews>
  <sheetFormatPr defaultColWidth="9.140625" defaultRowHeight="12.75"/>
  <cols>
    <col min="1" max="1" width="42.7109375" style="111" customWidth="1"/>
    <col min="2" max="9" width="12.7109375" style="111" customWidth="1"/>
    <col min="10" max="10" width="13.57421875" style="111" bestFit="1" customWidth="1"/>
    <col min="11" max="16384" width="9.140625" style="111" customWidth="1"/>
  </cols>
  <sheetData>
    <row r="1" spans="1:10" ht="12.75">
      <c r="A1" s="326" t="str">
        <f>VLOOKUP(A2,ALLCHARTERS!$A:$XFD,3,FALSE)</f>
        <v>ENTER CHARTER SCHOOL CDN BELOW (NO DASHES):</v>
      </c>
      <c r="B1" s="327"/>
      <c r="C1" s="327"/>
      <c r="D1" s="327"/>
      <c r="E1" s="327"/>
      <c r="F1" s="327"/>
      <c r="G1" s="327"/>
      <c r="H1" s="327"/>
      <c r="I1" s="327"/>
      <c r="J1" s="328"/>
    </row>
    <row r="2" spans="1:10" ht="12.75">
      <c r="A2" s="329">
        <f>IF(admin="sf161",'MAINFRAME WHATIF'!B3,ENROLLMENT!A2)</f>
        <v>0</v>
      </c>
      <c r="B2" s="330"/>
      <c r="C2" s="330"/>
      <c r="D2" s="330"/>
      <c r="E2" s="330"/>
      <c r="F2" s="330"/>
      <c r="G2" s="330"/>
      <c r="H2" s="330"/>
      <c r="I2" s="330"/>
      <c r="J2" s="331"/>
    </row>
    <row r="3" spans="1:10" ht="12.75">
      <c r="A3" s="332" t="str">
        <f>ENROLLMENT!A3</f>
        <v>2008-2009 Estimate of State Aid Entitlement Template</v>
      </c>
      <c r="B3" s="333"/>
      <c r="C3" s="333"/>
      <c r="D3" s="333"/>
      <c r="E3" s="333"/>
      <c r="F3" s="333"/>
      <c r="G3" s="333"/>
      <c r="H3" s="333"/>
      <c r="I3" s="333"/>
      <c r="J3" s="334"/>
    </row>
    <row r="4" spans="1:10" ht="12.75">
      <c r="A4" s="185"/>
      <c r="B4" s="184">
        <v>9</v>
      </c>
      <c r="C4" s="184">
        <v>10</v>
      </c>
      <c r="D4" s="184">
        <v>11</v>
      </c>
      <c r="E4" s="184">
        <v>12</v>
      </c>
      <c r="F4" s="184">
        <v>13</v>
      </c>
      <c r="G4" s="184">
        <v>14</v>
      </c>
      <c r="H4" s="184">
        <v>15</v>
      </c>
      <c r="I4" s="184">
        <v>16</v>
      </c>
      <c r="J4" s="190"/>
    </row>
    <row r="5" spans="1:10" ht="24.75" customHeight="1">
      <c r="A5" s="187"/>
      <c r="B5" s="188" t="str">
        <f>VLOOKUP(B$6,FSPVAR!$A:$F,2,FALSE)</f>
        <v>NONE</v>
      </c>
      <c r="C5" s="188" t="str">
        <f>VLOOKUP(C$6,FSPVAR!$A:$F,2,FALSE)</f>
        <v>NONE</v>
      </c>
      <c r="D5" s="188" t="str">
        <f>VLOOKUP(D$6,FSPVAR!$A:$F,2,FALSE)</f>
        <v>NONE</v>
      </c>
      <c r="E5" s="188" t="str">
        <f>VLOOKUP(E$6,FSPVAR!$A:$F,2,FALSE)</f>
        <v>NONE</v>
      </c>
      <c r="F5" s="188" t="str">
        <f>VLOOKUP(F$6,FSPVAR!$A:$F,2,FALSE)</f>
        <v>NONE</v>
      </c>
      <c r="G5" s="188" t="str">
        <f>VLOOKUP(G$6,FSPVAR!$A:$F,2,FALSE)</f>
        <v>NONE</v>
      </c>
      <c r="H5" s="188" t="str">
        <f>VLOOKUP(H$6,FSPVAR!$A:$F,2,FALSE)</f>
        <v>NONE</v>
      </c>
      <c r="I5" s="188" t="str">
        <f>VLOOKUP(I$6,FSPVAR!$A:$F,2,FALSE)</f>
        <v>NONE</v>
      </c>
      <c r="J5" s="188" t="s">
        <v>1027</v>
      </c>
    </row>
    <row r="6" spans="1:10" ht="12.75">
      <c r="A6" s="187" t="s">
        <v>1077</v>
      </c>
      <c r="B6" s="189">
        <f>IF(admin="sf161",_cdn9,ENROLLMENT!J8)</f>
        <v>0</v>
      </c>
      <c r="C6" s="189">
        <f>IF(admin="sf161",_cdn10,ENROLLMENT!K8)</f>
        <v>0</v>
      </c>
      <c r="D6" s="189">
        <f>IF(admin="sf161",_cdn11,ENROLLMENT!L8)</f>
        <v>0</v>
      </c>
      <c r="E6" s="189">
        <f>IF(admin="sf161",_cdn12,ENROLLMENT!M8)</f>
        <v>0</v>
      </c>
      <c r="F6" s="189">
        <f>IF(admin="sf161",_cdn13,ENROLLMENT!N8)</f>
        <v>0</v>
      </c>
      <c r="G6" s="189">
        <f>IF(admin="sf161",_cdn14,ENROLLMENT!O8)</f>
        <v>0</v>
      </c>
      <c r="H6" s="189">
        <f>IF(admin="sf161",_cdn15,ENROLLMENT!P8)</f>
        <v>0</v>
      </c>
      <c r="I6" s="189">
        <f>IF(admin="sf161",_cdn16,ENROLLMENT!Q8)</f>
        <v>0</v>
      </c>
      <c r="J6" s="188"/>
    </row>
    <row r="7" spans="1:10" ht="12.75">
      <c r="A7" s="112" t="s">
        <v>875</v>
      </c>
      <c r="B7" s="160">
        <f>IF(admin="sf161",VLOOKUP(B6,whatif,2,FALSE),ENROLLMENT!J9*ENROLLMENT!J10)</f>
        <v>0</v>
      </c>
      <c r="C7" s="160">
        <f>IF(admin="sf161",VLOOKUP(C6,whatif,2,FALSE),ENROLLMENT!K9*ENROLLMENT!K10)</f>
        <v>0</v>
      </c>
      <c r="D7" s="160">
        <f>IF(admin="sf161",VLOOKUP(D6,whatif,2,FALSE),ENROLLMENT!L9*ENROLLMENT!L10)</f>
        <v>0</v>
      </c>
      <c r="E7" s="160">
        <f>IF(admin="sf161",VLOOKUP(E6,whatif,2,FALSE),ENROLLMENT!M9*ENROLLMENT!M10)</f>
        <v>0</v>
      </c>
      <c r="F7" s="160">
        <f>IF(admin="sf161",VLOOKUP(F6,whatif,2,FALSE),ENROLLMENT!N9*ENROLLMENT!N10)</f>
        <v>0</v>
      </c>
      <c r="G7" s="160">
        <f>IF(admin="sf161",VLOOKUP(G6,whatif,2,FALSE),ENROLLMENT!O9*ENROLLMENT!O10)</f>
        <v>0</v>
      </c>
      <c r="H7" s="160">
        <f>IF(admin="sf161",VLOOKUP(H6,whatif,2,FALSE),ENROLLMENT!P9*ENROLLMENT!P10)</f>
        <v>0</v>
      </c>
      <c r="I7" s="160">
        <f>IF(admin="sf161",VLOOKUP(I6,whatif,2,FALSE),ENROLLMENT!Q9*ENROLLMENT!Q10)</f>
        <v>0</v>
      </c>
      <c r="J7" s="113">
        <f>SUM(B7:I7)</f>
        <v>0</v>
      </c>
    </row>
    <row r="8" spans="1:10" ht="12.75">
      <c r="A8" s="112" t="s">
        <v>876</v>
      </c>
      <c r="B8" s="161"/>
      <c r="C8" s="161"/>
      <c r="D8" s="161"/>
      <c r="E8" s="161"/>
      <c r="F8" s="161"/>
      <c r="G8" s="161"/>
      <c r="H8" s="161"/>
      <c r="I8" s="161"/>
      <c r="J8" s="114"/>
    </row>
    <row r="9" spans="1:10" ht="12.75">
      <c r="A9" s="115" t="s">
        <v>1051</v>
      </c>
      <c r="B9" s="278">
        <f>IF(admin="sf161",VLOOKUP(B6,whatif,4,FALSE),ENROLLMENT!J13*ENROLLMENT!J10*1/6)</f>
        <v>0</v>
      </c>
      <c r="C9" s="278">
        <f>IF(admin="sf161",VLOOKUP(C6,whatif,4,FALSE),ENROLLMENT!K13*ENROLLMENT!K10*1/6)</f>
        <v>0</v>
      </c>
      <c r="D9" s="278">
        <f>IF(admin="sf161",VLOOKUP(D6,whatif,4,FALSE),ENROLLMENT!L13*ENROLLMENT!L10*1/6)</f>
        <v>0</v>
      </c>
      <c r="E9" s="278">
        <f>IF(admin="sf161",VLOOKUP(E6,whatif,4,FALSE),ENROLLMENT!M13*ENROLLMENT!M10*1/6)</f>
        <v>0</v>
      </c>
      <c r="F9" s="278">
        <f>IF(admin="sf161",VLOOKUP(F6,whatif,4,FALSE),ENROLLMENT!N13*ENROLLMENT!N10*1/6)</f>
        <v>0</v>
      </c>
      <c r="G9" s="278">
        <f>IF(admin="sf161",VLOOKUP(G6,whatif,4,FALSE),ENROLLMENT!O13*ENROLLMENT!O10*1/6)</f>
        <v>0</v>
      </c>
      <c r="H9" s="278">
        <f>IF(admin="sf161",VLOOKUP(H6,whatif,4,FALSE),ENROLLMENT!P13*ENROLLMENT!P10*1/6)</f>
        <v>0</v>
      </c>
      <c r="I9" s="278">
        <f>IF(admin="sf161",VLOOKUP(I6,whatif,4,FALSE),ENROLLMENT!Q13*ENROLLMENT!Q10*1/6)</f>
        <v>0</v>
      </c>
      <c r="J9" s="93">
        <f aca="true" t="shared" si="0" ref="J9:J40">SUM(B9:I9)</f>
        <v>0</v>
      </c>
    </row>
    <row r="10" spans="1:10" ht="12.75">
      <c r="A10" s="115" t="s">
        <v>1052</v>
      </c>
      <c r="B10" s="278">
        <f>IF(admin="sf161",VLOOKUP(B6,whatif,5,FALSE),ENROLLMENT!J14*ENROLLMENT!J10*4.5/6)</f>
        <v>0</v>
      </c>
      <c r="C10" s="278">
        <f>IF(admin="sf161",VLOOKUP(C6,whatif,5,FALSE),ENROLLMENT!K14*ENROLLMENT!K10*4.5/6)</f>
        <v>0</v>
      </c>
      <c r="D10" s="278">
        <f>IF(admin="sf161",VLOOKUP(D6,whatif,5,FALSE),ENROLLMENT!L14*ENROLLMENT!L10*4.5/6)</f>
        <v>0</v>
      </c>
      <c r="E10" s="278">
        <f>IF(admin="sf161",VLOOKUP(E6,whatif,5,FALSE),ENROLLMENT!M14*ENROLLMENT!M10*4.5/6)</f>
        <v>0</v>
      </c>
      <c r="F10" s="278">
        <f>IF(admin="sf161",VLOOKUP(F6,whatif,5,FALSE),ENROLLMENT!N14*ENROLLMENT!N10*4.5/6)</f>
        <v>0</v>
      </c>
      <c r="G10" s="278">
        <f>IF(admin="sf161",VLOOKUP(G6,whatif,5,FALSE),ENROLLMENT!O14*ENROLLMENT!O10*4.5/6)</f>
        <v>0</v>
      </c>
      <c r="H10" s="278">
        <f>IF(admin="sf161",VLOOKUP(H6,whatif,5,FALSE),ENROLLMENT!P14*ENROLLMENT!P10*4.5/6)</f>
        <v>0</v>
      </c>
      <c r="I10" s="278">
        <f>IF(admin="sf161",VLOOKUP(I6,whatif,5,FALSE),ENROLLMENT!Q14*ENROLLMENT!Q10*4.5/6)</f>
        <v>0</v>
      </c>
      <c r="J10" s="113">
        <f t="shared" si="0"/>
        <v>0</v>
      </c>
    </row>
    <row r="11" spans="1:10" ht="12.75">
      <c r="A11" s="115" t="s">
        <v>1053</v>
      </c>
      <c r="B11" s="278">
        <f>IF(admin="sf161",VLOOKUP(B6,whatif,6,FALSE),ENROLLMENT!J15*ENROLLMENT!J10*0.25/6)</f>
        <v>0</v>
      </c>
      <c r="C11" s="278">
        <f>IF(admin="sf161",VLOOKUP(C6,whatif,6,FALSE),ENROLLMENT!K15*ENROLLMENT!K10*0.25/6)</f>
        <v>0</v>
      </c>
      <c r="D11" s="278">
        <f>IF(admin="sf161",VLOOKUP(D6,whatif,6,FALSE),ENROLLMENT!L15*ENROLLMENT!L10*0.25/6)</f>
        <v>0</v>
      </c>
      <c r="E11" s="278">
        <f>IF(admin="sf161",VLOOKUP(E6,whatif,6,FALSE),ENROLLMENT!M15*ENROLLMENT!M10*0.25/6)</f>
        <v>0</v>
      </c>
      <c r="F11" s="278">
        <f>IF(admin="sf161",VLOOKUP(F6,whatif,6,FALSE),ENROLLMENT!N15*ENROLLMENT!N10*0.25/6)</f>
        <v>0</v>
      </c>
      <c r="G11" s="278">
        <f>IF(admin="sf161",VLOOKUP(G6,whatif,6,FALSE),ENROLLMENT!O15*ENROLLMENT!O10*0.25/6)</f>
        <v>0</v>
      </c>
      <c r="H11" s="278">
        <f>IF(admin="sf161",VLOOKUP(H6,whatif,6,FALSE),ENROLLMENT!P15*ENROLLMENT!P10*0.25/6)</f>
        <v>0</v>
      </c>
      <c r="I11" s="278">
        <f>IF(admin="sf161",VLOOKUP(I6,whatif,6,FALSE),ENROLLMENT!Q15*ENROLLMENT!Q10*0.25/6)</f>
        <v>0</v>
      </c>
      <c r="J11" s="113">
        <f t="shared" si="0"/>
        <v>0</v>
      </c>
    </row>
    <row r="12" spans="1:10" ht="12.75">
      <c r="A12" s="115" t="s">
        <v>1054</v>
      </c>
      <c r="B12" s="278">
        <f>IF(admin="sf161",VLOOKUP(B6,whatif,7,FALSE),ENROLLMENT!J16*ENROLLMENT!J10*2.859/6)</f>
        <v>0</v>
      </c>
      <c r="C12" s="278">
        <f>IF(admin="sf161",VLOOKUP(C6,whatif,7,FALSE),ENROLLMENT!K16*ENROLLMENT!K10*2.859/6)</f>
        <v>0</v>
      </c>
      <c r="D12" s="278">
        <f>IF(admin="sf161",VLOOKUP(D6,whatif,7,FALSE),ENROLLMENT!L16*ENROLLMENT!L10*2.859/6)</f>
        <v>0</v>
      </c>
      <c r="E12" s="278">
        <f>IF(admin="sf161",VLOOKUP(E6,whatif,7,FALSE),ENROLLMENT!M16*ENROLLMENT!M10*2.859/6)</f>
        <v>0</v>
      </c>
      <c r="F12" s="278">
        <f>IF(admin="sf161",VLOOKUP(F6,whatif,7,FALSE),ENROLLMENT!N16*ENROLLMENT!N10*2.859/6)</f>
        <v>0</v>
      </c>
      <c r="G12" s="278">
        <f>IF(admin="sf161",VLOOKUP(G6,whatif,7,FALSE),ENROLLMENT!O16*ENROLLMENT!O10*2.859/6)</f>
        <v>0</v>
      </c>
      <c r="H12" s="278">
        <f>IF(admin="sf161",VLOOKUP(H6,whatif,7,FALSE),ENROLLMENT!P16*ENROLLMENT!P10*2.859/6)</f>
        <v>0</v>
      </c>
      <c r="I12" s="278">
        <f>IF(admin="sf161",VLOOKUP(I6,whatif,7,FALSE),ENROLLMENT!Q16*ENROLLMENT!Q10*2.859/6)</f>
        <v>0</v>
      </c>
      <c r="J12" s="113">
        <f t="shared" si="0"/>
        <v>0</v>
      </c>
    </row>
    <row r="13" spans="1:10" ht="12.75">
      <c r="A13" s="115" t="s">
        <v>1073</v>
      </c>
      <c r="B13" s="278">
        <f>IF(admin="sf161",VLOOKUP(B6,whatif,8,FALSE),ENROLLMENT!J17*ENROLLMENT!J10*2.859/6)</f>
        <v>0</v>
      </c>
      <c r="C13" s="278">
        <f>IF(admin="sf161",VLOOKUP(C6,whatif,8,FALSE),ENROLLMENT!K17*ENROLLMENT!K10*2.859/6)</f>
        <v>0</v>
      </c>
      <c r="D13" s="278">
        <f>IF(admin="sf161",VLOOKUP(D6,whatif,8,FALSE),ENROLLMENT!L17*ENROLLMENT!L10*2.859/6)</f>
        <v>0</v>
      </c>
      <c r="E13" s="278">
        <f>IF(admin="sf161",VLOOKUP(E6,whatif,8,FALSE),ENROLLMENT!M17*ENROLLMENT!M10*2.859/6)</f>
        <v>0</v>
      </c>
      <c r="F13" s="278">
        <f>IF(admin="sf161",VLOOKUP(F6,whatif,8,FALSE),ENROLLMENT!N17*ENROLLMENT!N10*2.859/6)</f>
        <v>0</v>
      </c>
      <c r="G13" s="278">
        <f>IF(admin="sf161",VLOOKUP(G6,whatif,8,FALSE),ENROLLMENT!O17*ENROLLMENT!O10*2.859/6)</f>
        <v>0</v>
      </c>
      <c r="H13" s="278">
        <f>IF(admin="sf161",VLOOKUP(H6,whatif,8,FALSE),ENROLLMENT!P17*ENROLLMENT!P10*2.859/6)</f>
        <v>0</v>
      </c>
      <c r="I13" s="278">
        <f>IF(admin="sf161",VLOOKUP(I6,whatif,8,FALSE),ENROLLMENT!Q17*ENROLLMENT!Q10*2.859/6)</f>
        <v>0</v>
      </c>
      <c r="J13" s="113">
        <f t="shared" si="0"/>
        <v>0</v>
      </c>
    </row>
    <row r="14" spans="1:10" ht="12.75">
      <c r="A14" s="115" t="s">
        <v>897</v>
      </c>
      <c r="B14" s="278">
        <f>IF(admin="sf161",VLOOKUP(B6,whatif,9,FALSE),ENROLLMENT!J18*ENROLLMENT!J$10*2.859/6)</f>
        <v>0</v>
      </c>
      <c r="C14" s="278">
        <f>IF(admin="sf161",VLOOKUP(C6,whatif,9,FALSE),ENROLLMENT!K18*ENROLLMENT!K$10*2.859/6)</f>
        <v>0</v>
      </c>
      <c r="D14" s="278">
        <f>IF(admin="sf161",VLOOKUP(D6,whatif,9,FALSE),ENROLLMENT!L18*ENROLLMENT!L$10*2.859/6)</f>
        <v>0</v>
      </c>
      <c r="E14" s="278">
        <f>IF(admin="sf161",VLOOKUP(E6,whatif,9,FALSE),ENROLLMENT!M18*ENROLLMENT!M$10*2.859/6)</f>
        <v>0</v>
      </c>
      <c r="F14" s="278">
        <f>IF(admin="sf161",VLOOKUP(F6,whatif,9,FALSE),ENROLLMENT!N18*ENROLLMENT!N$10*2.859/6)</f>
        <v>0</v>
      </c>
      <c r="G14" s="278">
        <f>IF(admin="sf161",VLOOKUP(G6,whatif,9,FALSE),ENROLLMENT!O18*ENROLLMENT!O$10*2.859/6)</f>
        <v>0</v>
      </c>
      <c r="H14" s="278">
        <f>IF(admin="sf161",VLOOKUP(H6,whatif,9,FALSE),ENROLLMENT!P18*ENROLLMENT!P$10*2.859/6)</f>
        <v>0</v>
      </c>
      <c r="I14" s="278">
        <f>IF(admin="sf161",VLOOKUP(I6,whatif,9,FALSE),ENROLLMENT!Q18*ENROLLMENT!Q$10*2.859/6)</f>
        <v>0</v>
      </c>
      <c r="J14" s="113">
        <f t="shared" si="0"/>
        <v>0</v>
      </c>
    </row>
    <row r="15" spans="1:10" ht="12.75">
      <c r="A15" s="115" t="s">
        <v>1074</v>
      </c>
      <c r="B15" s="278">
        <f>IF(admin="sf161",VLOOKUP(B6,whatif,10,FALSE),ENROLLMENT!J19*ENROLLMENT!J10*4.25/6)</f>
        <v>0</v>
      </c>
      <c r="C15" s="278">
        <f>IF(admin="sf161",VLOOKUP(C6,whatif,10,FALSE),ENROLLMENT!K19*ENROLLMENT!K10*4.25/6)</f>
        <v>0</v>
      </c>
      <c r="D15" s="278">
        <f>IF(admin="sf161",VLOOKUP(D6,whatif,10,FALSE),ENROLLMENT!L19*ENROLLMENT!L10*4.25/6)</f>
        <v>0</v>
      </c>
      <c r="E15" s="278">
        <f>IF(admin="sf161",VLOOKUP(E6,whatif,10,FALSE),ENROLLMENT!M19*ENROLLMENT!M10*4.25/6)</f>
        <v>0</v>
      </c>
      <c r="F15" s="278">
        <f>IF(admin="sf161",VLOOKUP(F6,whatif,10,FALSE),ENROLLMENT!N19*ENROLLMENT!N10*4.25/6)</f>
        <v>0</v>
      </c>
      <c r="G15" s="278">
        <f>IF(admin="sf161",VLOOKUP(G6,whatif,10,FALSE),ENROLLMENT!O19*ENROLLMENT!O10*4.25/6)</f>
        <v>0</v>
      </c>
      <c r="H15" s="278">
        <f>IF(admin="sf161",VLOOKUP(H6,whatif,10,FALSE),ENROLLMENT!P19*ENROLLMENT!P10*4.25/6)</f>
        <v>0</v>
      </c>
      <c r="I15" s="278">
        <f>IF(admin="sf161",VLOOKUP(I6,whatif,10,FALSE),ENROLLMENT!Q19*ENROLLMENT!Q10*4.25/6)</f>
        <v>0</v>
      </c>
      <c r="J15" s="113">
        <f t="shared" si="0"/>
        <v>0</v>
      </c>
    </row>
    <row r="16" spans="1:10" ht="12.75">
      <c r="A16" s="115" t="s">
        <v>1057</v>
      </c>
      <c r="B16" s="278">
        <f>IF(admin="sf161",VLOOKUP(B6,whatif,11,FALSE),ENROLLMENT!J20*ENROLLMENT!J10*5.5/6)</f>
        <v>0</v>
      </c>
      <c r="C16" s="278">
        <f>IF(admin="sf161",VLOOKUP(C6,whatif,11,FALSE),ENROLLMENT!K20*ENROLLMENT!K10*5.5/6)</f>
        <v>0</v>
      </c>
      <c r="D16" s="278">
        <f>IF(admin="sf161",VLOOKUP(D6,whatif,11,FALSE),ENROLLMENT!L20*ENROLLMENT!L10*5.5/6)</f>
        <v>0</v>
      </c>
      <c r="E16" s="278">
        <f>IF(admin="sf161",VLOOKUP(E6,whatif,11,FALSE),ENROLLMENT!M20*ENROLLMENT!M10*5.5/6)</f>
        <v>0</v>
      </c>
      <c r="F16" s="278">
        <f>IF(admin="sf161",VLOOKUP(F6,whatif,11,FALSE),ENROLLMENT!N20*ENROLLMENT!N10*5.5/6)</f>
        <v>0</v>
      </c>
      <c r="G16" s="278">
        <f>IF(admin="sf161",VLOOKUP(G6,whatif,11,FALSE),ENROLLMENT!O20*ENROLLMENT!O10*5.5/6)</f>
        <v>0</v>
      </c>
      <c r="H16" s="278">
        <f>IF(admin="sf161",VLOOKUP(H6,whatif,11,FALSE),ENROLLMENT!P20*ENROLLMENT!P10*5.5/6)</f>
        <v>0</v>
      </c>
      <c r="I16" s="278">
        <f>IF(admin="sf161",VLOOKUP(I6,whatif,11,FALSE),ENROLLMENT!Q20*ENROLLMENT!Q10*5.5/6)</f>
        <v>0</v>
      </c>
      <c r="J16" s="113">
        <f t="shared" si="0"/>
        <v>0</v>
      </c>
    </row>
    <row r="17" spans="1:10" ht="12.75">
      <c r="A17" s="115" t="s">
        <v>1058</v>
      </c>
      <c r="B17" s="278">
        <f>IF(admin="sf161",VLOOKUP(B6,whatif,12,FALSE),ENROLLMENT!J21*ENROLLMENT!J10*5.5/6)</f>
        <v>0</v>
      </c>
      <c r="C17" s="278">
        <f>IF(admin="sf161",VLOOKUP(C6,whatif,12,FALSE),ENROLLMENT!K21*ENROLLMENT!K10*5.5/6)</f>
        <v>0</v>
      </c>
      <c r="D17" s="278">
        <f>IF(admin="sf161",VLOOKUP(D6,whatif,12,FALSE),ENROLLMENT!L21*ENROLLMENT!L10*5.5/6)</f>
        <v>0</v>
      </c>
      <c r="E17" s="278">
        <f>IF(admin="sf161",VLOOKUP(E6,whatif,12,FALSE),ENROLLMENT!M21*ENROLLMENT!M10*5.5/6)</f>
        <v>0</v>
      </c>
      <c r="F17" s="278">
        <f>IF(admin="sf161",VLOOKUP(F6,whatif,12,FALSE),ENROLLMENT!N21*ENROLLMENT!N10*5.5/6)</f>
        <v>0</v>
      </c>
      <c r="G17" s="278">
        <f>IF(admin="sf161",VLOOKUP(G6,whatif,12,FALSE),ENROLLMENT!O21*ENROLLMENT!O10*5.5/6)</f>
        <v>0</v>
      </c>
      <c r="H17" s="278">
        <f>IF(admin="sf161",VLOOKUP(H6,whatif,12,FALSE),ENROLLMENT!P21*ENROLLMENT!P10*5.5/6)</f>
        <v>0</v>
      </c>
      <c r="I17" s="278">
        <f>IF(admin="sf161",VLOOKUP(I6,whatif,12,FALSE),ENROLLMENT!Q21*ENROLLMENT!Q10*5.5/6)</f>
        <v>0</v>
      </c>
      <c r="J17" s="113">
        <f t="shared" si="0"/>
        <v>0</v>
      </c>
    </row>
    <row r="18" spans="1:10" ht="12.75">
      <c r="A18" s="115" t="s">
        <v>1059</v>
      </c>
      <c r="B18" s="278">
        <f>IF(admin="sf161",VLOOKUP(B6,whatif,13,FALSE),ENROLLMENT!J22*ENROLLMENT!J10*5.5/6)</f>
        <v>0</v>
      </c>
      <c r="C18" s="278">
        <f>IF(admin="sf161",VLOOKUP(C6,whatif,13,FALSE),ENROLLMENT!K22*ENROLLMENT!K10*5.5/6)</f>
        <v>0</v>
      </c>
      <c r="D18" s="278">
        <f>IF(admin="sf161",VLOOKUP(D6,whatif,13,FALSE),ENROLLMENT!L22*ENROLLMENT!L10*5.5/6)</f>
        <v>0</v>
      </c>
      <c r="E18" s="278">
        <f>IF(admin="sf161",VLOOKUP(E6,whatif,13,FALSE),ENROLLMENT!M22*ENROLLMENT!M10*5.5/6)</f>
        <v>0</v>
      </c>
      <c r="F18" s="278">
        <f>IF(admin="sf161",VLOOKUP(F6,whatif,13,FALSE),ENROLLMENT!N22*ENROLLMENT!N10*5.5/6)</f>
        <v>0</v>
      </c>
      <c r="G18" s="278">
        <f>IF(admin="sf161",VLOOKUP(G6,whatif,13,FALSE),ENROLLMENT!O22*ENROLLMENT!O10*5.5/6)</f>
        <v>0</v>
      </c>
      <c r="H18" s="278">
        <f>IF(admin="sf161",VLOOKUP(H6,whatif,13,FALSE),ENROLLMENT!P22*ENROLLMENT!P10*5.5/6)</f>
        <v>0</v>
      </c>
      <c r="I18" s="278">
        <f>IF(admin="sf161",VLOOKUP(I6,whatif,13,FALSE),ENROLLMENT!Q22*ENROLLMENT!Q10*5.5/6)</f>
        <v>0</v>
      </c>
      <c r="J18" s="113">
        <f t="shared" si="0"/>
        <v>0</v>
      </c>
    </row>
    <row r="19" spans="1:10" ht="12.75">
      <c r="A19" s="116" t="s">
        <v>1060</v>
      </c>
      <c r="B19" s="278">
        <f>SUM(B9:B18)</f>
        <v>0</v>
      </c>
      <c r="C19" s="278">
        <f aca="true" t="shared" si="1" ref="C19:I19">SUM(C9:C18)</f>
        <v>0</v>
      </c>
      <c r="D19" s="278">
        <f t="shared" si="1"/>
        <v>0</v>
      </c>
      <c r="E19" s="278">
        <f t="shared" si="1"/>
        <v>0</v>
      </c>
      <c r="F19" s="278">
        <f t="shared" si="1"/>
        <v>0</v>
      </c>
      <c r="G19" s="278">
        <f t="shared" si="1"/>
        <v>0</v>
      </c>
      <c r="H19" s="278">
        <f t="shared" si="1"/>
        <v>0</v>
      </c>
      <c r="I19" s="278">
        <f t="shared" si="1"/>
        <v>0</v>
      </c>
      <c r="J19" s="113">
        <f t="shared" si="0"/>
        <v>0</v>
      </c>
    </row>
    <row r="20" spans="1:10" ht="12.75">
      <c r="A20" s="116" t="s">
        <v>1061</v>
      </c>
      <c r="B20" s="278">
        <f>(B9*5)+(B10*3)+(B11*5)+(B12*3)+(B13*3)+(B14*3)+(B15*2.7)+(B16*2.3)+(B17*2.8)+(B18*4)</f>
        <v>0</v>
      </c>
      <c r="C20" s="278">
        <f aca="true" t="shared" si="2" ref="C20:I20">(C9*5)+(C10*3)+(C11*5)+(C12*3)+(C13*3)+(C14*3)+(C15*2.7)+(C16*2.3)+(C17*2.8)+(C18*4)</f>
        <v>0</v>
      </c>
      <c r="D20" s="278">
        <f t="shared" si="2"/>
        <v>0</v>
      </c>
      <c r="E20" s="278">
        <f t="shared" si="2"/>
        <v>0</v>
      </c>
      <c r="F20" s="278">
        <f t="shared" si="2"/>
        <v>0</v>
      </c>
      <c r="G20" s="278">
        <f t="shared" si="2"/>
        <v>0</v>
      </c>
      <c r="H20" s="278">
        <f t="shared" si="2"/>
        <v>0</v>
      </c>
      <c r="I20" s="278">
        <f t="shared" si="2"/>
        <v>0</v>
      </c>
      <c r="J20" s="113">
        <f t="shared" si="0"/>
        <v>0</v>
      </c>
    </row>
    <row r="21" spans="1:10" ht="12.75">
      <c r="A21" s="116" t="s">
        <v>1175</v>
      </c>
      <c r="B21" s="278">
        <f>VLOOKUP(B6,'MAINFRAME WHATIF'!$C$3:$AH$43,32,FALSE)</f>
        <v>0</v>
      </c>
      <c r="C21" s="278">
        <f>VLOOKUP(C6,'MAINFRAME WHATIF'!$C$3:$AH$43,32,FALSE)</f>
        <v>0</v>
      </c>
      <c r="D21" s="278">
        <f>VLOOKUP(D6,'MAINFRAME WHATIF'!$C$3:$AH$43,32,FALSE)</f>
        <v>0</v>
      </c>
      <c r="E21" s="278">
        <f>VLOOKUP(E6,'MAINFRAME WHATIF'!$C$3:$AH$43,32,FALSE)</f>
        <v>0</v>
      </c>
      <c r="F21" s="278">
        <f>VLOOKUP(F6,'MAINFRAME WHATIF'!$C$3:$AH$43,32,FALSE)</f>
        <v>0</v>
      </c>
      <c r="G21" s="278">
        <f>VLOOKUP(G6,'MAINFRAME WHATIF'!$C$3:$AH$43,32,FALSE)</f>
        <v>0</v>
      </c>
      <c r="H21" s="278">
        <f>VLOOKUP(H6,'MAINFRAME WHATIF'!$C$3:$AH$43,32,FALSE)</f>
        <v>0</v>
      </c>
      <c r="I21" s="278">
        <f>VLOOKUP(I6,'MAINFRAME WHATIF'!$C$3:$AH$43,32,FALSE)</f>
        <v>0</v>
      </c>
      <c r="J21" s="113">
        <f t="shared" si="0"/>
        <v>0</v>
      </c>
    </row>
    <row r="22" spans="1:10" ht="12.75">
      <c r="A22" s="112" t="s">
        <v>877</v>
      </c>
      <c r="B22" s="278">
        <f>IF(admin="sf161",VLOOKUP(B6,whatif,15,FALSE),(ENROLLMENT!J25*ENROLLMENT!J10*0.17)+(ENROLLMENT!J26*ENROLLMENT!J10*0.33)+(ENROLLMENT!J27*ENROLLMENT!J10*0.5)+(ENROLLMENT!J28*ENROLLMENT!J10*0.67)+(ENROLLMENT!J29*ENROLLMENT!J10*0.83)+(ENROLLMENT!J30*ENROLLMENT!J10*1))</f>
        <v>0</v>
      </c>
      <c r="C22" s="278">
        <f>IF(admin="sf161",VLOOKUP(C6,whatif,15,FALSE),(ENROLLMENT!K25*ENROLLMENT!K10*0.17)+(ENROLLMENT!K26*ENROLLMENT!K10*0.33)+(ENROLLMENT!K27*ENROLLMENT!K10*0.5)+(ENROLLMENT!K28*ENROLLMENT!K10*0.67)+(ENROLLMENT!K29*ENROLLMENT!K10*0.83)+(ENROLLMENT!K30*ENROLLMENT!K10*1))</f>
        <v>0</v>
      </c>
      <c r="D22" s="278">
        <f>IF(admin="sf161",VLOOKUP(D6,whatif,15,FALSE),(ENROLLMENT!L25*ENROLLMENT!L10*0.17)+(ENROLLMENT!L26*ENROLLMENT!L10*0.33)+(ENROLLMENT!L27*ENROLLMENT!L10*0.5)+(ENROLLMENT!L28*ENROLLMENT!L10*0.67)+(ENROLLMENT!L29*ENROLLMENT!L10*0.83)+(ENROLLMENT!L30*ENROLLMENT!L10*1))</f>
        <v>0</v>
      </c>
      <c r="E22" s="278">
        <f>IF(admin="sf161",VLOOKUP(E6,whatif,15,FALSE),(ENROLLMENT!M25*ENROLLMENT!M10*0.17)+(ENROLLMENT!M26*ENROLLMENT!M10*0.33)+(ENROLLMENT!M27*ENROLLMENT!M10*0.5)+(ENROLLMENT!M28*ENROLLMENT!M10*0.67)+(ENROLLMENT!M29*ENROLLMENT!M10*0.83)+(ENROLLMENT!M30*ENROLLMENT!M10*1))</f>
        <v>0</v>
      </c>
      <c r="F22" s="278">
        <f>IF(admin="sf161",VLOOKUP(F6,whatif,15,FALSE),(ENROLLMENT!N25*ENROLLMENT!N10*0.17)+(ENROLLMENT!N26*ENROLLMENT!N10*0.33)+(ENROLLMENT!N27*ENROLLMENT!N10*0.5)+(ENROLLMENT!N28*ENROLLMENT!N10*0.67)+(ENROLLMENT!N29*ENROLLMENT!N10*0.83)+(ENROLLMENT!N30*ENROLLMENT!N10*1))</f>
        <v>0</v>
      </c>
      <c r="G22" s="278">
        <f>IF(admin="sf161",VLOOKUP(G6,whatif,15,FALSE),(ENROLLMENT!O25*ENROLLMENT!O10*0.17)+(ENROLLMENT!O26*ENROLLMENT!O10*0.33)+(ENROLLMENT!O27*ENROLLMENT!O10*0.5)+(ENROLLMENT!O28*ENROLLMENT!O10*0.67)+(ENROLLMENT!O29*ENROLLMENT!O10*0.83)+(ENROLLMENT!O30*ENROLLMENT!O10*1))</f>
        <v>0</v>
      </c>
      <c r="H22" s="278">
        <f>IF(admin="sf161",VLOOKUP(H6,whatif,15,FALSE),(ENROLLMENT!P25*ENROLLMENT!P10*0.17)+(ENROLLMENT!P26*ENROLLMENT!P10*0.33)+(ENROLLMENT!P27*ENROLLMENT!P10*0.5)+(ENROLLMENT!P28*ENROLLMENT!P10*0.67)+(ENROLLMENT!P29*ENROLLMENT!P10*0.83)+(ENROLLMENT!P30*ENROLLMENT!P10*1))</f>
        <v>0</v>
      </c>
      <c r="I22" s="278">
        <f>IF(admin="sf161",VLOOKUP(I6,whatif,15,FALSE),(ENROLLMENT!Q25*ENROLLMENT!Q10*0.17)+(ENROLLMENT!Q26*ENROLLMENT!Q10*0.33)+(ENROLLMENT!Q27*ENROLLMENT!Q10*0.5)+(ENROLLMENT!Q28*ENROLLMENT!Q10*0.67)+(ENROLLMENT!Q29*ENROLLMENT!Q10*0.83)+(ENROLLMENT!Q30*ENROLLMENT!Q10*1))</f>
        <v>0</v>
      </c>
      <c r="J22" s="113">
        <f t="shared" si="0"/>
        <v>0</v>
      </c>
    </row>
    <row r="23" spans="1:10" ht="12.75">
      <c r="A23" s="112" t="s">
        <v>878</v>
      </c>
      <c r="B23" s="278">
        <f aca="true" t="shared" si="3" ref="B23:I23">B7-B19-B22</f>
        <v>0</v>
      </c>
      <c r="C23" s="278">
        <f t="shared" si="3"/>
        <v>0</v>
      </c>
      <c r="D23" s="278">
        <f t="shared" si="3"/>
        <v>0</v>
      </c>
      <c r="E23" s="278">
        <f t="shared" si="3"/>
        <v>0</v>
      </c>
      <c r="F23" s="278">
        <f t="shared" si="3"/>
        <v>0</v>
      </c>
      <c r="G23" s="278">
        <f t="shared" si="3"/>
        <v>0</v>
      </c>
      <c r="H23" s="278">
        <f t="shared" si="3"/>
        <v>0</v>
      </c>
      <c r="I23" s="278">
        <f t="shared" si="3"/>
        <v>0</v>
      </c>
      <c r="J23" s="113">
        <f t="shared" si="0"/>
        <v>0</v>
      </c>
    </row>
    <row r="24" spans="1:10" ht="12.75">
      <c r="A24" s="112" t="s">
        <v>879</v>
      </c>
      <c r="B24" s="278">
        <f>IF(admin="sf161",VLOOKUP(B6,whatif,16,FALSE),ENROLLMENT!J23*ENROLLMENT!J10)</f>
        <v>0</v>
      </c>
      <c r="C24" s="278">
        <f>IF(admin="sf161",VLOOKUP(C6,whatif,16,FALSE),ENROLLMENT!K23*ENROLLMENT!K10)</f>
        <v>0</v>
      </c>
      <c r="D24" s="278">
        <f>IF(admin="sf161",VLOOKUP(D6,whatif,16,FALSE),ENROLLMENT!L23*ENROLLMENT!L10)</f>
        <v>0</v>
      </c>
      <c r="E24" s="278">
        <f>IF(admin="sf161",VLOOKUP(E6,whatif,16,FALSE),ENROLLMENT!M23*ENROLLMENT!M10)</f>
        <v>0</v>
      </c>
      <c r="F24" s="278">
        <f>IF(admin="sf161",VLOOKUP(F6,whatif,16,FALSE),ENROLLMENT!N23*ENROLLMENT!N10)</f>
        <v>0</v>
      </c>
      <c r="G24" s="278">
        <f>IF(admin="sf161",VLOOKUP(G6,whatif,16,FALSE),ENROLLMENT!O23*ENROLLMENT!O10)</f>
        <v>0</v>
      </c>
      <c r="H24" s="278">
        <f>IF(admin="sf161",VLOOKUP(H6,whatif,16,FALSE),ENROLLMENT!P23*ENROLLMENT!P10)</f>
        <v>0</v>
      </c>
      <c r="I24" s="278">
        <f>IF(admin="sf161",VLOOKUP(I6,whatif,16,FALSE),ENROLLMENT!Q23*ENROLLMENT!Q10)</f>
        <v>0</v>
      </c>
      <c r="J24" s="113">
        <f t="shared" si="0"/>
        <v>0</v>
      </c>
    </row>
    <row r="25" spans="1:10" ht="12.75">
      <c r="A25" s="112" t="s">
        <v>874</v>
      </c>
      <c r="B25" s="278">
        <f>IF(admin="sf161",VLOOKUP(B6,whatif,17,FALSE),IF(ENROLLMENT!J31&lt;B7*0.05,ENROLLMENT!J31,B7*0.05))</f>
        <v>0</v>
      </c>
      <c r="C25" s="278">
        <f>IF(admin="sf161",VLOOKUP(C6,whatif,17,FALSE),IF(ENROLLMENT!K31&lt;C7*0.05,ENROLLMENT!K31,C7*0.05))</f>
        <v>0</v>
      </c>
      <c r="D25" s="278">
        <f>IF(admin="sf161",VLOOKUP(D6,whatif,17,FALSE),IF(ENROLLMENT!L31&lt;D7*0.05,ENROLLMENT!L31,D7*0.05))</f>
        <v>0</v>
      </c>
      <c r="E25" s="278">
        <f>IF(admin="sf161",VLOOKUP(E6,whatif,17,FALSE),IF(ENROLLMENT!M31&lt;E7*0.05,ENROLLMENT!M31,E7*0.05))</f>
        <v>0</v>
      </c>
      <c r="F25" s="278">
        <f>IF(admin="sf161",VLOOKUP(F6,whatif,17,FALSE),IF(ENROLLMENT!N31&lt;F7*0.05,ENROLLMENT!N31,F7*0.05))</f>
        <v>0</v>
      </c>
      <c r="G25" s="278">
        <f>IF(admin="sf161",VLOOKUP(G6,whatif,17,FALSE),IF(ENROLLMENT!O31&lt;G7*0.05,ENROLLMENT!O31,G7*0.05))</f>
        <v>0</v>
      </c>
      <c r="H25" s="278">
        <f>IF(admin="sf161",VLOOKUP(H6,whatif,17,FALSE),IF(ENROLLMENT!P31&lt;H7*0.05,ENROLLMENT!P31,H7*0.05))</f>
        <v>0</v>
      </c>
      <c r="I25" s="278">
        <f>IF(admin="sf161",VLOOKUP(I6,whatif,17,FALSE),IF(ENROLLMENT!Q31&lt;I7*0.05,ENROLLMENT!Q31,I7*0.05))</f>
        <v>0</v>
      </c>
      <c r="J25" s="113">
        <f t="shared" si="0"/>
        <v>0</v>
      </c>
    </row>
    <row r="26" spans="1:10" ht="12.75">
      <c r="A26" s="112" t="s">
        <v>1163</v>
      </c>
      <c r="B26" s="278">
        <f>IF(B25&lt;B7*0.05,B25,B7*0.05)</f>
        <v>0</v>
      </c>
      <c r="C26" s="278">
        <f aca="true" t="shared" si="4" ref="C26:I26">IF(C25&lt;C7*0.05,C25,C7*0.05)</f>
        <v>0</v>
      </c>
      <c r="D26" s="278">
        <f t="shared" si="4"/>
        <v>0</v>
      </c>
      <c r="E26" s="278">
        <f t="shared" si="4"/>
        <v>0</v>
      </c>
      <c r="F26" s="278">
        <f t="shared" si="4"/>
        <v>0</v>
      </c>
      <c r="G26" s="278">
        <f t="shared" si="4"/>
        <v>0</v>
      </c>
      <c r="H26" s="278">
        <f t="shared" si="4"/>
        <v>0</v>
      </c>
      <c r="I26" s="278">
        <f t="shared" si="4"/>
        <v>0</v>
      </c>
      <c r="J26" s="113">
        <f t="shared" si="0"/>
        <v>0</v>
      </c>
    </row>
    <row r="27" spans="1:10" ht="12.75">
      <c r="A27" s="112" t="s">
        <v>880</v>
      </c>
      <c r="B27" s="278">
        <f>IF(admin="sf161",VLOOKUP(B6,whatif,18,FALSE),ENROLLMENT!J32)</f>
        <v>0</v>
      </c>
      <c r="C27" s="278">
        <f>IF(admin="sf161",VLOOKUP(C6,whatif,18,FALSE),ENROLLMENT!K32)</f>
        <v>0</v>
      </c>
      <c r="D27" s="278">
        <f>IF(admin="sf161",VLOOKUP(D6,whatif,18,FALSE),ENROLLMENT!L32)</f>
        <v>0</v>
      </c>
      <c r="E27" s="278">
        <f>IF(admin="sf161",VLOOKUP(E6,whatif,18,FALSE),ENROLLMENT!M32)</f>
        <v>0</v>
      </c>
      <c r="F27" s="278">
        <f>IF(admin="sf161",VLOOKUP(F6,whatif,18,FALSE),ENROLLMENT!N32)</f>
        <v>0</v>
      </c>
      <c r="G27" s="278">
        <f>IF(admin="sf161",VLOOKUP(G6,whatif,18,FALSE),ENROLLMENT!O32)</f>
        <v>0</v>
      </c>
      <c r="H27" s="278">
        <f>IF(admin="sf161",VLOOKUP(H6,whatif,18,FALSE),ENROLLMENT!P32)</f>
        <v>0</v>
      </c>
      <c r="I27" s="278">
        <f>IF(admin="sf161",VLOOKUP(I6,whatif,18,FALSE),ENROLLMENT!Q32)</f>
        <v>0</v>
      </c>
      <c r="J27" s="113">
        <f t="shared" si="0"/>
        <v>0</v>
      </c>
    </row>
    <row r="28" spans="1:10" ht="12.75">
      <c r="A28" s="112" t="s">
        <v>1076</v>
      </c>
      <c r="B28" s="278">
        <f>IF(admin="sf161",VLOOKUP(B6,whatif,19,FALSE),ENROLLMENT!J33*ENROLLMENT!J10*0.2936)</f>
        <v>0</v>
      </c>
      <c r="C28" s="278">
        <f>IF(admin="sf161",VLOOKUP(C6,whatif,19,FALSE),ENROLLMENT!K33*ENROLLMENT!K10*0.2936)</f>
        <v>0</v>
      </c>
      <c r="D28" s="278">
        <f>IF(admin="sf161",VLOOKUP(D6,whatif,19,FALSE),ENROLLMENT!L33*ENROLLMENT!L10*0.2936)</f>
        <v>0</v>
      </c>
      <c r="E28" s="278">
        <f>IF(admin="sf161",VLOOKUP(E6,whatif,19,FALSE),ENROLLMENT!M33*ENROLLMENT!M10*0.2936)</f>
        <v>0</v>
      </c>
      <c r="F28" s="278">
        <f>IF(admin="sf161",VLOOKUP(F6,whatif,19,FALSE),ENROLLMENT!N33*ENROLLMENT!N10*0.2936)</f>
        <v>0</v>
      </c>
      <c r="G28" s="278">
        <f>IF(admin="sf161",VLOOKUP(G6,whatif,19,FALSE),ENROLLMENT!O33*ENROLLMENT!O10*0.2936)</f>
        <v>0</v>
      </c>
      <c r="H28" s="278">
        <f>IF(admin="sf161",VLOOKUP(H6,whatif,19,FALSE),ENROLLMENT!P33*ENROLLMENT!P10*0.2936)</f>
        <v>0</v>
      </c>
      <c r="I28" s="278">
        <f>IF(admin="sf161",VLOOKUP(I6,whatif,19,FALSE),ENROLLMENT!Q33*ENROLLMENT!Q10*0.2936)</f>
        <v>0</v>
      </c>
      <c r="J28" s="113">
        <f t="shared" si="0"/>
        <v>0</v>
      </c>
    </row>
    <row r="29" spans="1:10" ht="12.75">
      <c r="A29" s="112" t="s">
        <v>882</v>
      </c>
      <c r="B29" s="278">
        <f>IF(admin="sf161",VLOOKUP(B6,whatif,20,FALSE),ENROLLMENT!J34*ENROLLMENT!J10)</f>
        <v>0</v>
      </c>
      <c r="C29" s="278">
        <f>IF(admin="sf161",VLOOKUP(C6,whatif,20,FALSE),ENROLLMENT!K34*ENROLLMENT!K10)</f>
        <v>0</v>
      </c>
      <c r="D29" s="278">
        <f>IF(admin="sf161",VLOOKUP(D6,whatif,20,FALSE),ENROLLMENT!L34*ENROLLMENT!L10)</f>
        <v>0</v>
      </c>
      <c r="E29" s="278">
        <f>IF(admin="sf161",VLOOKUP(E6,whatif,20,FALSE),ENROLLMENT!M34*ENROLLMENT!M10)</f>
        <v>0</v>
      </c>
      <c r="F29" s="278">
        <f>IF(admin="sf161",VLOOKUP(F6,whatif,20,FALSE),ENROLLMENT!N34*ENROLLMENT!N10)</f>
        <v>0</v>
      </c>
      <c r="G29" s="278">
        <f>IF(admin="sf161",VLOOKUP(G6,whatif,20,FALSE),ENROLLMENT!O34*ENROLLMENT!O10)</f>
        <v>0</v>
      </c>
      <c r="H29" s="278">
        <f>IF(admin="sf161",VLOOKUP(H6,whatif,20,FALSE),ENROLLMENT!P34*ENROLLMENT!P10)</f>
        <v>0</v>
      </c>
      <c r="I29" s="278">
        <f>IF(admin="sf161",VLOOKUP(I6,whatif,20,FALSE),ENROLLMENT!Q34*ENROLLMENT!Q10)</f>
        <v>0</v>
      </c>
      <c r="J29" s="93">
        <f t="shared" si="0"/>
        <v>0</v>
      </c>
    </row>
    <row r="30" spans="1:10" ht="12.75">
      <c r="A30" s="112"/>
      <c r="B30" s="117"/>
      <c r="C30" s="117"/>
      <c r="D30" s="117"/>
      <c r="E30" s="117"/>
      <c r="F30" s="117"/>
      <c r="G30" s="117"/>
      <c r="H30" s="117"/>
      <c r="I30" s="117"/>
      <c r="J30" s="117"/>
    </row>
    <row r="31" spans="1:10" ht="12.75">
      <c r="A31" s="112" t="s">
        <v>883</v>
      </c>
      <c r="B31" s="118">
        <f>B23</f>
        <v>0</v>
      </c>
      <c r="C31" s="118">
        <f aca="true" t="shared" si="5" ref="C31:I31">C23</f>
        <v>0</v>
      </c>
      <c r="D31" s="118">
        <f t="shared" si="5"/>
        <v>0</v>
      </c>
      <c r="E31" s="118">
        <f t="shared" si="5"/>
        <v>0</v>
      </c>
      <c r="F31" s="118">
        <f t="shared" si="5"/>
        <v>0</v>
      </c>
      <c r="G31" s="118">
        <f t="shared" si="5"/>
        <v>0</v>
      </c>
      <c r="H31" s="118">
        <f t="shared" si="5"/>
        <v>0</v>
      </c>
      <c r="I31" s="118">
        <f t="shared" si="5"/>
        <v>0</v>
      </c>
      <c r="J31" s="118">
        <f t="shared" si="0"/>
        <v>0</v>
      </c>
    </row>
    <row r="32" spans="1:10" ht="12.75">
      <c r="A32" s="112" t="s">
        <v>884</v>
      </c>
      <c r="B32" s="118">
        <f>B20</f>
        <v>0</v>
      </c>
      <c r="C32" s="118">
        <f aca="true" t="shared" si="6" ref="C32:I32">C20</f>
        <v>0</v>
      </c>
      <c r="D32" s="118">
        <f t="shared" si="6"/>
        <v>0</v>
      </c>
      <c r="E32" s="118">
        <f t="shared" si="6"/>
        <v>0</v>
      </c>
      <c r="F32" s="118">
        <f t="shared" si="6"/>
        <v>0</v>
      </c>
      <c r="G32" s="118">
        <f t="shared" si="6"/>
        <v>0</v>
      </c>
      <c r="H32" s="118">
        <f t="shared" si="6"/>
        <v>0</v>
      </c>
      <c r="I32" s="118">
        <f t="shared" si="6"/>
        <v>0</v>
      </c>
      <c r="J32" s="119">
        <f t="shared" si="0"/>
        <v>0</v>
      </c>
    </row>
    <row r="33" spans="1:10" ht="12.75">
      <c r="A33" s="112" t="s">
        <v>885</v>
      </c>
      <c r="B33" s="118">
        <f>B24*1.1</f>
        <v>0</v>
      </c>
      <c r="C33" s="118">
        <f aca="true" t="shared" si="7" ref="C33:I33">C24*1.1</f>
        <v>0</v>
      </c>
      <c r="D33" s="118">
        <f t="shared" si="7"/>
        <v>0</v>
      </c>
      <c r="E33" s="118">
        <f t="shared" si="7"/>
        <v>0</v>
      </c>
      <c r="F33" s="118">
        <f t="shared" si="7"/>
        <v>0</v>
      </c>
      <c r="G33" s="118">
        <f t="shared" si="7"/>
        <v>0</v>
      </c>
      <c r="H33" s="118">
        <f t="shared" si="7"/>
        <v>0</v>
      </c>
      <c r="I33" s="118">
        <f t="shared" si="7"/>
        <v>0</v>
      </c>
      <c r="J33" s="119">
        <f t="shared" si="0"/>
        <v>0</v>
      </c>
    </row>
    <row r="34" spans="1:10" ht="12.75">
      <c r="A34" s="112" t="s">
        <v>886</v>
      </c>
      <c r="B34" s="118">
        <f aca="true" t="shared" si="8" ref="B34:I34">B22*1.35</f>
        <v>0</v>
      </c>
      <c r="C34" s="118">
        <f t="shared" si="8"/>
        <v>0</v>
      </c>
      <c r="D34" s="118">
        <f t="shared" si="8"/>
        <v>0</v>
      </c>
      <c r="E34" s="118">
        <f t="shared" si="8"/>
        <v>0</v>
      </c>
      <c r="F34" s="118">
        <f t="shared" si="8"/>
        <v>0</v>
      </c>
      <c r="G34" s="118">
        <f t="shared" si="8"/>
        <v>0</v>
      </c>
      <c r="H34" s="118">
        <f t="shared" si="8"/>
        <v>0</v>
      </c>
      <c r="I34" s="118">
        <f t="shared" si="8"/>
        <v>0</v>
      </c>
      <c r="J34" s="119">
        <f t="shared" si="0"/>
        <v>0</v>
      </c>
    </row>
    <row r="35" spans="1:10" ht="12.75">
      <c r="A35" s="112" t="s">
        <v>887</v>
      </c>
      <c r="B35" s="118">
        <f>B26*0.12</f>
        <v>0</v>
      </c>
      <c r="C35" s="118">
        <f aca="true" t="shared" si="9" ref="C35:I35">C26*0.12</f>
        <v>0</v>
      </c>
      <c r="D35" s="118">
        <f t="shared" si="9"/>
        <v>0</v>
      </c>
      <c r="E35" s="118">
        <f t="shared" si="9"/>
        <v>0</v>
      </c>
      <c r="F35" s="118">
        <f t="shared" si="9"/>
        <v>0</v>
      </c>
      <c r="G35" s="118">
        <f t="shared" si="9"/>
        <v>0</v>
      </c>
      <c r="H35" s="118">
        <f t="shared" si="9"/>
        <v>0</v>
      </c>
      <c r="I35" s="118">
        <f t="shared" si="9"/>
        <v>0</v>
      </c>
      <c r="J35" s="119">
        <f t="shared" si="0"/>
        <v>0</v>
      </c>
    </row>
    <row r="36" spans="1:10" ht="12.75">
      <c r="A36" s="112" t="s">
        <v>888</v>
      </c>
      <c r="B36" s="118">
        <f>B27*0.2</f>
        <v>0</v>
      </c>
      <c r="C36" s="118">
        <f aca="true" t="shared" si="10" ref="C36:I36">C27*0.2</f>
        <v>0</v>
      </c>
      <c r="D36" s="118">
        <f t="shared" si="10"/>
        <v>0</v>
      </c>
      <c r="E36" s="118">
        <f t="shared" si="10"/>
        <v>0</v>
      </c>
      <c r="F36" s="118">
        <f t="shared" si="10"/>
        <v>0</v>
      </c>
      <c r="G36" s="118">
        <f t="shared" si="10"/>
        <v>0</v>
      </c>
      <c r="H36" s="118">
        <f t="shared" si="10"/>
        <v>0</v>
      </c>
      <c r="I36" s="118">
        <f t="shared" si="10"/>
        <v>0</v>
      </c>
      <c r="J36" s="119">
        <f t="shared" si="0"/>
        <v>0</v>
      </c>
    </row>
    <row r="37" spans="1:10" ht="12.75">
      <c r="A37" s="112" t="s">
        <v>1075</v>
      </c>
      <c r="B37" s="118">
        <f>B28*2.41</f>
        <v>0</v>
      </c>
      <c r="C37" s="118">
        <f aca="true" t="shared" si="11" ref="C37:I37">C28*2.41</f>
        <v>0</v>
      </c>
      <c r="D37" s="118">
        <f t="shared" si="11"/>
        <v>0</v>
      </c>
      <c r="E37" s="118">
        <f t="shared" si="11"/>
        <v>0</v>
      </c>
      <c r="F37" s="118">
        <f t="shared" si="11"/>
        <v>0</v>
      </c>
      <c r="G37" s="118">
        <f t="shared" si="11"/>
        <v>0</v>
      </c>
      <c r="H37" s="118">
        <f t="shared" si="11"/>
        <v>0</v>
      </c>
      <c r="I37" s="118">
        <f t="shared" si="11"/>
        <v>0</v>
      </c>
      <c r="J37" s="119">
        <f t="shared" si="0"/>
        <v>0</v>
      </c>
    </row>
    <row r="38" spans="1:10" ht="12.75">
      <c r="A38" s="112" t="s">
        <v>889</v>
      </c>
      <c r="B38" s="118">
        <f>B29*0.1</f>
        <v>0</v>
      </c>
      <c r="C38" s="118">
        <f aca="true" t="shared" si="12" ref="C38:I38">C29*0.1</f>
        <v>0</v>
      </c>
      <c r="D38" s="118">
        <f t="shared" si="12"/>
        <v>0</v>
      </c>
      <c r="E38" s="118">
        <f t="shared" si="12"/>
        <v>0</v>
      </c>
      <c r="F38" s="118">
        <f t="shared" si="12"/>
        <v>0</v>
      </c>
      <c r="G38" s="118">
        <f t="shared" si="12"/>
        <v>0</v>
      </c>
      <c r="H38" s="118">
        <f t="shared" si="12"/>
        <v>0</v>
      </c>
      <c r="I38" s="118">
        <f t="shared" si="12"/>
        <v>0</v>
      </c>
      <c r="J38" s="119">
        <f t="shared" si="0"/>
        <v>0</v>
      </c>
    </row>
    <row r="39" spans="1:10" ht="12.75">
      <c r="A39" s="112"/>
      <c r="B39" s="93">
        <f>B21</f>
        <v>0</v>
      </c>
      <c r="C39" s="93">
        <f aca="true" t="shared" si="13" ref="C39:I39">C21</f>
        <v>0</v>
      </c>
      <c r="D39" s="93">
        <f t="shared" si="13"/>
        <v>0</v>
      </c>
      <c r="E39" s="93">
        <f t="shared" si="13"/>
        <v>0</v>
      </c>
      <c r="F39" s="93">
        <f t="shared" si="13"/>
        <v>0</v>
      </c>
      <c r="G39" s="93">
        <f t="shared" si="13"/>
        <v>0</v>
      </c>
      <c r="H39" s="93">
        <f t="shared" si="13"/>
        <v>0</v>
      </c>
      <c r="I39" s="93">
        <f t="shared" si="13"/>
        <v>0</v>
      </c>
      <c r="J39" s="119">
        <f t="shared" si="0"/>
        <v>0</v>
      </c>
    </row>
    <row r="40" spans="1:10" ht="12.75">
      <c r="A40" s="115" t="s">
        <v>1062</v>
      </c>
      <c r="B40" s="120">
        <f>SUM(B31:B39)</f>
        <v>0</v>
      </c>
      <c r="C40" s="120">
        <f aca="true" t="shared" si="14" ref="C40:I40">SUM(C31:C39)</f>
        <v>0</v>
      </c>
      <c r="D40" s="120">
        <f t="shared" si="14"/>
        <v>0</v>
      </c>
      <c r="E40" s="120">
        <f t="shared" si="14"/>
        <v>0</v>
      </c>
      <c r="F40" s="120">
        <f t="shared" si="14"/>
        <v>0</v>
      </c>
      <c r="G40" s="120">
        <f t="shared" si="14"/>
        <v>0</v>
      </c>
      <c r="H40" s="120">
        <f t="shared" si="14"/>
        <v>0</v>
      </c>
      <c r="I40" s="120">
        <f t="shared" si="14"/>
        <v>0</v>
      </c>
      <c r="J40" s="118">
        <f t="shared" si="0"/>
        <v>0</v>
      </c>
    </row>
    <row r="41" spans="1:10" ht="12.75">
      <c r="A41" s="115"/>
      <c r="B41" s="120"/>
      <c r="C41" s="120">
        <f>(SUM(C60:C68)*C40)/3218</f>
        <v>0</v>
      </c>
      <c r="D41" s="120"/>
      <c r="E41" s="120"/>
      <c r="F41" s="120"/>
      <c r="G41" s="120"/>
      <c r="H41" s="120"/>
      <c r="I41" s="120"/>
      <c r="J41" s="118"/>
    </row>
    <row r="42" spans="1:10" ht="12.75">
      <c r="A42" s="112" t="s">
        <v>891</v>
      </c>
      <c r="B42" s="121">
        <f>B40*B45</f>
        <v>0</v>
      </c>
      <c r="C42" s="121">
        <f aca="true" t="shared" si="15" ref="C42:I42">C40*C45</f>
        <v>0</v>
      </c>
      <c r="D42" s="121">
        <f t="shared" si="15"/>
        <v>0</v>
      </c>
      <c r="E42" s="121">
        <f t="shared" si="15"/>
        <v>0</v>
      </c>
      <c r="F42" s="121">
        <f t="shared" si="15"/>
        <v>0</v>
      </c>
      <c r="G42" s="121">
        <f t="shared" si="15"/>
        <v>0</v>
      </c>
      <c r="H42" s="121">
        <f t="shared" si="15"/>
        <v>0</v>
      </c>
      <c r="I42" s="121">
        <f t="shared" si="15"/>
        <v>0</v>
      </c>
      <c r="J42" s="121">
        <f>SUM(B42:I42)</f>
        <v>0</v>
      </c>
    </row>
    <row r="43" spans="1:10" ht="12.75">
      <c r="A43" s="112"/>
      <c r="B43" s="112"/>
      <c r="C43" s="112"/>
      <c r="D43" s="112"/>
      <c r="E43" s="112"/>
      <c r="F43" s="112"/>
      <c r="G43" s="112"/>
      <c r="H43" s="112"/>
      <c r="I43" s="112"/>
      <c r="J43" s="112"/>
    </row>
    <row r="44" spans="1:10" ht="12.75">
      <c r="A44" s="122" t="s">
        <v>892</v>
      </c>
      <c r="B44" s="112"/>
      <c r="C44" s="112"/>
      <c r="D44" s="112"/>
      <c r="E44" s="112"/>
      <c r="F44" s="112"/>
      <c r="G44" s="112"/>
      <c r="H44" s="112"/>
      <c r="I44" s="112"/>
      <c r="J44" s="112"/>
    </row>
    <row r="45" spans="1:10" ht="12.75">
      <c r="A45" s="115" t="s">
        <v>900</v>
      </c>
      <c r="B45" s="123">
        <f>VLOOKUP(B$6,FSPVAR!$A:$F,3,FALSE)</f>
        <v>1</v>
      </c>
      <c r="C45" s="123">
        <f>VLOOKUP(C$6,FSPVAR!$A:$F,3,FALSE)</f>
        <v>1</v>
      </c>
      <c r="D45" s="123">
        <f>VLOOKUP(D$6,FSPVAR!$A:$F,3,FALSE)</f>
        <v>1</v>
      </c>
      <c r="E45" s="123">
        <f>VLOOKUP(E$6,FSPVAR!$A:$F,3,FALSE)</f>
        <v>1</v>
      </c>
      <c r="F45" s="123">
        <f>VLOOKUP(F$6,FSPVAR!$A:$F,3,FALSE)</f>
        <v>1</v>
      </c>
      <c r="G45" s="123">
        <f>VLOOKUP(G$6,FSPVAR!$A:$F,3,FALSE)</f>
        <v>1</v>
      </c>
      <c r="H45" s="123">
        <f>VLOOKUP(H$6,FSPVAR!$A:$F,3,FALSE)</f>
        <v>1</v>
      </c>
      <c r="I45" s="123">
        <f>VLOOKUP(I$6,FSPVAR!$A:$F,3,FALSE)</f>
        <v>1</v>
      </c>
      <c r="J45" s="123"/>
    </row>
    <row r="46" spans="1:10" ht="12.75">
      <c r="A46" s="115" t="s">
        <v>893</v>
      </c>
      <c r="B46" s="124">
        <f>VLOOKUP(B$6,FSPVAR!$A:$F,4,FALSE)</f>
        <v>1</v>
      </c>
      <c r="C46" s="124">
        <f>VLOOKUP(C$6,FSPVAR!$A:$F,4,FALSE)</f>
        <v>1</v>
      </c>
      <c r="D46" s="124">
        <f>VLOOKUP(D$6,FSPVAR!$A:$F,4,FALSE)</f>
        <v>1</v>
      </c>
      <c r="E46" s="124">
        <f>VLOOKUP(E$6,FSPVAR!$A:$F,4,FALSE)</f>
        <v>1</v>
      </c>
      <c r="F46" s="124">
        <f>VLOOKUP(F$6,FSPVAR!$A:$F,4,FALSE)</f>
        <v>1</v>
      </c>
      <c r="G46" s="124">
        <f>VLOOKUP(G$6,FSPVAR!$A:$F,4,FALSE)</f>
        <v>1</v>
      </c>
      <c r="H46" s="124">
        <f>VLOOKUP(H$6,FSPVAR!$A:$F,4,FALSE)</f>
        <v>1</v>
      </c>
      <c r="I46" s="124">
        <f>VLOOKUP(I$6,FSPVAR!$A:$F,4,FALSE)</f>
        <v>1</v>
      </c>
      <c r="J46" s="124"/>
    </row>
    <row r="47" spans="1:10" ht="12.75">
      <c r="A47" s="115" t="s">
        <v>1063</v>
      </c>
      <c r="B47" s="124">
        <f>VLOOKUP(B$6,FSPVAR!$A:$F,5,FALSE)</f>
        <v>1</v>
      </c>
      <c r="C47" s="124">
        <f>VLOOKUP(C$6,FSPVAR!$A:$F,5,FALSE)</f>
        <v>1</v>
      </c>
      <c r="D47" s="124">
        <f>VLOOKUP(D$6,FSPVAR!$A:$F,5,FALSE)</f>
        <v>1</v>
      </c>
      <c r="E47" s="124">
        <f>VLOOKUP(E$6,FSPVAR!$A:$F,5,FALSE)</f>
        <v>1</v>
      </c>
      <c r="F47" s="124">
        <f>VLOOKUP(F$6,FSPVAR!$A:$F,5,FALSE)</f>
        <v>1</v>
      </c>
      <c r="G47" s="124">
        <f>VLOOKUP(G$6,FSPVAR!$A:$F,5,FALSE)</f>
        <v>1</v>
      </c>
      <c r="H47" s="124">
        <f>VLOOKUP(H$6,FSPVAR!$A:$F,5,FALSE)</f>
        <v>1</v>
      </c>
      <c r="I47" s="124">
        <f>VLOOKUP(I$6,FSPVAR!$A:$F,5,FALSE)</f>
        <v>1</v>
      </c>
      <c r="J47" s="124"/>
    </row>
    <row r="48" spans="1:10" ht="12.75">
      <c r="A48" s="115" t="s">
        <v>1064</v>
      </c>
      <c r="B48" s="124">
        <f>VLOOKUP(B$6,FSPVAR!$A:$F,6,FALSE)</f>
        <v>1</v>
      </c>
      <c r="C48" s="124">
        <f>VLOOKUP(C$6,FSPVAR!$A:$F,6,FALSE)</f>
        <v>1</v>
      </c>
      <c r="D48" s="124">
        <f>VLOOKUP(D$6,FSPVAR!$A:$F,6,FALSE)</f>
        <v>1</v>
      </c>
      <c r="E48" s="124">
        <f>VLOOKUP(E$6,FSPVAR!$A:$F,6,FALSE)</f>
        <v>1</v>
      </c>
      <c r="F48" s="124">
        <f>VLOOKUP(F$6,FSPVAR!$A:$F,6,FALSE)</f>
        <v>1</v>
      </c>
      <c r="G48" s="124">
        <f>VLOOKUP(G$6,FSPVAR!$A:$F,6,FALSE)</f>
        <v>1</v>
      </c>
      <c r="H48" s="124">
        <f>VLOOKUP(H$6,FSPVAR!$A:$F,6,FALSE)</f>
        <v>1</v>
      </c>
      <c r="I48" s="124">
        <f>VLOOKUP(I$6,FSPVAR!$A:$F,6,FALSE)</f>
        <v>1</v>
      </c>
      <c r="J48" s="124"/>
    </row>
    <row r="49" spans="1:10" ht="12.75">
      <c r="A49" s="112"/>
      <c r="B49" s="112"/>
      <c r="C49" s="112"/>
      <c r="D49" s="112"/>
      <c r="E49" s="112"/>
      <c r="F49" s="112"/>
      <c r="G49" s="112"/>
      <c r="H49" s="112"/>
      <c r="I49" s="112"/>
      <c r="J49" s="112"/>
    </row>
    <row r="50" spans="1:10" ht="12.75">
      <c r="A50" s="191" t="s">
        <v>1072</v>
      </c>
      <c r="B50" s="192">
        <f>'RISD1-8'!B50</f>
        <v>0.4</v>
      </c>
      <c r="C50" s="192">
        <f aca="true" t="shared" si="16" ref="C50:I50">B50</f>
        <v>0.4</v>
      </c>
      <c r="D50" s="192">
        <f t="shared" si="16"/>
        <v>0.4</v>
      </c>
      <c r="E50" s="192">
        <f t="shared" si="16"/>
        <v>0.4</v>
      </c>
      <c r="F50" s="192">
        <f t="shared" si="16"/>
        <v>0.4</v>
      </c>
      <c r="G50" s="192">
        <f t="shared" si="16"/>
        <v>0.4</v>
      </c>
      <c r="H50" s="192">
        <f t="shared" si="16"/>
        <v>0.4</v>
      </c>
      <c r="I50" s="192">
        <f t="shared" si="16"/>
        <v>0.4</v>
      </c>
      <c r="J50" s="192"/>
    </row>
    <row r="51" spans="1:10" ht="12.75">
      <c r="A51" s="112"/>
      <c r="B51" s="112"/>
      <c r="C51" s="112"/>
      <c r="D51" s="112"/>
      <c r="E51" s="112"/>
      <c r="F51" s="112"/>
      <c r="G51" s="112"/>
      <c r="H51" s="112"/>
      <c r="I51" s="112"/>
      <c r="J51" s="112"/>
    </row>
    <row r="52" spans="1:10" ht="12.75">
      <c r="A52" s="125" t="s">
        <v>893</v>
      </c>
      <c r="B52" s="126">
        <f aca="true" t="shared" si="17" ref="B52:I52">IF(B46&lt;7001,B46*B7*B50,B7*7000*B50)</f>
        <v>0</v>
      </c>
      <c r="C52" s="126">
        <f t="shared" si="17"/>
        <v>0</v>
      </c>
      <c r="D52" s="126">
        <f t="shared" si="17"/>
        <v>0</v>
      </c>
      <c r="E52" s="126">
        <f t="shared" si="17"/>
        <v>0</v>
      </c>
      <c r="F52" s="126">
        <f t="shared" si="17"/>
        <v>0</v>
      </c>
      <c r="G52" s="126">
        <f t="shared" si="17"/>
        <v>0</v>
      </c>
      <c r="H52" s="126">
        <f t="shared" si="17"/>
        <v>0</v>
      </c>
      <c r="I52" s="126">
        <f t="shared" si="17"/>
        <v>0</v>
      </c>
      <c r="J52" s="126">
        <f>SUM(B52:I52)</f>
        <v>0</v>
      </c>
    </row>
    <row r="53" spans="1:10" ht="12.75">
      <c r="A53" s="125"/>
      <c r="B53" s="127"/>
      <c r="C53" s="127"/>
      <c r="D53" s="127"/>
      <c r="E53" s="127"/>
      <c r="F53" s="127"/>
      <c r="G53" s="127"/>
      <c r="H53" s="127"/>
      <c r="I53" s="127"/>
      <c r="J53" s="127"/>
    </row>
    <row r="54" spans="1:10" ht="12.75">
      <c r="A54" s="125" t="s">
        <v>894</v>
      </c>
      <c r="B54" s="126">
        <f aca="true" t="shared" si="18" ref="B54:I54">B47*B42*B50</f>
        <v>0</v>
      </c>
      <c r="C54" s="126">
        <f t="shared" si="18"/>
        <v>0</v>
      </c>
      <c r="D54" s="126">
        <f t="shared" si="18"/>
        <v>0</v>
      </c>
      <c r="E54" s="126">
        <f t="shared" si="18"/>
        <v>0</v>
      </c>
      <c r="F54" s="126">
        <f t="shared" si="18"/>
        <v>0</v>
      </c>
      <c r="G54" s="126">
        <f t="shared" si="18"/>
        <v>0</v>
      </c>
      <c r="H54" s="126">
        <f t="shared" si="18"/>
        <v>0</v>
      </c>
      <c r="I54" s="126">
        <f t="shared" si="18"/>
        <v>0</v>
      </c>
      <c r="J54" s="126">
        <f>SUM(B54:I54)</f>
        <v>0</v>
      </c>
    </row>
    <row r="55" spans="1:10" ht="12.75">
      <c r="A55" s="125"/>
      <c r="B55" s="127"/>
      <c r="C55" s="127"/>
      <c r="D55" s="127"/>
      <c r="E55" s="127"/>
      <c r="F55" s="127"/>
      <c r="G55" s="127"/>
      <c r="H55" s="127"/>
      <c r="I55" s="127"/>
      <c r="J55" s="127"/>
    </row>
    <row r="56" spans="1:10" ht="25.5">
      <c r="A56" s="125" t="s">
        <v>895</v>
      </c>
      <c r="B56" s="126">
        <f>IF(B52&gt;B54,B52,B54)</f>
        <v>0</v>
      </c>
      <c r="C56" s="126">
        <f aca="true" t="shared" si="19" ref="C56:I56">IF(C52&gt;C54,C52,C54)</f>
        <v>0</v>
      </c>
      <c r="D56" s="126">
        <f t="shared" si="19"/>
        <v>0</v>
      </c>
      <c r="E56" s="126">
        <f t="shared" si="19"/>
        <v>0</v>
      </c>
      <c r="F56" s="126">
        <f t="shared" si="19"/>
        <v>0</v>
      </c>
      <c r="G56" s="126">
        <f t="shared" si="19"/>
        <v>0</v>
      </c>
      <c r="H56" s="126">
        <f t="shared" si="19"/>
        <v>0</v>
      </c>
      <c r="I56" s="126">
        <f t="shared" si="19"/>
        <v>0</v>
      </c>
      <c r="J56" s="126">
        <f>SUM(B56:I56)</f>
        <v>0</v>
      </c>
    </row>
    <row r="57" spans="1:10" ht="12.75">
      <c r="A57" s="112"/>
      <c r="B57" s="128"/>
      <c r="C57" s="128"/>
      <c r="D57" s="128"/>
      <c r="E57" s="128"/>
      <c r="F57" s="128"/>
      <c r="G57" s="128"/>
      <c r="H57" s="128"/>
      <c r="I57" s="128"/>
      <c r="J57" s="128"/>
    </row>
    <row r="58" spans="1:10" ht="12.75">
      <c r="A58" s="129" t="s">
        <v>896</v>
      </c>
      <c r="B58" s="128"/>
      <c r="C58" s="128"/>
      <c r="D58" s="128"/>
      <c r="E58" s="128"/>
      <c r="F58" s="128"/>
      <c r="G58" s="128"/>
      <c r="H58" s="128"/>
      <c r="I58" s="128"/>
      <c r="J58" s="128"/>
    </row>
    <row r="59" spans="1:10" ht="12.75">
      <c r="A59" s="130" t="s">
        <v>914</v>
      </c>
      <c r="B59" s="131">
        <f aca="true" t="shared" si="20" ref="B59:I66">B31*B$48*B$50</f>
        <v>0</v>
      </c>
      <c r="C59" s="131">
        <f t="shared" si="20"/>
        <v>0</v>
      </c>
      <c r="D59" s="131">
        <f t="shared" si="20"/>
        <v>0</v>
      </c>
      <c r="E59" s="131">
        <f t="shared" si="20"/>
        <v>0</v>
      </c>
      <c r="F59" s="131">
        <f t="shared" si="20"/>
        <v>0</v>
      </c>
      <c r="G59" s="131">
        <f t="shared" si="20"/>
        <v>0</v>
      </c>
      <c r="H59" s="131">
        <f t="shared" si="20"/>
        <v>0</v>
      </c>
      <c r="I59" s="131">
        <f t="shared" si="20"/>
        <v>0</v>
      </c>
      <c r="J59" s="126">
        <f aca="true" t="shared" si="21" ref="J59:J73">SUM(B59:I59)</f>
        <v>0</v>
      </c>
    </row>
    <row r="60" spans="1:10" ht="12.75">
      <c r="A60" s="130" t="s">
        <v>1065</v>
      </c>
      <c r="B60" s="131">
        <f t="shared" si="20"/>
        <v>0</v>
      </c>
      <c r="C60" s="131">
        <f t="shared" si="20"/>
        <v>0</v>
      </c>
      <c r="D60" s="131">
        <f t="shared" si="20"/>
        <v>0</v>
      </c>
      <c r="E60" s="131">
        <f t="shared" si="20"/>
        <v>0</v>
      </c>
      <c r="F60" s="131">
        <f t="shared" si="20"/>
        <v>0</v>
      </c>
      <c r="G60" s="131">
        <f t="shared" si="20"/>
        <v>0</v>
      </c>
      <c r="H60" s="131">
        <f t="shared" si="20"/>
        <v>0</v>
      </c>
      <c r="I60" s="131">
        <f t="shared" si="20"/>
        <v>0</v>
      </c>
      <c r="J60" s="126">
        <f t="shared" si="21"/>
        <v>0</v>
      </c>
    </row>
    <row r="61" spans="1:10" ht="12.75">
      <c r="A61" s="130" t="s">
        <v>1066</v>
      </c>
      <c r="B61" s="131">
        <f t="shared" si="20"/>
        <v>0</v>
      </c>
      <c r="C61" s="131">
        <f t="shared" si="20"/>
        <v>0</v>
      </c>
      <c r="D61" s="131">
        <f t="shared" si="20"/>
        <v>0</v>
      </c>
      <c r="E61" s="131">
        <f t="shared" si="20"/>
        <v>0</v>
      </c>
      <c r="F61" s="131">
        <f t="shared" si="20"/>
        <v>0</v>
      </c>
      <c r="G61" s="131">
        <f t="shared" si="20"/>
        <v>0</v>
      </c>
      <c r="H61" s="131">
        <f t="shared" si="20"/>
        <v>0</v>
      </c>
      <c r="I61" s="131">
        <f t="shared" si="20"/>
        <v>0</v>
      </c>
      <c r="J61" s="126">
        <f t="shared" si="21"/>
        <v>0</v>
      </c>
    </row>
    <row r="62" spans="1:10" ht="12.75">
      <c r="A62" s="130" t="s">
        <v>1067</v>
      </c>
      <c r="B62" s="131">
        <f t="shared" si="20"/>
        <v>0</v>
      </c>
      <c r="C62" s="131">
        <f t="shared" si="20"/>
        <v>0</v>
      </c>
      <c r="D62" s="131">
        <f t="shared" si="20"/>
        <v>0</v>
      </c>
      <c r="E62" s="131">
        <f t="shared" si="20"/>
        <v>0</v>
      </c>
      <c r="F62" s="131">
        <f t="shared" si="20"/>
        <v>0</v>
      </c>
      <c r="G62" s="131">
        <f t="shared" si="20"/>
        <v>0</v>
      </c>
      <c r="H62" s="131">
        <f t="shared" si="20"/>
        <v>0</v>
      </c>
      <c r="I62" s="131">
        <f t="shared" si="20"/>
        <v>0</v>
      </c>
      <c r="J62" s="126">
        <f t="shared" si="21"/>
        <v>0</v>
      </c>
    </row>
    <row r="63" spans="1:10" ht="12.75">
      <c r="A63" s="130" t="s">
        <v>1068</v>
      </c>
      <c r="B63" s="131">
        <f t="shared" si="20"/>
        <v>0</v>
      </c>
      <c r="C63" s="131">
        <f t="shared" si="20"/>
        <v>0</v>
      </c>
      <c r="D63" s="131">
        <f t="shared" si="20"/>
        <v>0</v>
      </c>
      <c r="E63" s="131">
        <f t="shared" si="20"/>
        <v>0</v>
      </c>
      <c r="F63" s="131">
        <f t="shared" si="20"/>
        <v>0</v>
      </c>
      <c r="G63" s="131">
        <f t="shared" si="20"/>
        <v>0</v>
      </c>
      <c r="H63" s="131">
        <f t="shared" si="20"/>
        <v>0</v>
      </c>
      <c r="I63" s="131">
        <f t="shared" si="20"/>
        <v>0</v>
      </c>
      <c r="J63" s="126">
        <f t="shared" si="21"/>
        <v>0</v>
      </c>
    </row>
    <row r="64" spans="1:10" ht="12.75">
      <c r="A64" s="130" t="s">
        <v>1069</v>
      </c>
      <c r="B64" s="131">
        <f t="shared" si="20"/>
        <v>0</v>
      </c>
      <c r="C64" s="131">
        <f t="shared" si="20"/>
        <v>0</v>
      </c>
      <c r="D64" s="131">
        <f t="shared" si="20"/>
        <v>0</v>
      </c>
      <c r="E64" s="131">
        <f t="shared" si="20"/>
        <v>0</v>
      </c>
      <c r="F64" s="131">
        <f t="shared" si="20"/>
        <v>0</v>
      </c>
      <c r="G64" s="131">
        <f t="shared" si="20"/>
        <v>0</v>
      </c>
      <c r="H64" s="131">
        <f t="shared" si="20"/>
        <v>0</v>
      </c>
      <c r="I64" s="131">
        <f t="shared" si="20"/>
        <v>0</v>
      </c>
      <c r="J64" s="126">
        <f t="shared" si="21"/>
        <v>0</v>
      </c>
    </row>
    <row r="65" spans="1:10" ht="12.75">
      <c r="A65" s="130" t="s">
        <v>1070</v>
      </c>
      <c r="B65" s="131">
        <f t="shared" si="20"/>
        <v>0</v>
      </c>
      <c r="C65" s="131">
        <f t="shared" si="20"/>
        <v>0</v>
      </c>
      <c r="D65" s="131">
        <f t="shared" si="20"/>
        <v>0</v>
      </c>
      <c r="E65" s="131">
        <f t="shared" si="20"/>
        <v>0</v>
      </c>
      <c r="F65" s="131">
        <f t="shared" si="20"/>
        <v>0</v>
      </c>
      <c r="G65" s="131">
        <f t="shared" si="20"/>
        <v>0</v>
      </c>
      <c r="H65" s="131">
        <f t="shared" si="20"/>
        <v>0</v>
      </c>
      <c r="I65" s="131">
        <f t="shared" si="20"/>
        <v>0</v>
      </c>
      <c r="J65" s="126">
        <f t="shared" si="21"/>
        <v>0</v>
      </c>
    </row>
    <row r="66" spans="1:10" ht="12.75">
      <c r="A66" s="130" t="s">
        <v>1071</v>
      </c>
      <c r="B66" s="131">
        <f t="shared" si="20"/>
        <v>0</v>
      </c>
      <c r="C66" s="131">
        <f t="shared" si="20"/>
        <v>0</v>
      </c>
      <c r="D66" s="131">
        <f t="shared" si="20"/>
        <v>0</v>
      </c>
      <c r="E66" s="131">
        <f t="shared" si="20"/>
        <v>0</v>
      </c>
      <c r="F66" s="131">
        <f t="shared" si="20"/>
        <v>0</v>
      </c>
      <c r="G66" s="131">
        <f t="shared" si="20"/>
        <v>0</v>
      </c>
      <c r="H66" s="131">
        <f t="shared" si="20"/>
        <v>0</v>
      </c>
      <c r="I66" s="131">
        <f t="shared" si="20"/>
        <v>0</v>
      </c>
      <c r="J66" s="126">
        <f t="shared" si="21"/>
        <v>0</v>
      </c>
    </row>
    <row r="67" spans="1:10" ht="12.75">
      <c r="A67" s="152" t="s">
        <v>1177</v>
      </c>
      <c r="B67" s="131">
        <f>B21*B$48*B$50*0.75</f>
        <v>0</v>
      </c>
      <c r="C67" s="131">
        <f aca="true" t="shared" si="22" ref="C67:I67">C21*C$48*C$50*0.75</f>
        <v>0</v>
      </c>
      <c r="D67" s="131">
        <f t="shared" si="22"/>
        <v>0</v>
      </c>
      <c r="E67" s="131">
        <f t="shared" si="22"/>
        <v>0</v>
      </c>
      <c r="F67" s="131">
        <f t="shared" si="22"/>
        <v>0</v>
      </c>
      <c r="G67" s="131">
        <f t="shared" si="22"/>
        <v>0</v>
      </c>
      <c r="H67" s="131">
        <f t="shared" si="22"/>
        <v>0</v>
      </c>
      <c r="I67" s="131">
        <f t="shared" si="22"/>
        <v>0</v>
      </c>
      <c r="J67" s="126">
        <f t="shared" si="21"/>
        <v>0</v>
      </c>
    </row>
    <row r="68" spans="1:10" ht="15.75">
      <c r="A68" s="87" t="s">
        <v>934</v>
      </c>
      <c r="B68" s="131">
        <f>SUM(B59:B67)</f>
        <v>0</v>
      </c>
      <c r="C68" s="131">
        <f aca="true" t="shared" si="23" ref="C68:I68">SUM(C59:C67)</f>
        <v>0</v>
      </c>
      <c r="D68" s="131">
        <f t="shared" si="23"/>
        <v>0</v>
      </c>
      <c r="E68" s="131">
        <f t="shared" si="23"/>
        <v>0</v>
      </c>
      <c r="F68" s="131">
        <f t="shared" si="23"/>
        <v>0</v>
      </c>
      <c r="G68" s="131">
        <f t="shared" si="23"/>
        <v>0</v>
      </c>
      <c r="H68" s="131">
        <f t="shared" si="23"/>
        <v>0</v>
      </c>
      <c r="I68" s="131">
        <f t="shared" si="23"/>
        <v>0</v>
      </c>
      <c r="J68" s="126">
        <f t="shared" si="21"/>
        <v>0</v>
      </c>
    </row>
    <row r="69" spans="1:10" ht="16.5" thickBot="1">
      <c r="A69" s="87" t="s">
        <v>935</v>
      </c>
      <c r="B69" s="132">
        <f aca="true" t="shared" si="24" ref="B69:I69">IF(B52&gt;B54,B52-B68,B54-B68)</f>
        <v>0</v>
      </c>
      <c r="C69" s="132">
        <f t="shared" si="24"/>
        <v>0</v>
      </c>
      <c r="D69" s="132">
        <f t="shared" si="24"/>
        <v>0</v>
      </c>
      <c r="E69" s="132">
        <f t="shared" si="24"/>
        <v>0</v>
      </c>
      <c r="F69" s="132">
        <f t="shared" si="24"/>
        <v>0</v>
      </c>
      <c r="G69" s="132">
        <f t="shared" si="24"/>
        <v>0</v>
      </c>
      <c r="H69" s="132">
        <f t="shared" si="24"/>
        <v>0</v>
      </c>
      <c r="I69" s="132">
        <f t="shared" si="24"/>
        <v>0</v>
      </c>
      <c r="J69" s="133">
        <f t="shared" si="21"/>
        <v>0</v>
      </c>
    </row>
    <row r="70" spans="1:10" ht="16.5" thickBot="1">
      <c r="A70" s="88" t="s">
        <v>936</v>
      </c>
      <c r="B70" s="135">
        <f>B68+B69</f>
        <v>0</v>
      </c>
      <c r="C70" s="135">
        <f aca="true" t="shared" si="25" ref="C70:I70">C68+C69</f>
        <v>0</v>
      </c>
      <c r="D70" s="135">
        <f t="shared" si="25"/>
        <v>0</v>
      </c>
      <c r="E70" s="135">
        <f t="shared" si="25"/>
        <v>0</v>
      </c>
      <c r="F70" s="135">
        <f t="shared" si="25"/>
        <v>0</v>
      </c>
      <c r="G70" s="135">
        <f t="shared" si="25"/>
        <v>0</v>
      </c>
      <c r="H70" s="135">
        <f t="shared" si="25"/>
        <v>0</v>
      </c>
      <c r="I70" s="135">
        <f t="shared" si="25"/>
        <v>0</v>
      </c>
      <c r="J70" s="136">
        <f t="shared" si="21"/>
        <v>0</v>
      </c>
    </row>
    <row r="71" spans="1:10" ht="13.5" thickTop="1">
      <c r="A71" s="129" t="s">
        <v>912</v>
      </c>
      <c r="B71" s="137">
        <f aca="true" t="shared" si="26" ref="B71:I71">B7*30*B50</f>
        <v>0</v>
      </c>
      <c r="C71" s="137">
        <f t="shared" si="26"/>
        <v>0</v>
      </c>
      <c r="D71" s="137">
        <f t="shared" si="26"/>
        <v>0</v>
      </c>
      <c r="E71" s="137">
        <f t="shared" si="26"/>
        <v>0</v>
      </c>
      <c r="F71" s="137">
        <f t="shared" si="26"/>
        <v>0</v>
      </c>
      <c r="G71" s="137">
        <f t="shared" si="26"/>
        <v>0</v>
      </c>
      <c r="H71" s="137">
        <f t="shared" si="26"/>
        <v>0</v>
      </c>
      <c r="I71" s="137">
        <f t="shared" si="26"/>
        <v>0</v>
      </c>
      <c r="J71" s="138">
        <f t="shared" si="21"/>
        <v>0</v>
      </c>
    </row>
    <row r="72" spans="1:10" ht="12.75">
      <c r="A72" s="139" t="s">
        <v>913</v>
      </c>
      <c r="B72" s="140">
        <f aca="true" t="shared" si="27" ref="B72:I72">B42*110*B50</f>
        <v>0</v>
      </c>
      <c r="C72" s="140">
        <f t="shared" si="27"/>
        <v>0</v>
      </c>
      <c r="D72" s="140">
        <f t="shared" si="27"/>
        <v>0</v>
      </c>
      <c r="E72" s="140">
        <f t="shared" si="27"/>
        <v>0</v>
      </c>
      <c r="F72" s="140">
        <f t="shared" si="27"/>
        <v>0</v>
      </c>
      <c r="G72" s="140">
        <f t="shared" si="27"/>
        <v>0</v>
      </c>
      <c r="H72" s="140">
        <f t="shared" si="27"/>
        <v>0</v>
      </c>
      <c r="I72" s="140">
        <f t="shared" si="27"/>
        <v>0</v>
      </c>
      <c r="J72" s="141">
        <f t="shared" si="21"/>
        <v>0</v>
      </c>
    </row>
    <row r="73" spans="1:10" ht="13.5" thickBot="1">
      <c r="A73" s="134" t="s">
        <v>1039</v>
      </c>
      <c r="B73" s="142">
        <f>SUM(B70:B72)</f>
        <v>0</v>
      </c>
      <c r="C73" s="142">
        <f aca="true" t="shared" si="28" ref="C73:I73">SUM(C70:C72)</f>
        <v>0</v>
      </c>
      <c r="D73" s="142">
        <f t="shared" si="28"/>
        <v>0</v>
      </c>
      <c r="E73" s="142">
        <f t="shared" si="28"/>
        <v>0</v>
      </c>
      <c r="F73" s="142">
        <f t="shared" si="28"/>
        <v>0</v>
      </c>
      <c r="G73" s="142">
        <f t="shared" si="28"/>
        <v>0</v>
      </c>
      <c r="H73" s="142">
        <f t="shared" si="28"/>
        <v>0</v>
      </c>
      <c r="I73" s="142">
        <f t="shared" si="28"/>
        <v>0</v>
      </c>
      <c r="J73" s="143">
        <f t="shared" si="21"/>
        <v>0</v>
      </c>
    </row>
    <row r="74" ht="13.5" thickTop="1">
      <c r="C74" s="313">
        <f>SUM(C61:C69)</f>
        <v>0</v>
      </c>
    </row>
  </sheetData>
  <sheetProtection password="EE5D" sheet="1"/>
  <mergeCells count="3">
    <mergeCell ref="A1:J1"/>
    <mergeCell ref="A2:J2"/>
    <mergeCell ref="A3:J3"/>
  </mergeCells>
  <printOptions headings="1" horizontalCentered="1"/>
  <pageMargins left="0.5" right="0.5" top="1" bottom="1" header="0.5" footer="0.5"/>
  <pageSetup cellComments="asDisplayed" fitToHeight="1" fitToWidth="1" horizontalDpi="600" verticalDpi="600" orientation="portrait" scale="60" r:id="rId3"/>
  <headerFooter alignWithMargins="0">
    <oddFooter>&amp;C&amp;A
Printed on &amp;D</oddFooter>
  </headerFooter>
  <rowBreaks count="1" manualBreakCount="1">
    <brk id="42" max="9" man="1"/>
  </rowBreaks>
  <legacyDrawing r:id="rId2"/>
</worksheet>
</file>

<file path=xl/worksheets/sheet8.xml><?xml version="1.0" encoding="utf-8"?>
<worksheet xmlns="http://schemas.openxmlformats.org/spreadsheetml/2006/main" xmlns:r="http://schemas.openxmlformats.org/officeDocument/2006/relationships">
  <sheetPr>
    <tabColor indexed="40"/>
    <pageSetUpPr fitToPage="1"/>
  </sheetPr>
  <dimension ref="A1:J74"/>
  <sheetViews>
    <sheetView zoomScale="88" zoomScaleNormal="88" zoomScaleSheetLayoutView="88" zoomScalePageLayoutView="0" workbookViewId="0" topLeftCell="A1">
      <pane xSplit="1" ySplit="6" topLeftCell="B7" activePane="bottomRight" state="frozen"/>
      <selection pane="topLeft" activeCell="D79" sqref="D79"/>
      <selection pane="topRight" activeCell="D79" sqref="D79"/>
      <selection pane="bottomLeft" activeCell="D79" sqref="D79"/>
      <selection pane="bottomRight" activeCell="D79" sqref="D79"/>
    </sheetView>
  </sheetViews>
  <sheetFormatPr defaultColWidth="9.140625" defaultRowHeight="12.75"/>
  <cols>
    <col min="1" max="1" width="42.7109375" style="111" customWidth="1"/>
    <col min="2" max="9" width="12.7109375" style="111" customWidth="1"/>
    <col min="10" max="10" width="13.57421875" style="111" bestFit="1" customWidth="1"/>
    <col min="11" max="16384" width="9.140625" style="111" customWidth="1"/>
  </cols>
  <sheetData>
    <row r="1" spans="1:10" ht="12.75">
      <c r="A1" s="326" t="str">
        <f>VLOOKUP(A2,ALLCHARTERS!$A:$XFD,3,FALSE)</f>
        <v>ENTER CHARTER SCHOOL CDN BELOW (NO DASHES):</v>
      </c>
      <c r="B1" s="327"/>
      <c r="C1" s="327"/>
      <c r="D1" s="327"/>
      <c r="E1" s="327"/>
      <c r="F1" s="327"/>
      <c r="G1" s="327"/>
      <c r="H1" s="327"/>
      <c r="I1" s="327"/>
      <c r="J1" s="328"/>
    </row>
    <row r="2" spans="1:10" ht="12.75">
      <c r="A2" s="329">
        <f>IF(admin="sf161",'MAINFRAME WHATIF'!B3,ENROLLMENT!A2)</f>
        <v>0</v>
      </c>
      <c r="B2" s="330"/>
      <c r="C2" s="330"/>
      <c r="D2" s="330"/>
      <c r="E2" s="330"/>
      <c r="F2" s="330"/>
      <c r="G2" s="330"/>
      <c r="H2" s="330"/>
      <c r="I2" s="330"/>
      <c r="J2" s="331"/>
    </row>
    <row r="3" spans="1:10" ht="12.75">
      <c r="A3" s="332" t="str">
        <f>ENROLLMENT!A3</f>
        <v>2008-2009 Estimate of State Aid Entitlement Template</v>
      </c>
      <c r="B3" s="333"/>
      <c r="C3" s="333"/>
      <c r="D3" s="333"/>
      <c r="E3" s="333"/>
      <c r="F3" s="333"/>
      <c r="G3" s="333"/>
      <c r="H3" s="333"/>
      <c r="I3" s="333"/>
      <c r="J3" s="334"/>
    </row>
    <row r="4" spans="1:10" ht="12.75">
      <c r="A4" s="185"/>
      <c r="B4" s="184">
        <v>17</v>
      </c>
      <c r="C4" s="184">
        <v>18</v>
      </c>
      <c r="D4" s="184">
        <v>19</v>
      </c>
      <c r="E4" s="184">
        <v>20</v>
      </c>
      <c r="F4" s="184">
        <v>21</v>
      </c>
      <c r="G4" s="184">
        <v>22</v>
      </c>
      <c r="H4" s="184">
        <v>23</v>
      </c>
      <c r="I4" s="184">
        <v>24</v>
      </c>
      <c r="J4" s="190"/>
    </row>
    <row r="5" spans="1:10" ht="24.75" customHeight="1">
      <c r="A5" s="187"/>
      <c r="B5" s="188" t="str">
        <f>VLOOKUP(B$6,FSPVAR!$A:$F,2,FALSE)</f>
        <v>NONE</v>
      </c>
      <c r="C5" s="188" t="str">
        <f>VLOOKUP(C$6,FSPVAR!$A:$F,2,FALSE)</f>
        <v>NONE</v>
      </c>
      <c r="D5" s="188" t="str">
        <f>VLOOKUP(D$6,FSPVAR!$A:$F,2,FALSE)</f>
        <v>NONE</v>
      </c>
      <c r="E5" s="188" t="str">
        <f>VLOOKUP(E$6,FSPVAR!$A:$F,2,FALSE)</f>
        <v>NONE</v>
      </c>
      <c r="F5" s="188" t="str">
        <f>VLOOKUP(F$6,FSPVAR!$A:$F,2,FALSE)</f>
        <v>NONE</v>
      </c>
      <c r="G5" s="188" t="str">
        <f>VLOOKUP(G$6,FSPVAR!$A:$F,2,FALSE)</f>
        <v>NONE</v>
      </c>
      <c r="H5" s="188" t="str">
        <f>VLOOKUP(H$6,FSPVAR!$A:$F,2,FALSE)</f>
        <v>NONE</v>
      </c>
      <c r="I5" s="188" t="str">
        <f>VLOOKUP(I$6,FSPVAR!$A:$F,2,FALSE)</f>
        <v>NONE</v>
      </c>
      <c r="J5" s="188" t="s">
        <v>1027</v>
      </c>
    </row>
    <row r="6" spans="1:10" ht="12.75">
      <c r="A6" s="187" t="s">
        <v>1077</v>
      </c>
      <c r="B6" s="189">
        <f>IF(admin="sf161",_cdn17,ENROLLMENT!R8)</f>
        <v>0</v>
      </c>
      <c r="C6" s="189">
        <f>IF(admin="sf161",_cdn18,ENROLLMENT!S8)</f>
        <v>0</v>
      </c>
      <c r="D6" s="189">
        <f>IF(admin="sf161",_cdn19,ENROLLMENT!T8)</f>
        <v>0</v>
      </c>
      <c r="E6" s="189">
        <f>IF(admin="sf161",_cdn20,ENROLLMENT!U8)</f>
        <v>0</v>
      </c>
      <c r="F6" s="189">
        <f>IF(admin="sf161",_cdn21,ENROLLMENT!V8)</f>
        <v>0</v>
      </c>
      <c r="G6" s="189">
        <f>IF(admin="sf161",_cdn22,ENROLLMENT!W8)</f>
        <v>0</v>
      </c>
      <c r="H6" s="189">
        <f>IF(admin="sf161",_cdn23,ENROLLMENT!X8)</f>
        <v>0</v>
      </c>
      <c r="I6" s="189">
        <f>IF(admin="sf161",_cdn24,ENROLLMENT!Y8)</f>
        <v>0</v>
      </c>
      <c r="J6" s="188"/>
    </row>
    <row r="7" spans="1:10" ht="12.75">
      <c r="A7" s="112" t="s">
        <v>875</v>
      </c>
      <c r="B7" s="160">
        <f>IF(admin="sf161",VLOOKUP(B6,whatif,2,FALSE),ENROLLMENT!R9*ENROLLMENT!R10)</f>
        <v>0</v>
      </c>
      <c r="C7" s="160">
        <f>IF(admin="sf161",VLOOKUP(C6,whatif,2,FALSE),ENROLLMENT!S9*ENROLLMENT!S10)</f>
        <v>0</v>
      </c>
      <c r="D7" s="160">
        <f>IF(admin="sf161",VLOOKUP(D6,whatif,2,FALSE),ENROLLMENT!T9*ENROLLMENT!T10)</f>
        <v>0</v>
      </c>
      <c r="E7" s="160">
        <f>IF(admin="sf161",VLOOKUP(E6,whatif,2,FALSE),ENROLLMENT!U9*ENROLLMENT!U10)</f>
        <v>0</v>
      </c>
      <c r="F7" s="160">
        <f>IF(admin="sf161",VLOOKUP(F6,whatif,2,FALSE),ENROLLMENT!V9*ENROLLMENT!V10)</f>
        <v>0</v>
      </c>
      <c r="G7" s="160">
        <f>IF(admin="sf161",VLOOKUP(G6,whatif,2,FALSE),ENROLLMENT!W9*ENROLLMENT!W10)</f>
        <v>0</v>
      </c>
      <c r="H7" s="160">
        <f>IF(admin="sf161",VLOOKUP(H6,whatif,2,FALSE),ENROLLMENT!X9*ENROLLMENT!X10)</f>
        <v>0</v>
      </c>
      <c r="I7" s="160">
        <f>IF(admin="sf161",VLOOKUP(I6,whatif,2,FALSE),ENROLLMENT!Y9*ENROLLMENT!Y10)</f>
        <v>0</v>
      </c>
      <c r="J7" s="113">
        <f>SUM(B7:I7)</f>
        <v>0</v>
      </c>
    </row>
    <row r="8" spans="1:10" ht="12.75">
      <c r="A8" s="112" t="s">
        <v>876</v>
      </c>
      <c r="B8" s="161"/>
      <c r="C8" s="161"/>
      <c r="D8" s="161"/>
      <c r="E8" s="161"/>
      <c r="F8" s="161"/>
      <c r="G8" s="161"/>
      <c r="H8" s="161"/>
      <c r="I8" s="161"/>
      <c r="J8" s="114"/>
    </row>
    <row r="9" spans="1:10" ht="12.75">
      <c r="A9" s="115" t="s">
        <v>1051</v>
      </c>
      <c r="B9" s="278">
        <f>IF(admin="sf161",VLOOKUP(B6,whatif,4,FALSE),ENROLLMENT!R13*ENROLLMENT!R10*1/6)</f>
        <v>0</v>
      </c>
      <c r="C9" s="278">
        <f>IF(admin="sf161",VLOOKUP(C6,whatif,4,FALSE),ENROLLMENT!S13*ENROLLMENT!S10*1/6)</f>
        <v>0</v>
      </c>
      <c r="D9" s="278">
        <f>IF(admin="sf161",VLOOKUP(D6,whatif,4,FALSE),ENROLLMENT!T13*ENROLLMENT!T10*1/6)</f>
        <v>0</v>
      </c>
      <c r="E9" s="278">
        <f>IF(admin="sf161",VLOOKUP(E6,whatif,4,FALSE),ENROLLMENT!U13*ENROLLMENT!U10*1/6)</f>
        <v>0</v>
      </c>
      <c r="F9" s="278">
        <f>IF(admin="sf161",VLOOKUP(F6,whatif,4,FALSE),ENROLLMENT!V13*ENROLLMENT!V10*1/6)</f>
        <v>0</v>
      </c>
      <c r="G9" s="278">
        <f>IF(admin="sf161",VLOOKUP(G6,whatif,4,FALSE),ENROLLMENT!W13*ENROLLMENT!W10*1/6)</f>
        <v>0</v>
      </c>
      <c r="H9" s="278">
        <f>IF(admin="sf161",VLOOKUP(H6,whatif,4,FALSE),ENROLLMENT!X13*ENROLLMENT!X10*1/6)</f>
        <v>0</v>
      </c>
      <c r="I9" s="278">
        <f>IF(admin="sf161",VLOOKUP(I6,whatif,4,FALSE),ENROLLMENT!Y13*ENROLLMENT!Y10*1/6)</f>
        <v>0</v>
      </c>
      <c r="J9" s="93">
        <f aca="true" t="shared" si="0" ref="J9:J40">SUM(B9:I9)</f>
        <v>0</v>
      </c>
    </row>
    <row r="10" spans="1:10" ht="12.75">
      <c r="A10" s="115" t="s">
        <v>1052</v>
      </c>
      <c r="B10" s="278">
        <f>IF(admin="sf161",VLOOKUP(B6,whatif,5,FALSE),ENROLLMENT!R14*ENROLLMENT!R10*4.5/6)</f>
        <v>0</v>
      </c>
      <c r="C10" s="278">
        <f>IF(admin="sf161",VLOOKUP(C6,whatif,5,FALSE),ENROLLMENT!S14*ENROLLMENT!S10*4.5/6)</f>
        <v>0</v>
      </c>
      <c r="D10" s="278">
        <f>IF(admin="sf161",VLOOKUP(D6,whatif,5,FALSE),ENROLLMENT!T14*ENROLLMENT!T10*4.5/6)</f>
        <v>0</v>
      </c>
      <c r="E10" s="278">
        <f>IF(admin="sf161",VLOOKUP(E6,whatif,5,FALSE),ENROLLMENT!U14*ENROLLMENT!U10*4.5/6)</f>
        <v>0</v>
      </c>
      <c r="F10" s="278">
        <f>IF(admin="sf161",VLOOKUP(F6,whatif,5,FALSE),ENROLLMENT!V14*ENROLLMENT!V10*4.5/6)</f>
        <v>0</v>
      </c>
      <c r="G10" s="278">
        <f>IF(admin="sf161",VLOOKUP(G6,whatif,5,FALSE),ENROLLMENT!W14*ENROLLMENT!W10*4.5/6)</f>
        <v>0</v>
      </c>
      <c r="H10" s="278">
        <f>IF(admin="sf161",VLOOKUP(H6,whatif,5,FALSE),ENROLLMENT!X14*ENROLLMENT!X10*4.5/6)</f>
        <v>0</v>
      </c>
      <c r="I10" s="278">
        <f>IF(admin="sf161",VLOOKUP(I6,whatif,5,FALSE),ENROLLMENT!Y14*ENROLLMENT!Y10*4.5/6)</f>
        <v>0</v>
      </c>
      <c r="J10" s="113">
        <f t="shared" si="0"/>
        <v>0</v>
      </c>
    </row>
    <row r="11" spans="1:10" ht="12.75">
      <c r="A11" s="115" t="s">
        <v>1053</v>
      </c>
      <c r="B11" s="278">
        <f>IF(admin="sf161",VLOOKUP(B6,whatif,6,FALSE),ENROLLMENT!R15*ENROLLMENT!R10*0.25/6)</f>
        <v>0</v>
      </c>
      <c r="C11" s="278">
        <f>IF(admin="sf161",VLOOKUP(C6,whatif,6,FALSE),ENROLLMENT!S15*ENROLLMENT!S10*0.25/6)</f>
        <v>0</v>
      </c>
      <c r="D11" s="278">
        <f>IF(admin="sf161",VLOOKUP(D6,whatif,6,FALSE),ENROLLMENT!T15*ENROLLMENT!T10*0.25/6)</f>
        <v>0</v>
      </c>
      <c r="E11" s="278">
        <f>IF(admin="sf161",VLOOKUP(E6,whatif,6,FALSE),ENROLLMENT!U15*ENROLLMENT!U10*0.25/6)</f>
        <v>0</v>
      </c>
      <c r="F11" s="278">
        <f>IF(admin="sf161",VLOOKUP(F6,whatif,6,FALSE),ENROLLMENT!V15*ENROLLMENT!V10*0.25/6)</f>
        <v>0</v>
      </c>
      <c r="G11" s="278">
        <f>IF(admin="sf161",VLOOKUP(G6,whatif,6,FALSE),ENROLLMENT!W15*ENROLLMENT!W10*0.25/6)</f>
        <v>0</v>
      </c>
      <c r="H11" s="278">
        <f>IF(admin="sf161",VLOOKUP(H6,whatif,6,FALSE),ENROLLMENT!X15*ENROLLMENT!X10*0.25/6)</f>
        <v>0</v>
      </c>
      <c r="I11" s="278">
        <f>IF(admin="sf161",VLOOKUP(I6,whatif,6,FALSE),ENROLLMENT!Y15*ENROLLMENT!Y10*0.25/6)</f>
        <v>0</v>
      </c>
      <c r="J11" s="113">
        <f t="shared" si="0"/>
        <v>0</v>
      </c>
    </row>
    <row r="12" spans="1:10" ht="12.75">
      <c r="A12" s="115" t="s">
        <v>1054</v>
      </c>
      <c r="B12" s="278">
        <f>IF(admin="sf161",VLOOKUP(B6,whatif,7,FALSE),ENROLLMENT!R16*ENROLLMENT!R10*2.859/6)</f>
        <v>0</v>
      </c>
      <c r="C12" s="278">
        <f>IF(admin="sf161",VLOOKUP(C6,whatif,7,FALSE),ENROLLMENT!S16*ENROLLMENT!S10*2.859/6)</f>
        <v>0</v>
      </c>
      <c r="D12" s="278">
        <f>IF(admin="sf161",VLOOKUP(D6,whatif,7,FALSE),ENROLLMENT!T16*ENROLLMENT!T10*2.859/6)</f>
        <v>0</v>
      </c>
      <c r="E12" s="278">
        <f>IF(admin="sf161",VLOOKUP(E6,whatif,7,FALSE),ENROLLMENT!U16*ENROLLMENT!U10*2.859/6)</f>
        <v>0</v>
      </c>
      <c r="F12" s="278">
        <f>IF(admin="sf161",VLOOKUP(F6,whatif,7,FALSE),ENROLLMENT!V16*ENROLLMENT!V10*2.859/6)</f>
        <v>0</v>
      </c>
      <c r="G12" s="278">
        <f>IF(admin="sf161",VLOOKUP(G6,whatif,7,FALSE),ENROLLMENT!W16*ENROLLMENT!W10*2.859/6)</f>
        <v>0</v>
      </c>
      <c r="H12" s="278">
        <f>IF(admin="sf161",VLOOKUP(H6,whatif,7,FALSE),ENROLLMENT!X16*ENROLLMENT!X10*2.859/6)</f>
        <v>0</v>
      </c>
      <c r="I12" s="278">
        <f>IF(admin="sf161",VLOOKUP(I6,whatif,7,FALSE),ENROLLMENT!Y16*ENROLLMENT!Y10*2.859/6)</f>
        <v>0</v>
      </c>
      <c r="J12" s="113">
        <f t="shared" si="0"/>
        <v>0</v>
      </c>
    </row>
    <row r="13" spans="1:10" ht="12.75">
      <c r="A13" s="115" t="s">
        <v>1073</v>
      </c>
      <c r="B13" s="278">
        <f>IF(admin="sf161",VLOOKUP(B6,whatif,8,FALSE),ENROLLMENT!R17*ENROLLMENT!R10*2.859/6)</f>
        <v>0</v>
      </c>
      <c r="C13" s="278">
        <f>IF(admin="sf161",VLOOKUP(C6,whatif,8,FALSE),ENROLLMENT!S17*ENROLLMENT!S10*2.859/6)</f>
        <v>0</v>
      </c>
      <c r="D13" s="278">
        <f>IF(admin="sf161",VLOOKUP(D6,whatif,8,FALSE),ENROLLMENT!T17*ENROLLMENT!T10*2.859/6)</f>
        <v>0</v>
      </c>
      <c r="E13" s="278">
        <f>IF(admin="sf161",VLOOKUP(E6,whatif,8,FALSE),ENROLLMENT!U17*ENROLLMENT!U10*2.859/6)</f>
        <v>0</v>
      </c>
      <c r="F13" s="278">
        <f>IF(admin="sf161",VLOOKUP(F6,whatif,8,FALSE),ENROLLMENT!V17*ENROLLMENT!V10*2.859/6)</f>
        <v>0</v>
      </c>
      <c r="G13" s="278">
        <f>IF(admin="sf161",VLOOKUP(G6,whatif,8,FALSE),ENROLLMENT!W17*ENROLLMENT!W10*2.859/6)</f>
        <v>0</v>
      </c>
      <c r="H13" s="278">
        <f>IF(admin="sf161",VLOOKUP(H6,whatif,8,FALSE),ENROLLMENT!X17*ENROLLMENT!X10*2.859/6)</f>
        <v>0</v>
      </c>
      <c r="I13" s="278">
        <f>IF(admin="sf161",VLOOKUP(I6,whatif,8,FALSE),ENROLLMENT!Y17*ENROLLMENT!Y10*2.859/6)</f>
        <v>0</v>
      </c>
      <c r="J13" s="113">
        <f t="shared" si="0"/>
        <v>0</v>
      </c>
    </row>
    <row r="14" spans="1:10" ht="12.75">
      <c r="A14" s="115" t="s">
        <v>897</v>
      </c>
      <c r="B14" s="278">
        <f>IF(admin="sf161",VLOOKUP(B6,whatif,9,FALSE),ENROLLMENT!R18*ENROLLMENT!R$10*2.859/6)</f>
        <v>0</v>
      </c>
      <c r="C14" s="278">
        <f>IF(admin="sf161",VLOOKUP(C6,whatif,9,FALSE),ENROLLMENT!S18*ENROLLMENT!S$10*2.859/6)</f>
        <v>0</v>
      </c>
      <c r="D14" s="278">
        <f>IF(admin="sf161",VLOOKUP(D6,whatif,9,FALSE),ENROLLMENT!T18*ENROLLMENT!T$10*2.859/6)</f>
        <v>0</v>
      </c>
      <c r="E14" s="278">
        <f>IF(admin="sf161",VLOOKUP(E6,whatif,9,FALSE),ENROLLMENT!U18*ENROLLMENT!U$10*2.859/6)</f>
        <v>0</v>
      </c>
      <c r="F14" s="278">
        <f>IF(admin="sf161",VLOOKUP(F6,whatif,9,FALSE),ENROLLMENT!V18*ENROLLMENT!V$10*2.859/6)</f>
        <v>0</v>
      </c>
      <c r="G14" s="278">
        <f>IF(admin="sf161",VLOOKUP(G6,whatif,9,FALSE),ENROLLMENT!W18*ENROLLMENT!W$10*2.859/6)</f>
        <v>0</v>
      </c>
      <c r="H14" s="278">
        <f>IF(admin="sf161",VLOOKUP(H6,whatif,9,FALSE),ENROLLMENT!X18*ENROLLMENT!X$10*2.859/6)</f>
        <v>0</v>
      </c>
      <c r="I14" s="278">
        <f>IF(admin="sf161",VLOOKUP(I6,whatif,9,FALSE),ENROLLMENT!Y18*ENROLLMENT!Y$10*2.859/6)</f>
        <v>0</v>
      </c>
      <c r="J14" s="113">
        <f t="shared" si="0"/>
        <v>0</v>
      </c>
    </row>
    <row r="15" spans="1:10" ht="12.75">
      <c r="A15" s="115" t="s">
        <v>1074</v>
      </c>
      <c r="B15" s="278">
        <f>IF(admin="sf161",VLOOKUP(B6,whatif,10,FALSE),ENROLLMENT!R19*ENROLLMENT!R10*4.25/6)</f>
        <v>0</v>
      </c>
      <c r="C15" s="278">
        <f>IF(admin="sf161",VLOOKUP(C6,whatif,10,FALSE),ENROLLMENT!S19*ENROLLMENT!S10*4.25/6)</f>
        <v>0</v>
      </c>
      <c r="D15" s="278">
        <f>IF(admin="sf161",VLOOKUP(D6,whatif,10,FALSE),ENROLLMENT!T19*ENROLLMENT!T10*4.25/6)</f>
        <v>0</v>
      </c>
      <c r="E15" s="278">
        <f>IF(admin="sf161",VLOOKUP(E6,whatif,10,FALSE),ENROLLMENT!U19*ENROLLMENT!U10*4.25/6)</f>
        <v>0</v>
      </c>
      <c r="F15" s="278">
        <f>IF(admin="sf161",VLOOKUP(F6,whatif,10,FALSE),ENROLLMENT!V19*ENROLLMENT!V10*4.25/6)</f>
        <v>0</v>
      </c>
      <c r="G15" s="278">
        <f>IF(admin="sf161",VLOOKUP(G6,whatif,10,FALSE),ENROLLMENT!W19*ENROLLMENT!W10*4.25/6)</f>
        <v>0</v>
      </c>
      <c r="H15" s="278">
        <f>IF(admin="sf161",VLOOKUP(H6,whatif,10,FALSE),ENROLLMENT!X19*ENROLLMENT!X10*4.25/6)</f>
        <v>0</v>
      </c>
      <c r="I15" s="278">
        <f>IF(admin="sf161",VLOOKUP(I6,whatif,10,FALSE),ENROLLMENT!Y19*ENROLLMENT!Y10*4.25/6)</f>
        <v>0</v>
      </c>
      <c r="J15" s="113">
        <f t="shared" si="0"/>
        <v>0</v>
      </c>
    </row>
    <row r="16" spans="1:10" ht="12.75">
      <c r="A16" s="115" t="s">
        <v>1057</v>
      </c>
      <c r="B16" s="278">
        <f>IF(admin="sf161",VLOOKUP(B6,whatif,11,FALSE),ENROLLMENT!R20*ENROLLMENT!R10*5.5/6)</f>
        <v>0</v>
      </c>
      <c r="C16" s="278">
        <f>IF(admin="sf161",VLOOKUP(C6,whatif,11,FALSE),ENROLLMENT!S20*ENROLLMENT!S10*5.5/6)</f>
        <v>0</v>
      </c>
      <c r="D16" s="278">
        <f>IF(admin="sf161",VLOOKUP(D6,whatif,11,FALSE),ENROLLMENT!T20*ENROLLMENT!T10*5.5/6)</f>
        <v>0</v>
      </c>
      <c r="E16" s="278">
        <f>IF(admin="sf161",VLOOKUP(E6,whatif,11,FALSE),ENROLLMENT!U20*ENROLLMENT!U10*5.5/6)</f>
        <v>0</v>
      </c>
      <c r="F16" s="278">
        <f>IF(admin="sf161",VLOOKUP(F6,whatif,11,FALSE),ENROLLMENT!V20*ENROLLMENT!V10*5.5/6)</f>
        <v>0</v>
      </c>
      <c r="G16" s="278">
        <f>IF(admin="sf161",VLOOKUP(G6,whatif,11,FALSE),ENROLLMENT!W20*ENROLLMENT!W10*5.5/6)</f>
        <v>0</v>
      </c>
      <c r="H16" s="278">
        <f>IF(admin="sf161",VLOOKUP(H6,whatif,11,FALSE),ENROLLMENT!X20*ENROLLMENT!X10*5.5/6)</f>
        <v>0</v>
      </c>
      <c r="I16" s="278">
        <f>IF(admin="sf161",VLOOKUP(I6,whatif,11,FALSE),ENROLLMENT!Y20*ENROLLMENT!Y10*5.5/6)</f>
        <v>0</v>
      </c>
      <c r="J16" s="113">
        <f t="shared" si="0"/>
        <v>0</v>
      </c>
    </row>
    <row r="17" spans="1:10" ht="12.75">
      <c r="A17" s="115" t="s">
        <v>1058</v>
      </c>
      <c r="B17" s="278">
        <f>IF(admin="sf161",VLOOKUP(B6,whatif,12,FALSE),ENROLLMENT!R21*ENROLLMENT!R10*5.5/6)</f>
        <v>0</v>
      </c>
      <c r="C17" s="278">
        <f>IF(admin="sf161",VLOOKUP(C6,whatif,12,FALSE),ENROLLMENT!S21*ENROLLMENT!S10*5.5/6)</f>
        <v>0</v>
      </c>
      <c r="D17" s="278">
        <f>IF(admin="sf161",VLOOKUP(D6,whatif,12,FALSE),ENROLLMENT!T21*ENROLLMENT!T10*5.5/6)</f>
        <v>0</v>
      </c>
      <c r="E17" s="278">
        <f>IF(admin="sf161",VLOOKUP(E6,whatif,12,FALSE),ENROLLMENT!U21*ENROLLMENT!U10*5.5/6)</f>
        <v>0</v>
      </c>
      <c r="F17" s="278">
        <f>IF(admin="sf161",VLOOKUP(F6,whatif,12,FALSE),ENROLLMENT!V21*ENROLLMENT!V10*5.5/6)</f>
        <v>0</v>
      </c>
      <c r="G17" s="278">
        <f>IF(admin="sf161",VLOOKUP(G6,whatif,12,FALSE),ENROLLMENT!W21*ENROLLMENT!W10*5.5/6)</f>
        <v>0</v>
      </c>
      <c r="H17" s="278">
        <f>IF(admin="sf161",VLOOKUP(H6,whatif,12,FALSE),ENROLLMENT!X21*ENROLLMENT!X10*5.5/6)</f>
        <v>0</v>
      </c>
      <c r="I17" s="278">
        <f>IF(admin="sf161",VLOOKUP(I6,whatif,12,FALSE),ENROLLMENT!Y21*ENROLLMENT!Y10*5.5/6)</f>
        <v>0</v>
      </c>
      <c r="J17" s="113">
        <f t="shared" si="0"/>
        <v>0</v>
      </c>
    </row>
    <row r="18" spans="1:10" ht="12.75">
      <c r="A18" s="115" t="s">
        <v>1059</v>
      </c>
      <c r="B18" s="278">
        <f>IF(admin="sf161",VLOOKUP(B6,whatif,13,FALSE),ENROLLMENT!R22*ENROLLMENT!R10*5.5/6)</f>
        <v>0</v>
      </c>
      <c r="C18" s="278">
        <f>IF(admin="sf161",VLOOKUP(C6,whatif,13,FALSE),ENROLLMENT!S22*ENROLLMENT!S10*5.5/6)</f>
        <v>0</v>
      </c>
      <c r="D18" s="278">
        <f>IF(admin="sf161",VLOOKUP(D6,whatif,13,FALSE),ENROLLMENT!T22*ENROLLMENT!T10*5.5/6)</f>
        <v>0</v>
      </c>
      <c r="E18" s="278">
        <f>IF(admin="sf161",VLOOKUP(E6,whatif,13,FALSE),ENROLLMENT!U22*ENROLLMENT!U10*5.5/6)</f>
        <v>0</v>
      </c>
      <c r="F18" s="278">
        <f>IF(admin="sf161",VLOOKUP(F6,whatif,13,FALSE),ENROLLMENT!V22*ENROLLMENT!V10*5.5/6)</f>
        <v>0</v>
      </c>
      <c r="G18" s="278">
        <f>IF(admin="sf161",VLOOKUP(G6,whatif,13,FALSE),ENROLLMENT!W22*ENROLLMENT!W10*5.5/6)</f>
        <v>0</v>
      </c>
      <c r="H18" s="278">
        <f>IF(admin="sf161",VLOOKUP(H6,whatif,13,FALSE),ENROLLMENT!X22*ENROLLMENT!X10*5.5/6)</f>
        <v>0</v>
      </c>
      <c r="I18" s="278">
        <f>IF(admin="sf161",VLOOKUP(I6,whatif,13,FALSE),ENROLLMENT!Y22*ENROLLMENT!Y10*5.5/6)</f>
        <v>0</v>
      </c>
      <c r="J18" s="113">
        <f t="shared" si="0"/>
        <v>0</v>
      </c>
    </row>
    <row r="19" spans="1:10" ht="12.75">
      <c r="A19" s="116" t="s">
        <v>1060</v>
      </c>
      <c r="B19" s="278">
        <f aca="true" t="shared" si="1" ref="B19:I19">SUM(B9:B18)</f>
        <v>0</v>
      </c>
      <c r="C19" s="278">
        <f t="shared" si="1"/>
        <v>0</v>
      </c>
      <c r="D19" s="278">
        <f t="shared" si="1"/>
        <v>0</v>
      </c>
      <c r="E19" s="278">
        <f t="shared" si="1"/>
        <v>0</v>
      </c>
      <c r="F19" s="278">
        <f t="shared" si="1"/>
        <v>0</v>
      </c>
      <c r="G19" s="278">
        <f t="shared" si="1"/>
        <v>0</v>
      </c>
      <c r="H19" s="278">
        <f t="shared" si="1"/>
        <v>0</v>
      </c>
      <c r="I19" s="278">
        <f t="shared" si="1"/>
        <v>0</v>
      </c>
      <c r="J19" s="113">
        <f t="shared" si="0"/>
        <v>0</v>
      </c>
    </row>
    <row r="20" spans="1:10" ht="12.75">
      <c r="A20" s="116" t="s">
        <v>1061</v>
      </c>
      <c r="B20" s="278">
        <f aca="true" t="shared" si="2" ref="B20:I20">(B9*5)+(B10*3)+(B11*5)+(B12*3)+(B13*3)+(B14*3)+(B15*2.7)+(B16*2.3)+(B17*2.8)+(B18*4)</f>
        <v>0</v>
      </c>
      <c r="C20" s="278">
        <f t="shared" si="2"/>
        <v>0</v>
      </c>
      <c r="D20" s="278">
        <f t="shared" si="2"/>
        <v>0</v>
      </c>
      <c r="E20" s="278">
        <f t="shared" si="2"/>
        <v>0</v>
      </c>
      <c r="F20" s="278">
        <f t="shared" si="2"/>
        <v>0</v>
      </c>
      <c r="G20" s="278">
        <f t="shared" si="2"/>
        <v>0</v>
      </c>
      <c r="H20" s="278">
        <f t="shared" si="2"/>
        <v>0</v>
      </c>
      <c r="I20" s="278">
        <f t="shared" si="2"/>
        <v>0</v>
      </c>
      <c r="J20" s="113">
        <f t="shared" si="0"/>
        <v>0</v>
      </c>
    </row>
    <row r="21" spans="1:10" ht="12.75">
      <c r="A21" s="116" t="s">
        <v>1175</v>
      </c>
      <c r="B21" s="278">
        <f>VLOOKUP(B6,'MAINFRAME WHATIF'!$C$3:$AH$43,32,FALSE)</f>
        <v>0</v>
      </c>
      <c r="C21" s="278">
        <f>VLOOKUP(C6,'MAINFRAME WHATIF'!$C$3:$AH$43,32,FALSE)</f>
        <v>0</v>
      </c>
      <c r="D21" s="278">
        <f>VLOOKUP(D6,'MAINFRAME WHATIF'!$C$3:$AH$43,32,FALSE)</f>
        <v>0</v>
      </c>
      <c r="E21" s="278">
        <f>VLOOKUP(E6,'MAINFRAME WHATIF'!$C$3:$AH$43,32,FALSE)</f>
        <v>0</v>
      </c>
      <c r="F21" s="278">
        <f>VLOOKUP(F6,'MAINFRAME WHATIF'!$C$3:$AH$43,32,FALSE)</f>
        <v>0</v>
      </c>
      <c r="G21" s="278">
        <f>VLOOKUP(G6,'MAINFRAME WHATIF'!$C$3:$AH$43,32,FALSE)</f>
        <v>0</v>
      </c>
      <c r="H21" s="278">
        <f>VLOOKUP(H6,'MAINFRAME WHATIF'!$C$3:$AH$43,32,FALSE)</f>
        <v>0</v>
      </c>
      <c r="I21" s="278">
        <f>VLOOKUP(I6,'MAINFRAME WHATIF'!$C$3:$AH$43,32,FALSE)</f>
        <v>0</v>
      </c>
      <c r="J21" s="113">
        <f t="shared" si="0"/>
        <v>0</v>
      </c>
    </row>
    <row r="22" spans="1:10" ht="12.75">
      <c r="A22" s="112" t="s">
        <v>877</v>
      </c>
      <c r="B22" s="278">
        <f>IF(admin="sf161",VLOOKUP(B6,whatif,15,FALSE),(ENROLLMENT!R25*ENROLLMENT!R10*0.17)+(ENROLLMENT!R26*ENROLLMENT!R10*0.33)+(ENROLLMENT!R27*ENROLLMENT!R10*0.5)+(ENROLLMENT!R28*ENROLLMENT!R10*0.67)+(ENROLLMENT!R29*ENROLLMENT!R10*0.83)+(ENROLLMENT!R30*ENROLLMENT!R10*1))</f>
        <v>0</v>
      </c>
      <c r="C22" s="278">
        <f>IF(admin="sf161",VLOOKUP(C6,whatif,15,FALSE),(ENROLLMENT!S25*ENROLLMENT!S10*0.17)+(ENROLLMENT!S26*ENROLLMENT!S10*0.33)+(ENROLLMENT!S27*ENROLLMENT!S10*0.5)+(ENROLLMENT!S28*ENROLLMENT!S10*0.67)+(ENROLLMENT!S29*ENROLLMENT!S10*0.83)+(ENROLLMENT!S30*ENROLLMENT!S10*1))</f>
        <v>0</v>
      </c>
      <c r="D22" s="278">
        <f>IF(admin="sf161",VLOOKUP(D6,whatif,15,FALSE),(ENROLLMENT!T25*ENROLLMENT!T10*0.17)+(ENROLLMENT!T26*ENROLLMENT!T10*0.33)+(ENROLLMENT!T27*ENROLLMENT!T10*0.5)+(ENROLLMENT!T28*ENROLLMENT!T10*0.67)+(ENROLLMENT!T29*ENROLLMENT!T10*0.83)+(ENROLLMENT!T30*ENROLLMENT!T10*1))</f>
        <v>0</v>
      </c>
      <c r="E22" s="278">
        <f>IF(admin="sf161",VLOOKUP(E6,whatif,15,FALSE),(ENROLLMENT!U25*ENROLLMENT!U10*0.17)+(ENROLLMENT!U26*ENROLLMENT!U10*0.33)+(ENROLLMENT!U27*ENROLLMENT!U10*0.5)+(ENROLLMENT!U28*ENROLLMENT!U10*0.67)+(ENROLLMENT!U29*ENROLLMENT!U10*0.83)+(ENROLLMENT!U30*ENROLLMENT!U10*1))</f>
        <v>0</v>
      </c>
      <c r="F22" s="278">
        <f>IF(admin="sf161",VLOOKUP(F6,whatif,15,FALSE),(ENROLLMENT!V25*ENROLLMENT!V10*0.17)+(ENROLLMENT!V26*ENROLLMENT!V10*0.33)+(ENROLLMENT!V27*ENROLLMENT!V10*0.5)+(ENROLLMENT!V28*ENROLLMENT!V10*0.67)+(ENROLLMENT!V29*ENROLLMENT!V10*0.83)+(ENROLLMENT!V30*ENROLLMENT!V10*1))</f>
        <v>0</v>
      </c>
      <c r="G22" s="278">
        <f>IF(admin="sf161",VLOOKUP(G6,whatif,15,FALSE),(ENROLLMENT!W25*ENROLLMENT!W10*0.17)+(ENROLLMENT!W26*ENROLLMENT!W10*0.33)+(ENROLLMENT!W27*ENROLLMENT!W10*0.5)+(ENROLLMENT!W28*ENROLLMENT!W10*0.67)+(ENROLLMENT!W29*ENROLLMENT!W10*0.83)+(ENROLLMENT!W30*ENROLLMENT!W10*1))</f>
        <v>0</v>
      </c>
      <c r="H22" s="278">
        <f>IF(admin="sf161",VLOOKUP(H6,whatif,15,FALSE),(ENROLLMENT!X25*ENROLLMENT!X10*0.17)+(ENROLLMENT!X26*ENROLLMENT!X10*0.33)+(ENROLLMENT!X27*ENROLLMENT!X10*0.5)+(ENROLLMENT!X28*ENROLLMENT!X10*0.67)+(ENROLLMENT!X29*ENROLLMENT!X10*0.83)+(ENROLLMENT!X30*ENROLLMENT!X10*1))</f>
        <v>0</v>
      </c>
      <c r="I22" s="278">
        <f>IF(admin="sf161",VLOOKUP(I6,whatif,15,FALSE),(ENROLLMENT!Y25*ENROLLMENT!Y10*0.17)+(ENROLLMENT!Y26*ENROLLMENT!Y10*0.33)+(ENROLLMENT!Y27*ENROLLMENT!Y10*0.5)+(ENROLLMENT!Y28*ENROLLMENT!Y10*0.67)+(ENROLLMENT!Y29*ENROLLMENT!Y10*0.83)+(ENROLLMENT!Y30*ENROLLMENT!Y10*1))</f>
        <v>0</v>
      </c>
      <c r="J22" s="113">
        <f t="shared" si="0"/>
        <v>0</v>
      </c>
    </row>
    <row r="23" spans="1:10" ht="12.75">
      <c r="A23" s="112" t="s">
        <v>878</v>
      </c>
      <c r="B23" s="278">
        <f aca="true" t="shared" si="3" ref="B23:I23">B7-B19-B22</f>
        <v>0</v>
      </c>
      <c r="C23" s="278">
        <f t="shared" si="3"/>
        <v>0</v>
      </c>
      <c r="D23" s="278">
        <f t="shared" si="3"/>
        <v>0</v>
      </c>
      <c r="E23" s="278">
        <f t="shared" si="3"/>
        <v>0</v>
      </c>
      <c r="F23" s="278">
        <f t="shared" si="3"/>
        <v>0</v>
      </c>
      <c r="G23" s="278">
        <f t="shared" si="3"/>
        <v>0</v>
      </c>
      <c r="H23" s="278">
        <f t="shared" si="3"/>
        <v>0</v>
      </c>
      <c r="I23" s="278">
        <f t="shared" si="3"/>
        <v>0</v>
      </c>
      <c r="J23" s="113">
        <f t="shared" si="0"/>
        <v>0</v>
      </c>
    </row>
    <row r="24" spans="1:10" ht="12.75">
      <c r="A24" s="112" t="s">
        <v>879</v>
      </c>
      <c r="B24" s="278">
        <f>IF(admin="sf161",VLOOKUP(B6,whatif,16,FALSE),ENROLLMENT!R23*ENROLLMENT!R10)</f>
        <v>0</v>
      </c>
      <c r="C24" s="278">
        <f>IF(admin="sf161",VLOOKUP(C6,whatif,16,FALSE),ENROLLMENT!S23*ENROLLMENT!S10)</f>
        <v>0</v>
      </c>
      <c r="D24" s="278">
        <f>IF(admin="sf161",VLOOKUP(D6,whatif,16,FALSE),ENROLLMENT!T23*ENROLLMENT!T10)</f>
        <v>0</v>
      </c>
      <c r="E24" s="278">
        <f>IF(admin="sf161",VLOOKUP(E6,whatif,16,FALSE),ENROLLMENT!U23*ENROLLMENT!U10)</f>
        <v>0</v>
      </c>
      <c r="F24" s="278">
        <f>IF(admin="sf161",VLOOKUP(F6,whatif,16,FALSE),ENROLLMENT!V23*ENROLLMENT!V10)</f>
        <v>0</v>
      </c>
      <c r="G24" s="278">
        <f>IF(admin="sf161",VLOOKUP(G6,whatif,16,FALSE),ENROLLMENT!W23*ENROLLMENT!W10)</f>
        <v>0</v>
      </c>
      <c r="H24" s="278">
        <f>IF(admin="sf161",VLOOKUP(H6,whatif,16,FALSE),ENROLLMENT!X23*ENROLLMENT!X10)</f>
        <v>0</v>
      </c>
      <c r="I24" s="278">
        <f>IF(admin="sf161",VLOOKUP(I6,whatif,16,FALSE),ENROLLMENT!Y23*ENROLLMENT!Y10)</f>
        <v>0</v>
      </c>
      <c r="J24" s="113">
        <f t="shared" si="0"/>
        <v>0</v>
      </c>
    </row>
    <row r="25" spans="1:10" ht="12.75">
      <c r="A25" s="112" t="s">
        <v>874</v>
      </c>
      <c r="B25" s="278">
        <f>IF(admin="sf161",VLOOKUP(B6,whatif,17,FALSE),IF(ENROLLMENT!R31&lt;B7*0.05,ENROLLMENT!R31,B7*0.05))</f>
        <v>0</v>
      </c>
      <c r="C25" s="278">
        <f>IF(admin="sf161",VLOOKUP(C6,whatif,17,FALSE),IF(ENROLLMENT!S31&lt;C7*0.05,ENROLLMENT!S31,C7*0.05))</f>
        <v>0</v>
      </c>
      <c r="D25" s="278">
        <f>IF(admin="sf161",VLOOKUP(D6,whatif,17,FALSE),IF(ENROLLMENT!T31&lt;D7*0.05,ENROLLMENT!T31,D7*0.05))</f>
        <v>0</v>
      </c>
      <c r="E25" s="278">
        <f>IF(admin="sf161",VLOOKUP(E6,whatif,17,FALSE),IF(ENROLLMENT!U31&lt;E7*0.05,ENROLLMENT!U31,E7*0.05))</f>
        <v>0</v>
      </c>
      <c r="F25" s="278">
        <f>IF(admin="sf161",VLOOKUP(F6,whatif,17,FALSE),IF(ENROLLMENT!V31&lt;F7*0.05,ENROLLMENT!V31,F7*0.05))</f>
        <v>0</v>
      </c>
      <c r="G25" s="278">
        <f>IF(admin="sf161",VLOOKUP(G6,whatif,17,FALSE),IF(ENROLLMENT!W31&lt;G7*0.05,ENROLLMENT!W31,G7*0.05))</f>
        <v>0</v>
      </c>
      <c r="H25" s="278">
        <f>IF(admin="sf161",VLOOKUP(H6,whatif,17,FALSE),IF(ENROLLMENT!X31&lt;H7*0.05,ENROLLMENT!X31,H7*0.05))</f>
        <v>0</v>
      </c>
      <c r="I25" s="278">
        <f>IF(admin="sf161",VLOOKUP(I6,whatif,17,FALSE),IF(ENROLLMENT!Y31&lt;I7*0.05,ENROLLMENT!Y31,I7*0.05))</f>
        <v>0</v>
      </c>
      <c r="J25" s="113">
        <f t="shared" si="0"/>
        <v>0</v>
      </c>
    </row>
    <row r="26" spans="1:10" ht="12.75">
      <c r="A26" s="112" t="s">
        <v>1163</v>
      </c>
      <c r="B26" s="278">
        <f>IF(B25&lt;B7*0.05,B25,B7*0.05)</f>
        <v>0</v>
      </c>
      <c r="C26" s="278">
        <f aca="true" t="shared" si="4" ref="C26:I26">IF(C25&lt;C7*0.05,C25,C7*0.05)</f>
        <v>0</v>
      </c>
      <c r="D26" s="278">
        <f t="shared" si="4"/>
        <v>0</v>
      </c>
      <c r="E26" s="278">
        <f t="shared" si="4"/>
        <v>0</v>
      </c>
      <c r="F26" s="278">
        <f t="shared" si="4"/>
        <v>0</v>
      </c>
      <c r="G26" s="278">
        <f t="shared" si="4"/>
        <v>0</v>
      </c>
      <c r="H26" s="278">
        <f t="shared" si="4"/>
        <v>0</v>
      </c>
      <c r="I26" s="278">
        <f t="shared" si="4"/>
        <v>0</v>
      </c>
      <c r="J26" s="113">
        <f t="shared" si="0"/>
        <v>0</v>
      </c>
    </row>
    <row r="27" spans="1:10" ht="12.75">
      <c r="A27" s="112" t="s">
        <v>880</v>
      </c>
      <c r="B27" s="278">
        <f>IF(admin="sf161",VLOOKUP(B6,whatif,18,FALSE),ENROLLMENT!R32)</f>
        <v>0</v>
      </c>
      <c r="C27" s="278">
        <f>IF(admin="sf161",VLOOKUP(C6,whatif,18,FALSE),ENROLLMENT!S32)</f>
        <v>0</v>
      </c>
      <c r="D27" s="278">
        <f>IF(admin="sf161",VLOOKUP(D6,whatif,18,FALSE),ENROLLMENT!T32)</f>
        <v>0</v>
      </c>
      <c r="E27" s="278">
        <f>IF(admin="sf161",VLOOKUP(E6,whatif,18,FALSE),ENROLLMENT!U32)</f>
        <v>0</v>
      </c>
      <c r="F27" s="278">
        <f>IF(admin="sf161",VLOOKUP(F6,whatif,18,FALSE),ENROLLMENT!V32)</f>
        <v>0</v>
      </c>
      <c r="G27" s="278">
        <f>IF(admin="sf161",VLOOKUP(G6,whatif,18,FALSE),ENROLLMENT!W32)</f>
        <v>0</v>
      </c>
      <c r="H27" s="278">
        <f>IF(admin="sf161",VLOOKUP(H6,whatif,18,FALSE),ENROLLMENT!X32)</f>
        <v>0</v>
      </c>
      <c r="I27" s="278">
        <f>IF(admin="sf161",VLOOKUP(I6,whatif,18,FALSE),ENROLLMENT!Y32)</f>
        <v>0</v>
      </c>
      <c r="J27" s="113">
        <f t="shared" si="0"/>
        <v>0</v>
      </c>
    </row>
    <row r="28" spans="1:10" ht="12.75">
      <c r="A28" s="112" t="s">
        <v>1076</v>
      </c>
      <c r="B28" s="278">
        <f>IF(admin="sf161",VLOOKUP(B6,whatif,19,FALSE),ENROLLMENT!R33*ENROLLMENT!R10*0.2936)</f>
        <v>0</v>
      </c>
      <c r="C28" s="278">
        <f>IF(admin="sf161",VLOOKUP(C6,whatif,19,FALSE),ENROLLMENT!S33*ENROLLMENT!S10*0.2936)</f>
        <v>0</v>
      </c>
      <c r="D28" s="278">
        <f>IF(admin="sf161",VLOOKUP(D6,whatif,19,FALSE),ENROLLMENT!T33*ENROLLMENT!T10*0.2936)</f>
        <v>0</v>
      </c>
      <c r="E28" s="278">
        <f>IF(admin="sf161",VLOOKUP(E6,whatif,19,FALSE),ENROLLMENT!U33*ENROLLMENT!U10*0.2936)</f>
        <v>0</v>
      </c>
      <c r="F28" s="278">
        <f>IF(admin="sf161",VLOOKUP(F6,whatif,19,FALSE),ENROLLMENT!V33*ENROLLMENT!V10*0.2936)</f>
        <v>0</v>
      </c>
      <c r="G28" s="278">
        <f>IF(admin="sf161",VLOOKUP(G6,whatif,19,FALSE),ENROLLMENT!W33*ENROLLMENT!W10*0.2936)</f>
        <v>0</v>
      </c>
      <c r="H28" s="278">
        <f>IF(admin="sf161",VLOOKUP(H6,whatif,19,FALSE),ENROLLMENT!X33*ENROLLMENT!X10*0.2936)</f>
        <v>0</v>
      </c>
      <c r="I28" s="278">
        <f>IF(admin="sf161",VLOOKUP(I6,whatif,19,FALSE),ENROLLMENT!Y33*ENROLLMENT!Y10*0.2936)</f>
        <v>0</v>
      </c>
      <c r="J28" s="113">
        <f t="shared" si="0"/>
        <v>0</v>
      </c>
    </row>
    <row r="29" spans="1:10" ht="12.75">
      <c r="A29" s="112" t="s">
        <v>882</v>
      </c>
      <c r="B29" s="278">
        <f>IF(admin="sf161",VLOOKUP(B6,whatif,20,FALSE),ENROLLMENT!R34*ENROLLMENT!R10)</f>
        <v>0</v>
      </c>
      <c r="C29" s="278">
        <f>IF(admin="sf161",VLOOKUP(C6,whatif,20,FALSE),ENROLLMENT!S34*ENROLLMENT!S10)</f>
        <v>0</v>
      </c>
      <c r="D29" s="278">
        <f>IF(admin="sf161",VLOOKUP(D6,whatif,20,FALSE),ENROLLMENT!T34*ENROLLMENT!T10)</f>
        <v>0</v>
      </c>
      <c r="E29" s="278">
        <f>IF(admin="sf161",VLOOKUP(E6,whatif,20,FALSE),ENROLLMENT!U34*ENROLLMENT!U10)</f>
        <v>0</v>
      </c>
      <c r="F29" s="278">
        <f>IF(admin="sf161",VLOOKUP(F6,whatif,20,FALSE),ENROLLMENT!V34*ENROLLMENT!V10)</f>
        <v>0</v>
      </c>
      <c r="G29" s="278">
        <f>IF(admin="sf161",VLOOKUP(G6,whatif,20,FALSE),ENROLLMENT!W34*ENROLLMENT!W10)</f>
        <v>0</v>
      </c>
      <c r="H29" s="278">
        <f>IF(admin="sf161",VLOOKUP(H6,whatif,20,FALSE),ENROLLMENT!X34*ENROLLMENT!X10)</f>
        <v>0</v>
      </c>
      <c r="I29" s="278">
        <f>IF(admin="sf161",VLOOKUP(I6,whatif,20,FALSE),ENROLLMENT!Y34*ENROLLMENT!Y10)</f>
        <v>0</v>
      </c>
      <c r="J29" s="93">
        <f t="shared" si="0"/>
        <v>0</v>
      </c>
    </row>
    <row r="30" spans="1:10" ht="12.75">
      <c r="A30" s="112"/>
      <c r="B30" s="117"/>
      <c r="C30" s="117"/>
      <c r="D30" s="117"/>
      <c r="E30" s="117"/>
      <c r="F30" s="117"/>
      <c r="G30" s="117"/>
      <c r="H30" s="117"/>
      <c r="I30" s="117"/>
      <c r="J30" s="117"/>
    </row>
    <row r="31" spans="1:10" ht="12.75">
      <c r="A31" s="112" t="s">
        <v>883</v>
      </c>
      <c r="B31" s="118">
        <f>B23</f>
        <v>0</v>
      </c>
      <c r="C31" s="118">
        <f aca="true" t="shared" si="5" ref="C31:I31">C23</f>
        <v>0</v>
      </c>
      <c r="D31" s="118">
        <f t="shared" si="5"/>
        <v>0</v>
      </c>
      <c r="E31" s="118">
        <f t="shared" si="5"/>
        <v>0</v>
      </c>
      <c r="F31" s="118">
        <f t="shared" si="5"/>
        <v>0</v>
      </c>
      <c r="G31" s="118">
        <f t="shared" si="5"/>
        <v>0</v>
      </c>
      <c r="H31" s="118">
        <f t="shared" si="5"/>
        <v>0</v>
      </c>
      <c r="I31" s="118">
        <f t="shared" si="5"/>
        <v>0</v>
      </c>
      <c r="J31" s="118">
        <f t="shared" si="0"/>
        <v>0</v>
      </c>
    </row>
    <row r="32" spans="1:10" ht="12.75">
      <c r="A32" s="112" t="s">
        <v>884</v>
      </c>
      <c r="B32" s="118">
        <f>B20</f>
        <v>0</v>
      </c>
      <c r="C32" s="118">
        <f aca="true" t="shared" si="6" ref="C32:I32">C20</f>
        <v>0</v>
      </c>
      <c r="D32" s="118">
        <f t="shared" si="6"/>
        <v>0</v>
      </c>
      <c r="E32" s="118">
        <f t="shared" si="6"/>
        <v>0</v>
      </c>
      <c r="F32" s="118">
        <f t="shared" si="6"/>
        <v>0</v>
      </c>
      <c r="G32" s="118">
        <f t="shared" si="6"/>
        <v>0</v>
      </c>
      <c r="H32" s="118">
        <f t="shared" si="6"/>
        <v>0</v>
      </c>
      <c r="I32" s="118">
        <f t="shared" si="6"/>
        <v>0</v>
      </c>
      <c r="J32" s="119">
        <f t="shared" si="0"/>
        <v>0</v>
      </c>
    </row>
    <row r="33" spans="1:10" ht="12.75">
      <c r="A33" s="112" t="s">
        <v>885</v>
      </c>
      <c r="B33" s="118">
        <f>B24*1.1</f>
        <v>0</v>
      </c>
      <c r="C33" s="118">
        <f aca="true" t="shared" si="7" ref="C33:I33">C24*1.1</f>
        <v>0</v>
      </c>
      <c r="D33" s="118">
        <f t="shared" si="7"/>
        <v>0</v>
      </c>
      <c r="E33" s="118">
        <f t="shared" si="7"/>
        <v>0</v>
      </c>
      <c r="F33" s="118">
        <f t="shared" si="7"/>
        <v>0</v>
      </c>
      <c r="G33" s="118">
        <f t="shared" si="7"/>
        <v>0</v>
      </c>
      <c r="H33" s="118">
        <f t="shared" si="7"/>
        <v>0</v>
      </c>
      <c r="I33" s="118">
        <f t="shared" si="7"/>
        <v>0</v>
      </c>
      <c r="J33" s="119">
        <f t="shared" si="0"/>
        <v>0</v>
      </c>
    </row>
    <row r="34" spans="1:10" ht="12.75">
      <c r="A34" s="112" t="s">
        <v>886</v>
      </c>
      <c r="B34" s="118">
        <f aca="true" t="shared" si="8" ref="B34:I34">B22*1.35</f>
        <v>0</v>
      </c>
      <c r="C34" s="118">
        <f t="shared" si="8"/>
        <v>0</v>
      </c>
      <c r="D34" s="118">
        <f t="shared" si="8"/>
        <v>0</v>
      </c>
      <c r="E34" s="118">
        <f t="shared" si="8"/>
        <v>0</v>
      </c>
      <c r="F34" s="118">
        <f t="shared" si="8"/>
        <v>0</v>
      </c>
      <c r="G34" s="118">
        <f t="shared" si="8"/>
        <v>0</v>
      </c>
      <c r="H34" s="118">
        <f t="shared" si="8"/>
        <v>0</v>
      </c>
      <c r="I34" s="118">
        <f t="shared" si="8"/>
        <v>0</v>
      </c>
      <c r="J34" s="119">
        <f t="shared" si="0"/>
        <v>0</v>
      </c>
    </row>
    <row r="35" spans="1:10" ht="12.75">
      <c r="A35" s="112" t="s">
        <v>887</v>
      </c>
      <c r="B35" s="118">
        <f>B26*0.12</f>
        <v>0</v>
      </c>
      <c r="C35" s="118">
        <f aca="true" t="shared" si="9" ref="C35:I35">C26*0.12</f>
        <v>0</v>
      </c>
      <c r="D35" s="118">
        <f t="shared" si="9"/>
        <v>0</v>
      </c>
      <c r="E35" s="118">
        <f t="shared" si="9"/>
        <v>0</v>
      </c>
      <c r="F35" s="118">
        <f t="shared" si="9"/>
        <v>0</v>
      </c>
      <c r="G35" s="118">
        <f t="shared" si="9"/>
        <v>0</v>
      </c>
      <c r="H35" s="118">
        <f t="shared" si="9"/>
        <v>0</v>
      </c>
      <c r="I35" s="118">
        <f t="shared" si="9"/>
        <v>0</v>
      </c>
      <c r="J35" s="119">
        <f t="shared" si="0"/>
        <v>0</v>
      </c>
    </row>
    <row r="36" spans="1:10" ht="12.75">
      <c r="A36" s="112" t="s">
        <v>888</v>
      </c>
      <c r="B36" s="118">
        <f>B27*0.2</f>
        <v>0</v>
      </c>
      <c r="C36" s="118">
        <f aca="true" t="shared" si="10" ref="C36:I36">C27*0.2</f>
        <v>0</v>
      </c>
      <c r="D36" s="118">
        <f t="shared" si="10"/>
        <v>0</v>
      </c>
      <c r="E36" s="118">
        <f t="shared" si="10"/>
        <v>0</v>
      </c>
      <c r="F36" s="118">
        <f t="shared" si="10"/>
        <v>0</v>
      </c>
      <c r="G36" s="118">
        <f t="shared" si="10"/>
        <v>0</v>
      </c>
      <c r="H36" s="118">
        <f t="shared" si="10"/>
        <v>0</v>
      </c>
      <c r="I36" s="118">
        <f t="shared" si="10"/>
        <v>0</v>
      </c>
      <c r="J36" s="119">
        <f t="shared" si="0"/>
        <v>0</v>
      </c>
    </row>
    <row r="37" spans="1:10" ht="12.75">
      <c r="A37" s="112" t="s">
        <v>1075</v>
      </c>
      <c r="B37" s="118">
        <f>B28*2.41</f>
        <v>0</v>
      </c>
      <c r="C37" s="118">
        <f aca="true" t="shared" si="11" ref="C37:I37">C28*2.41</f>
        <v>0</v>
      </c>
      <c r="D37" s="118">
        <f t="shared" si="11"/>
        <v>0</v>
      </c>
      <c r="E37" s="118">
        <f t="shared" si="11"/>
        <v>0</v>
      </c>
      <c r="F37" s="118">
        <f t="shared" si="11"/>
        <v>0</v>
      </c>
      <c r="G37" s="118">
        <f t="shared" si="11"/>
        <v>0</v>
      </c>
      <c r="H37" s="118">
        <f t="shared" si="11"/>
        <v>0</v>
      </c>
      <c r="I37" s="118">
        <f t="shared" si="11"/>
        <v>0</v>
      </c>
      <c r="J37" s="119">
        <f t="shared" si="0"/>
        <v>0</v>
      </c>
    </row>
    <row r="38" spans="1:10" ht="12.75">
      <c r="A38" s="112" t="s">
        <v>889</v>
      </c>
      <c r="B38" s="118">
        <f>B29*0.1</f>
        <v>0</v>
      </c>
      <c r="C38" s="118">
        <f aca="true" t="shared" si="12" ref="C38:I38">C29*0.1</f>
        <v>0</v>
      </c>
      <c r="D38" s="118">
        <f t="shared" si="12"/>
        <v>0</v>
      </c>
      <c r="E38" s="118">
        <f t="shared" si="12"/>
        <v>0</v>
      </c>
      <c r="F38" s="118">
        <f t="shared" si="12"/>
        <v>0</v>
      </c>
      <c r="G38" s="118">
        <f t="shared" si="12"/>
        <v>0</v>
      </c>
      <c r="H38" s="118">
        <f t="shared" si="12"/>
        <v>0</v>
      </c>
      <c r="I38" s="118">
        <f t="shared" si="12"/>
        <v>0</v>
      </c>
      <c r="J38" s="119">
        <f t="shared" si="0"/>
        <v>0</v>
      </c>
    </row>
    <row r="39" spans="1:10" ht="12.75">
      <c r="A39" s="112"/>
      <c r="B39" s="93">
        <f>B21</f>
        <v>0</v>
      </c>
      <c r="C39" s="93">
        <f aca="true" t="shared" si="13" ref="C39:I39">C21</f>
        <v>0</v>
      </c>
      <c r="D39" s="93">
        <f t="shared" si="13"/>
        <v>0</v>
      </c>
      <c r="E39" s="93">
        <f t="shared" si="13"/>
        <v>0</v>
      </c>
      <c r="F39" s="93">
        <f t="shared" si="13"/>
        <v>0</v>
      </c>
      <c r="G39" s="93">
        <f t="shared" si="13"/>
        <v>0</v>
      </c>
      <c r="H39" s="93">
        <f t="shared" si="13"/>
        <v>0</v>
      </c>
      <c r="I39" s="93">
        <f t="shared" si="13"/>
        <v>0</v>
      </c>
      <c r="J39" s="119">
        <f t="shared" si="0"/>
        <v>0</v>
      </c>
    </row>
    <row r="40" spans="1:10" ht="12.75">
      <c r="A40" s="115" t="s">
        <v>1062</v>
      </c>
      <c r="B40" s="120">
        <f>SUM(B31:B39)</f>
        <v>0</v>
      </c>
      <c r="C40" s="120">
        <f aca="true" t="shared" si="14" ref="C40:I40">SUM(C31:C39)</f>
        <v>0</v>
      </c>
      <c r="D40" s="120">
        <f t="shared" si="14"/>
        <v>0</v>
      </c>
      <c r="E40" s="120">
        <f t="shared" si="14"/>
        <v>0</v>
      </c>
      <c r="F40" s="120">
        <f t="shared" si="14"/>
        <v>0</v>
      </c>
      <c r="G40" s="120">
        <f t="shared" si="14"/>
        <v>0</v>
      </c>
      <c r="H40" s="120">
        <f t="shared" si="14"/>
        <v>0</v>
      </c>
      <c r="I40" s="120">
        <f t="shared" si="14"/>
        <v>0</v>
      </c>
      <c r="J40" s="118">
        <f t="shared" si="0"/>
        <v>0</v>
      </c>
    </row>
    <row r="41" spans="1:10" ht="12.75">
      <c r="A41" s="115"/>
      <c r="B41" s="120"/>
      <c r="C41" s="120">
        <f>(SUM(C60:C68)*C40)/3218</f>
        <v>0</v>
      </c>
      <c r="D41" s="120"/>
      <c r="E41" s="120"/>
      <c r="F41" s="120"/>
      <c r="G41" s="120"/>
      <c r="H41" s="120"/>
      <c r="I41" s="120"/>
      <c r="J41" s="118"/>
    </row>
    <row r="42" spans="1:10" ht="12.75">
      <c r="A42" s="112" t="s">
        <v>891</v>
      </c>
      <c r="B42" s="121">
        <f>B40*B45</f>
        <v>0</v>
      </c>
      <c r="C42" s="121">
        <f aca="true" t="shared" si="15" ref="C42:I42">C40*C45</f>
        <v>0</v>
      </c>
      <c r="D42" s="121">
        <f t="shared" si="15"/>
        <v>0</v>
      </c>
      <c r="E42" s="121">
        <f t="shared" si="15"/>
        <v>0</v>
      </c>
      <c r="F42" s="121">
        <f t="shared" si="15"/>
        <v>0</v>
      </c>
      <c r="G42" s="121">
        <f t="shared" si="15"/>
        <v>0</v>
      </c>
      <c r="H42" s="121">
        <f t="shared" si="15"/>
        <v>0</v>
      </c>
      <c r="I42" s="121">
        <f t="shared" si="15"/>
        <v>0</v>
      </c>
      <c r="J42" s="121">
        <f>SUM(B42:I42)</f>
        <v>0</v>
      </c>
    </row>
    <row r="43" spans="1:10" ht="12.75">
      <c r="A43" s="112"/>
      <c r="B43" s="112"/>
      <c r="C43" s="112"/>
      <c r="D43" s="112"/>
      <c r="E43" s="112"/>
      <c r="F43" s="112"/>
      <c r="G43" s="112"/>
      <c r="H43" s="112"/>
      <c r="I43" s="112"/>
      <c r="J43" s="112"/>
    </row>
    <row r="44" spans="1:10" ht="12.75">
      <c r="A44" s="122" t="s">
        <v>892</v>
      </c>
      <c r="B44" s="112"/>
      <c r="C44" s="112"/>
      <c r="D44" s="112"/>
      <c r="E44" s="112"/>
      <c r="F44" s="112"/>
      <c r="G44" s="112"/>
      <c r="H44" s="112"/>
      <c r="I44" s="112"/>
      <c r="J44" s="112"/>
    </row>
    <row r="45" spans="1:10" ht="12.75">
      <c r="A45" s="115" t="s">
        <v>900</v>
      </c>
      <c r="B45" s="123">
        <f>VLOOKUP(B$6,FSPVAR!$A:$F,3,FALSE)</f>
        <v>1</v>
      </c>
      <c r="C45" s="123">
        <f>VLOOKUP(C$6,FSPVAR!$A:$F,3,FALSE)</f>
        <v>1</v>
      </c>
      <c r="D45" s="123">
        <f>VLOOKUP(D$6,FSPVAR!$A:$F,3,FALSE)</f>
        <v>1</v>
      </c>
      <c r="E45" s="123">
        <f>VLOOKUP(E$6,FSPVAR!$A:$F,3,FALSE)</f>
        <v>1</v>
      </c>
      <c r="F45" s="123">
        <f>VLOOKUP(F$6,FSPVAR!$A:$F,3,FALSE)</f>
        <v>1</v>
      </c>
      <c r="G45" s="123">
        <f>VLOOKUP(G$6,FSPVAR!$A:$F,3,FALSE)</f>
        <v>1</v>
      </c>
      <c r="H45" s="123">
        <f>VLOOKUP(H$6,FSPVAR!$A:$F,3,FALSE)</f>
        <v>1</v>
      </c>
      <c r="I45" s="123">
        <f>VLOOKUP(I$6,FSPVAR!$A:$F,3,FALSE)</f>
        <v>1</v>
      </c>
      <c r="J45" s="123"/>
    </row>
    <row r="46" spans="1:10" ht="12.75">
      <c r="A46" s="115" t="s">
        <v>893</v>
      </c>
      <c r="B46" s="124">
        <f>VLOOKUP(B$6,FSPVAR!$A:$F,4,FALSE)</f>
        <v>1</v>
      </c>
      <c r="C46" s="124">
        <f>VLOOKUP(C$6,FSPVAR!$A:$F,4,FALSE)</f>
        <v>1</v>
      </c>
      <c r="D46" s="124">
        <f>VLOOKUP(D$6,FSPVAR!$A:$F,4,FALSE)</f>
        <v>1</v>
      </c>
      <c r="E46" s="124">
        <f>VLOOKUP(E$6,FSPVAR!$A:$F,4,FALSE)</f>
        <v>1</v>
      </c>
      <c r="F46" s="124">
        <f>VLOOKUP(F$6,FSPVAR!$A:$F,4,FALSE)</f>
        <v>1</v>
      </c>
      <c r="G46" s="124">
        <f>VLOOKUP(G$6,FSPVAR!$A:$F,4,FALSE)</f>
        <v>1</v>
      </c>
      <c r="H46" s="124">
        <f>VLOOKUP(H$6,FSPVAR!$A:$F,4,FALSE)</f>
        <v>1</v>
      </c>
      <c r="I46" s="124">
        <f>VLOOKUP(I$6,FSPVAR!$A:$F,4,FALSE)</f>
        <v>1</v>
      </c>
      <c r="J46" s="124"/>
    </row>
    <row r="47" spans="1:10" ht="12.75">
      <c r="A47" s="115" t="s">
        <v>1063</v>
      </c>
      <c r="B47" s="124">
        <f>VLOOKUP(B$6,FSPVAR!$A:$F,5,FALSE)</f>
        <v>1</v>
      </c>
      <c r="C47" s="124">
        <f>VLOOKUP(C$6,FSPVAR!$A:$F,5,FALSE)</f>
        <v>1</v>
      </c>
      <c r="D47" s="124">
        <f>VLOOKUP(D$6,FSPVAR!$A:$F,5,FALSE)</f>
        <v>1</v>
      </c>
      <c r="E47" s="124">
        <f>VLOOKUP(E$6,FSPVAR!$A:$F,5,FALSE)</f>
        <v>1</v>
      </c>
      <c r="F47" s="124">
        <f>VLOOKUP(F$6,FSPVAR!$A:$F,5,FALSE)</f>
        <v>1</v>
      </c>
      <c r="G47" s="124">
        <f>VLOOKUP(G$6,FSPVAR!$A:$F,5,FALSE)</f>
        <v>1</v>
      </c>
      <c r="H47" s="124">
        <f>VLOOKUP(H$6,FSPVAR!$A:$F,5,FALSE)</f>
        <v>1</v>
      </c>
      <c r="I47" s="124">
        <f>VLOOKUP(I$6,FSPVAR!$A:$F,5,FALSE)</f>
        <v>1</v>
      </c>
      <c r="J47" s="124"/>
    </row>
    <row r="48" spans="1:10" ht="12.75">
      <c r="A48" s="115" t="s">
        <v>1064</v>
      </c>
      <c r="B48" s="124">
        <f>VLOOKUP(B$6,FSPVAR!$A:$F,6,FALSE)</f>
        <v>1</v>
      </c>
      <c r="C48" s="124">
        <f>VLOOKUP(C$6,FSPVAR!$A:$F,6,FALSE)</f>
        <v>1</v>
      </c>
      <c r="D48" s="124">
        <f>VLOOKUP(D$6,FSPVAR!$A:$F,6,FALSE)</f>
        <v>1</v>
      </c>
      <c r="E48" s="124">
        <f>VLOOKUP(E$6,FSPVAR!$A:$F,6,FALSE)</f>
        <v>1</v>
      </c>
      <c r="F48" s="124">
        <f>VLOOKUP(F$6,FSPVAR!$A:$F,6,FALSE)</f>
        <v>1</v>
      </c>
      <c r="G48" s="124">
        <f>VLOOKUP(G$6,FSPVAR!$A:$F,6,FALSE)</f>
        <v>1</v>
      </c>
      <c r="H48" s="124">
        <f>VLOOKUP(H$6,FSPVAR!$A:$F,6,FALSE)</f>
        <v>1</v>
      </c>
      <c r="I48" s="124">
        <f>VLOOKUP(I$6,FSPVAR!$A:$F,6,FALSE)</f>
        <v>1</v>
      </c>
      <c r="J48" s="124"/>
    </row>
    <row r="49" spans="1:10" ht="12.75">
      <c r="A49" s="112"/>
      <c r="B49" s="112"/>
      <c r="C49" s="112"/>
      <c r="D49" s="112"/>
      <c r="E49" s="112"/>
      <c r="F49" s="112"/>
      <c r="G49" s="112"/>
      <c r="H49" s="112"/>
      <c r="I49" s="112"/>
      <c r="J49" s="112"/>
    </row>
    <row r="50" spans="1:10" ht="12.75">
      <c r="A50" s="191" t="s">
        <v>1072</v>
      </c>
      <c r="B50" s="192">
        <f>'RISD1-8'!B50</f>
        <v>0.4</v>
      </c>
      <c r="C50" s="192">
        <f aca="true" t="shared" si="16" ref="C50:I50">B50</f>
        <v>0.4</v>
      </c>
      <c r="D50" s="192">
        <f t="shared" si="16"/>
        <v>0.4</v>
      </c>
      <c r="E50" s="192">
        <f t="shared" si="16"/>
        <v>0.4</v>
      </c>
      <c r="F50" s="192">
        <f t="shared" si="16"/>
        <v>0.4</v>
      </c>
      <c r="G50" s="192">
        <f t="shared" si="16"/>
        <v>0.4</v>
      </c>
      <c r="H50" s="192">
        <f t="shared" si="16"/>
        <v>0.4</v>
      </c>
      <c r="I50" s="192">
        <f t="shared" si="16"/>
        <v>0.4</v>
      </c>
      <c r="J50" s="192"/>
    </row>
    <row r="51" spans="1:10" ht="12.75">
      <c r="A51" s="112"/>
      <c r="B51" s="112"/>
      <c r="C51" s="112"/>
      <c r="D51" s="112"/>
      <c r="E51" s="112"/>
      <c r="F51" s="112"/>
      <c r="G51" s="112"/>
      <c r="H51" s="112"/>
      <c r="I51" s="112"/>
      <c r="J51" s="112"/>
    </row>
    <row r="52" spans="1:10" ht="12.75">
      <c r="A52" s="125" t="s">
        <v>893</v>
      </c>
      <c r="B52" s="126">
        <f aca="true" t="shared" si="17" ref="B52:I52">IF(B46&lt;7001,B46*B7*B50,B7*7000*B50)</f>
        <v>0</v>
      </c>
      <c r="C52" s="126">
        <f t="shared" si="17"/>
        <v>0</v>
      </c>
      <c r="D52" s="126">
        <f t="shared" si="17"/>
        <v>0</v>
      </c>
      <c r="E52" s="126">
        <f t="shared" si="17"/>
        <v>0</v>
      </c>
      <c r="F52" s="126">
        <f t="shared" si="17"/>
        <v>0</v>
      </c>
      <c r="G52" s="126">
        <f t="shared" si="17"/>
        <v>0</v>
      </c>
      <c r="H52" s="126">
        <f t="shared" si="17"/>
        <v>0</v>
      </c>
      <c r="I52" s="126">
        <f t="shared" si="17"/>
        <v>0</v>
      </c>
      <c r="J52" s="126">
        <f>SUM(B52:I52)</f>
        <v>0</v>
      </c>
    </row>
    <row r="53" spans="1:10" ht="12.75">
      <c r="A53" s="125"/>
      <c r="B53" s="127"/>
      <c r="C53" s="127"/>
      <c r="D53" s="127"/>
      <c r="E53" s="127"/>
      <c r="F53" s="127"/>
      <c r="G53" s="127"/>
      <c r="H53" s="127"/>
      <c r="I53" s="127"/>
      <c r="J53" s="127"/>
    </row>
    <row r="54" spans="1:10" ht="12.75">
      <c r="A54" s="125" t="s">
        <v>894</v>
      </c>
      <c r="B54" s="126">
        <f aca="true" t="shared" si="18" ref="B54:I54">B47*B42*B50</f>
        <v>0</v>
      </c>
      <c r="C54" s="126">
        <f t="shared" si="18"/>
        <v>0</v>
      </c>
      <c r="D54" s="126">
        <f t="shared" si="18"/>
        <v>0</v>
      </c>
      <c r="E54" s="126">
        <f t="shared" si="18"/>
        <v>0</v>
      </c>
      <c r="F54" s="126">
        <f t="shared" si="18"/>
        <v>0</v>
      </c>
      <c r="G54" s="126">
        <f t="shared" si="18"/>
        <v>0</v>
      </c>
      <c r="H54" s="126">
        <f t="shared" si="18"/>
        <v>0</v>
      </c>
      <c r="I54" s="126">
        <f t="shared" si="18"/>
        <v>0</v>
      </c>
      <c r="J54" s="126">
        <f>SUM(B54:I54)</f>
        <v>0</v>
      </c>
    </row>
    <row r="55" spans="1:10" ht="12.75">
      <c r="A55" s="125"/>
      <c r="B55" s="127"/>
      <c r="C55" s="127"/>
      <c r="D55" s="127"/>
      <c r="E55" s="127"/>
      <c r="F55" s="127"/>
      <c r="G55" s="127"/>
      <c r="H55" s="127"/>
      <c r="I55" s="127"/>
      <c r="J55" s="127"/>
    </row>
    <row r="56" spans="1:10" ht="25.5">
      <c r="A56" s="125" t="s">
        <v>895</v>
      </c>
      <c r="B56" s="126">
        <f>IF(B52&gt;B54,B52,B54)</f>
        <v>0</v>
      </c>
      <c r="C56" s="126">
        <f aca="true" t="shared" si="19" ref="C56:I56">IF(C52&gt;C54,C52,C54)</f>
        <v>0</v>
      </c>
      <c r="D56" s="126">
        <f t="shared" si="19"/>
        <v>0</v>
      </c>
      <c r="E56" s="126">
        <f t="shared" si="19"/>
        <v>0</v>
      </c>
      <c r="F56" s="126">
        <f t="shared" si="19"/>
        <v>0</v>
      </c>
      <c r="G56" s="126">
        <f t="shared" si="19"/>
        <v>0</v>
      </c>
      <c r="H56" s="126">
        <f t="shared" si="19"/>
        <v>0</v>
      </c>
      <c r="I56" s="126">
        <f t="shared" si="19"/>
        <v>0</v>
      </c>
      <c r="J56" s="126">
        <f>SUM(B56:I56)</f>
        <v>0</v>
      </c>
    </row>
    <row r="57" spans="1:10" ht="12.75">
      <c r="A57" s="112"/>
      <c r="B57" s="128"/>
      <c r="C57" s="128"/>
      <c r="D57" s="128"/>
      <c r="E57" s="128"/>
      <c r="F57" s="128"/>
      <c r="G57" s="128"/>
      <c r="H57" s="128"/>
      <c r="I57" s="128"/>
      <c r="J57" s="128"/>
    </row>
    <row r="58" spans="1:10" ht="12.75">
      <c r="A58" s="129" t="s">
        <v>896</v>
      </c>
      <c r="B58" s="128"/>
      <c r="C58" s="128"/>
      <c r="D58" s="128"/>
      <c r="E58" s="128"/>
      <c r="F58" s="128"/>
      <c r="G58" s="128"/>
      <c r="H58" s="128"/>
      <c r="I58" s="128"/>
      <c r="J58" s="128"/>
    </row>
    <row r="59" spans="1:10" ht="12.75">
      <c r="A59" s="130" t="s">
        <v>914</v>
      </c>
      <c r="B59" s="131">
        <f aca="true" t="shared" si="20" ref="B59:I66">B31*B$48*B$50</f>
        <v>0</v>
      </c>
      <c r="C59" s="131">
        <f t="shared" si="20"/>
        <v>0</v>
      </c>
      <c r="D59" s="131">
        <f t="shared" si="20"/>
        <v>0</v>
      </c>
      <c r="E59" s="131">
        <f t="shared" si="20"/>
        <v>0</v>
      </c>
      <c r="F59" s="131">
        <f t="shared" si="20"/>
        <v>0</v>
      </c>
      <c r="G59" s="131">
        <f t="shared" si="20"/>
        <v>0</v>
      </c>
      <c r="H59" s="131">
        <f t="shared" si="20"/>
        <v>0</v>
      </c>
      <c r="I59" s="131">
        <f t="shared" si="20"/>
        <v>0</v>
      </c>
      <c r="J59" s="126">
        <f aca="true" t="shared" si="21" ref="J59:J73">SUM(B59:I59)</f>
        <v>0</v>
      </c>
    </row>
    <row r="60" spans="1:10" ht="12.75">
      <c r="A60" s="130" t="s">
        <v>1065</v>
      </c>
      <c r="B60" s="131">
        <f t="shared" si="20"/>
        <v>0</v>
      </c>
      <c r="C60" s="131">
        <f t="shared" si="20"/>
        <v>0</v>
      </c>
      <c r="D60" s="131">
        <f t="shared" si="20"/>
        <v>0</v>
      </c>
      <c r="E60" s="131">
        <f t="shared" si="20"/>
        <v>0</v>
      </c>
      <c r="F60" s="131">
        <f t="shared" si="20"/>
        <v>0</v>
      </c>
      <c r="G60" s="131">
        <f t="shared" si="20"/>
        <v>0</v>
      </c>
      <c r="H60" s="131">
        <f t="shared" si="20"/>
        <v>0</v>
      </c>
      <c r="I60" s="131">
        <f t="shared" si="20"/>
        <v>0</v>
      </c>
      <c r="J60" s="126">
        <f t="shared" si="21"/>
        <v>0</v>
      </c>
    </row>
    <row r="61" spans="1:10" ht="12.75">
      <c r="A61" s="130" t="s">
        <v>1066</v>
      </c>
      <c r="B61" s="131">
        <f t="shared" si="20"/>
        <v>0</v>
      </c>
      <c r="C61" s="131">
        <f t="shared" si="20"/>
        <v>0</v>
      </c>
      <c r="D61" s="131">
        <f t="shared" si="20"/>
        <v>0</v>
      </c>
      <c r="E61" s="131">
        <f t="shared" si="20"/>
        <v>0</v>
      </c>
      <c r="F61" s="131">
        <f t="shared" si="20"/>
        <v>0</v>
      </c>
      <c r="G61" s="131">
        <f t="shared" si="20"/>
        <v>0</v>
      </c>
      <c r="H61" s="131">
        <f t="shared" si="20"/>
        <v>0</v>
      </c>
      <c r="I61" s="131">
        <f t="shared" si="20"/>
        <v>0</v>
      </c>
      <c r="J61" s="126">
        <f t="shared" si="21"/>
        <v>0</v>
      </c>
    </row>
    <row r="62" spans="1:10" ht="12.75">
      <c r="A62" s="130" t="s">
        <v>1067</v>
      </c>
      <c r="B62" s="131">
        <f t="shared" si="20"/>
        <v>0</v>
      </c>
      <c r="C62" s="131">
        <f t="shared" si="20"/>
        <v>0</v>
      </c>
      <c r="D62" s="131">
        <f t="shared" si="20"/>
        <v>0</v>
      </c>
      <c r="E62" s="131">
        <f t="shared" si="20"/>
        <v>0</v>
      </c>
      <c r="F62" s="131">
        <f t="shared" si="20"/>
        <v>0</v>
      </c>
      <c r="G62" s="131">
        <f t="shared" si="20"/>
        <v>0</v>
      </c>
      <c r="H62" s="131">
        <f t="shared" si="20"/>
        <v>0</v>
      </c>
      <c r="I62" s="131">
        <f t="shared" si="20"/>
        <v>0</v>
      </c>
      <c r="J62" s="126">
        <f t="shared" si="21"/>
        <v>0</v>
      </c>
    </row>
    <row r="63" spans="1:10" ht="12.75">
      <c r="A63" s="130" t="s">
        <v>1068</v>
      </c>
      <c r="B63" s="131">
        <f t="shared" si="20"/>
        <v>0</v>
      </c>
      <c r="C63" s="131">
        <f t="shared" si="20"/>
        <v>0</v>
      </c>
      <c r="D63" s="131">
        <f t="shared" si="20"/>
        <v>0</v>
      </c>
      <c r="E63" s="131">
        <f t="shared" si="20"/>
        <v>0</v>
      </c>
      <c r="F63" s="131">
        <f t="shared" si="20"/>
        <v>0</v>
      </c>
      <c r="G63" s="131">
        <f t="shared" si="20"/>
        <v>0</v>
      </c>
      <c r="H63" s="131">
        <f t="shared" si="20"/>
        <v>0</v>
      </c>
      <c r="I63" s="131">
        <f t="shared" si="20"/>
        <v>0</v>
      </c>
      <c r="J63" s="126">
        <f t="shared" si="21"/>
        <v>0</v>
      </c>
    </row>
    <row r="64" spans="1:10" ht="12.75">
      <c r="A64" s="130" t="s">
        <v>1069</v>
      </c>
      <c r="B64" s="131">
        <f t="shared" si="20"/>
        <v>0</v>
      </c>
      <c r="C64" s="131">
        <f t="shared" si="20"/>
        <v>0</v>
      </c>
      <c r="D64" s="131">
        <f t="shared" si="20"/>
        <v>0</v>
      </c>
      <c r="E64" s="131">
        <f t="shared" si="20"/>
        <v>0</v>
      </c>
      <c r="F64" s="131">
        <f t="shared" si="20"/>
        <v>0</v>
      </c>
      <c r="G64" s="131">
        <f t="shared" si="20"/>
        <v>0</v>
      </c>
      <c r="H64" s="131">
        <f t="shared" si="20"/>
        <v>0</v>
      </c>
      <c r="I64" s="131">
        <f t="shared" si="20"/>
        <v>0</v>
      </c>
      <c r="J64" s="126">
        <f t="shared" si="21"/>
        <v>0</v>
      </c>
    </row>
    <row r="65" spans="1:10" ht="12.75">
      <c r="A65" s="130" t="s">
        <v>1070</v>
      </c>
      <c r="B65" s="131">
        <f t="shared" si="20"/>
        <v>0</v>
      </c>
      <c r="C65" s="131">
        <f t="shared" si="20"/>
        <v>0</v>
      </c>
      <c r="D65" s="131">
        <f t="shared" si="20"/>
        <v>0</v>
      </c>
      <c r="E65" s="131">
        <f t="shared" si="20"/>
        <v>0</v>
      </c>
      <c r="F65" s="131">
        <f t="shared" si="20"/>
        <v>0</v>
      </c>
      <c r="G65" s="131">
        <f t="shared" si="20"/>
        <v>0</v>
      </c>
      <c r="H65" s="131">
        <f t="shared" si="20"/>
        <v>0</v>
      </c>
      <c r="I65" s="131">
        <f t="shared" si="20"/>
        <v>0</v>
      </c>
      <c r="J65" s="126">
        <f t="shared" si="21"/>
        <v>0</v>
      </c>
    </row>
    <row r="66" spans="1:10" ht="12.75">
      <c r="A66" s="130" t="s">
        <v>1071</v>
      </c>
      <c r="B66" s="131">
        <f t="shared" si="20"/>
        <v>0</v>
      </c>
      <c r="C66" s="131">
        <f t="shared" si="20"/>
        <v>0</v>
      </c>
      <c r="D66" s="131">
        <f t="shared" si="20"/>
        <v>0</v>
      </c>
      <c r="E66" s="131">
        <f t="shared" si="20"/>
        <v>0</v>
      </c>
      <c r="F66" s="131">
        <f t="shared" si="20"/>
        <v>0</v>
      </c>
      <c r="G66" s="131">
        <f t="shared" si="20"/>
        <v>0</v>
      </c>
      <c r="H66" s="131">
        <f t="shared" si="20"/>
        <v>0</v>
      </c>
      <c r="I66" s="131">
        <f t="shared" si="20"/>
        <v>0</v>
      </c>
      <c r="J66" s="126">
        <f t="shared" si="21"/>
        <v>0</v>
      </c>
    </row>
    <row r="67" spans="1:10" ht="12.75">
      <c r="A67" s="152" t="s">
        <v>1177</v>
      </c>
      <c r="B67" s="131">
        <f>B21*B$48*B$50*0.75</f>
        <v>0</v>
      </c>
      <c r="C67" s="131">
        <f aca="true" t="shared" si="22" ref="C67:I67">C21*C$48*C$50*0.75</f>
        <v>0</v>
      </c>
      <c r="D67" s="131">
        <f t="shared" si="22"/>
        <v>0</v>
      </c>
      <c r="E67" s="131">
        <f t="shared" si="22"/>
        <v>0</v>
      </c>
      <c r="F67" s="131">
        <f t="shared" si="22"/>
        <v>0</v>
      </c>
      <c r="G67" s="131">
        <f t="shared" si="22"/>
        <v>0</v>
      </c>
      <c r="H67" s="131">
        <f t="shared" si="22"/>
        <v>0</v>
      </c>
      <c r="I67" s="131">
        <f t="shared" si="22"/>
        <v>0</v>
      </c>
      <c r="J67" s="126">
        <f t="shared" si="21"/>
        <v>0</v>
      </c>
    </row>
    <row r="68" spans="1:10" ht="15.75">
      <c r="A68" s="87" t="s">
        <v>934</v>
      </c>
      <c r="B68" s="131">
        <f>SUM(B59:B67)</f>
        <v>0</v>
      </c>
      <c r="C68" s="131">
        <f aca="true" t="shared" si="23" ref="C68:I68">SUM(C59:C67)</f>
        <v>0</v>
      </c>
      <c r="D68" s="131">
        <f t="shared" si="23"/>
        <v>0</v>
      </c>
      <c r="E68" s="131">
        <f t="shared" si="23"/>
        <v>0</v>
      </c>
      <c r="F68" s="131">
        <f t="shared" si="23"/>
        <v>0</v>
      </c>
      <c r="G68" s="131">
        <f t="shared" si="23"/>
        <v>0</v>
      </c>
      <c r="H68" s="131">
        <f t="shared" si="23"/>
        <v>0</v>
      </c>
      <c r="I68" s="131">
        <f t="shared" si="23"/>
        <v>0</v>
      </c>
      <c r="J68" s="126">
        <f t="shared" si="21"/>
        <v>0</v>
      </c>
    </row>
    <row r="69" spans="1:10" ht="16.5" thickBot="1">
      <c r="A69" s="87" t="s">
        <v>935</v>
      </c>
      <c r="B69" s="132">
        <f aca="true" t="shared" si="24" ref="B69:I69">IF(B52&gt;B54,B52-B68,B54-B68)</f>
        <v>0</v>
      </c>
      <c r="C69" s="132">
        <f t="shared" si="24"/>
        <v>0</v>
      </c>
      <c r="D69" s="132">
        <f t="shared" si="24"/>
        <v>0</v>
      </c>
      <c r="E69" s="132">
        <f t="shared" si="24"/>
        <v>0</v>
      </c>
      <c r="F69" s="132">
        <f t="shared" si="24"/>
        <v>0</v>
      </c>
      <c r="G69" s="132">
        <f t="shared" si="24"/>
        <v>0</v>
      </c>
      <c r="H69" s="132">
        <f t="shared" si="24"/>
        <v>0</v>
      </c>
      <c r="I69" s="132">
        <f t="shared" si="24"/>
        <v>0</v>
      </c>
      <c r="J69" s="133">
        <f t="shared" si="21"/>
        <v>0</v>
      </c>
    </row>
    <row r="70" spans="1:10" ht="16.5" thickBot="1">
      <c r="A70" s="88" t="s">
        <v>936</v>
      </c>
      <c r="B70" s="135">
        <f>B68+B69</f>
        <v>0</v>
      </c>
      <c r="C70" s="135">
        <f aca="true" t="shared" si="25" ref="C70:I70">C68+C69</f>
        <v>0</v>
      </c>
      <c r="D70" s="135">
        <f t="shared" si="25"/>
        <v>0</v>
      </c>
      <c r="E70" s="135">
        <f t="shared" si="25"/>
        <v>0</v>
      </c>
      <c r="F70" s="135">
        <f t="shared" si="25"/>
        <v>0</v>
      </c>
      <c r="G70" s="135">
        <f t="shared" si="25"/>
        <v>0</v>
      </c>
      <c r="H70" s="135">
        <f t="shared" si="25"/>
        <v>0</v>
      </c>
      <c r="I70" s="135">
        <f t="shared" si="25"/>
        <v>0</v>
      </c>
      <c r="J70" s="136">
        <f t="shared" si="21"/>
        <v>0</v>
      </c>
    </row>
    <row r="71" spans="1:10" ht="13.5" thickTop="1">
      <c r="A71" s="129" t="s">
        <v>912</v>
      </c>
      <c r="B71" s="137">
        <f aca="true" t="shared" si="26" ref="B71:I71">B7*30*B50</f>
        <v>0</v>
      </c>
      <c r="C71" s="137">
        <f t="shared" si="26"/>
        <v>0</v>
      </c>
      <c r="D71" s="137">
        <f t="shared" si="26"/>
        <v>0</v>
      </c>
      <c r="E71" s="137">
        <f t="shared" si="26"/>
        <v>0</v>
      </c>
      <c r="F71" s="137">
        <f t="shared" si="26"/>
        <v>0</v>
      </c>
      <c r="G71" s="137">
        <f t="shared" si="26"/>
        <v>0</v>
      </c>
      <c r="H71" s="137">
        <f t="shared" si="26"/>
        <v>0</v>
      </c>
      <c r="I71" s="137">
        <f t="shared" si="26"/>
        <v>0</v>
      </c>
      <c r="J71" s="138">
        <f t="shared" si="21"/>
        <v>0</v>
      </c>
    </row>
    <row r="72" spans="1:10" ht="12.75">
      <c r="A72" s="139" t="s">
        <v>913</v>
      </c>
      <c r="B72" s="140">
        <f aca="true" t="shared" si="27" ref="B72:I72">B42*110*B50</f>
        <v>0</v>
      </c>
      <c r="C72" s="140">
        <f t="shared" si="27"/>
        <v>0</v>
      </c>
      <c r="D72" s="140">
        <f t="shared" si="27"/>
        <v>0</v>
      </c>
      <c r="E72" s="140">
        <f t="shared" si="27"/>
        <v>0</v>
      </c>
      <c r="F72" s="140">
        <f t="shared" si="27"/>
        <v>0</v>
      </c>
      <c r="G72" s="140">
        <f t="shared" si="27"/>
        <v>0</v>
      </c>
      <c r="H72" s="140">
        <f t="shared" si="27"/>
        <v>0</v>
      </c>
      <c r="I72" s="140">
        <f t="shared" si="27"/>
        <v>0</v>
      </c>
      <c r="J72" s="141">
        <f t="shared" si="21"/>
        <v>0</v>
      </c>
    </row>
    <row r="73" spans="1:10" ht="13.5" thickBot="1">
      <c r="A73" s="134" t="s">
        <v>1039</v>
      </c>
      <c r="B73" s="142">
        <f>SUM(B70:B72)</f>
        <v>0</v>
      </c>
      <c r="C73" s="142">
        <f aca="true" t="shared" si="28" ref="C73:I73">SUM(C70:C72)</f>
        <v>0</v>
      </c>
      <c r="D73" s="142">
        <f t="shared" si="28"/>
        <v>0</v>
      </c>
      <c r="E73" s="142">
        <f t="shared" si="28"/>
        <v>0</v>
      </c>
      <c r="F73" s="142">
        <f t="shared" si="28"/>
        <v>0</v>
      </c>
      <c r="G73" s="142">
        <f t="shared" si="28"/>
        <v>0</v>
      </c>
      <c r="H73" s="142">
        <f t="shared" si="28"/>
        <v>0</v>
      </c>
      <c r="I73" s="142">
        <f t="shared" si="28"/>
        <v>0</v>
      </c>
      <c r="J73" s="143">
        <f t="shared" si="21"/>
        <v>0</v>
      </c>
    </row>
    <row r="74" ht="13.5" thickTop="1">
      <c r="C74" s="313">
        <f>SUM(C61:C69)</f>
        <v>0</v>
      </c>
    </row>
  </sheetData>
  <sheetProtection password="EE5D" sheet="1"/>
  <mergeCells count="3">
    <mergeCell ref="A1:J1"/>
    <mergeCell ref="A2:J2"/>
    <mergeCell ref="A3:J3"/>
  </mergeCells>
  <printOptions headings="1" horizontalCentered="1"/>
  <pageMargins left="0.5" right="0.5" top="1" bottom="1" header="0.5" footer="0.5"/>
  <pageSetup cellComments="asDisplayed" fitToHeight="1" fitToWidth="1" horizontalDpi="600" verticalDpi="600" orientation="portrait" scale="60" r:id="rId3"/>
  <headerFooter alignWithMargins="0">
    <oddFooter>&amp;C&amp;A
Printed on &amp;D</oddFooter>
  </headerFooter>
  <rowBreaks count="1" manualBreakCount="1">
    <brk id="43" max="9" man="1"/>
  </rowBreaks>
  <legacyDrawing r:id="rId2"/>
</worksheet>
</file>

<file path=xl/worksheets/sheet9.xml><?xml version="1.0" encoding="utf-8"?>
<worksheet xmlns="http://schemas.openxmlformats.org/spreadsheetml/2006/main" xmlns:r="http://schemas.openxmlformats.org/officeDocument/2006/relationships">
  <sheetPr>
    <tabColor indexed="40"/>
    <pageSetUpPr fitToPage="1"/>
  </sheetPr>
  <dimension ref="A1:J74"/>
  <sheetViews>
    <sheetView zoomScale="88" zoomScaleNormal="88" zoomScaleSheetLayoutView="88" zoomScalePageLayoutView="0" workbookViewId="0" topLeftCell="A1">
      <pane xSplit="1" ySplit="6" topLeftCell="B7" activePane="bottomRight" state="frozen"/>
      <selection pane="topLeft" activeCell="D79" sqref="D79"/>
      <selection pane="topRight" activeCell="D79" sqref="D79"/>
      <selection pane="bottomLeft" activeCell="D79" sqref="D79"/>
      <selection pane="bottomRight" activeCell="B7" sqref="B7"/>
    </sheetView>
  </sheetViews>
  <sheetFormatPr defaultColWidth="9.140625" defaultRowHeight="12.75"/>
  <cols>
    <col min="1" max="1" width="42.7109375" style="111" customWidth="1"/>
    <col min="2" max="9" width="12.7109375" style="111" customWidth="1"/>
    <col min="10" max="10" width="13.57421875" style="111" bestFit="1" customWidth="1"/>
    <col min="11" max="16384" width="9.140625" style="111" customWidth="1"/>
  </cols>
  <sheetData>
    <row r="1" spans="1:10" ht="12.75">
      <c r="A1" s="326" t="str">
        <f>VLOOKUP(A2,ALLCHARTERS!$A:$XFD,3,FALSE)</f>
        <v>ENTER CHARTER SCHOOL CDN BELOW (NO DASHES):</v>
      </c>
      <c r="B1" s="327"/>
      <c r="C1" s="327"/>
      <c r="D1" s="327"/>
      <c r="E1" s="327"/>
      <c r="F1" s="327"/>
      <c r="G1" s="327"/>
      <c r="H1" s="327"/>
      <c r="I1" s="327"/>
      <c r="J1" s="328"/>
    </row>
    <row r="2" spans="1:10" ht="12.75">
      <c r="A2" s="329">
        <f>IF(admin="sf161",'MAINFRAME WHATIF'!B3,ENROLLMENT!A2)</f>
        <v>0</v>
      </c>
      <c r="B2" s="330"/>
      <c r="C2" s="330"/>
      <c r="D2" s="330"/>
      <c r="E2" s="330"/>
      <c r="F2" s="330"/>
      <c r="G2" s="330"/>
      <c r="H2" s="330"/>
      <c r="I2" s="330"/>
      <c r="J2" s="331"/>
    </row>
    <row r="3" spans="1:10" ht="12.75">
      <c r="A3" s="332" t="str">
        <f>ENROLLMENT!A3</f>
        <v>2008-2009 Estimate of State Aid Entitlement Template</v>
      </c>
      <c r="B3" s="333"/>
      <c r="C3" s="333"/>
      <c r="D3" s="333"/>
      <c r="E3" s="333"/>
      <c r="F3" s="333"/>
      <c r="G3" s="333"/>
      <c r="H3" s="333"/>
      <c r="I3" s="333"/>
      <c r="J3" s="334"/>
    </row>
    <row r="4" spans="1:10" ht="12.75">
      <c r="A4" s="185"/>
      <c r="B4" s="184">
        <v>25</v>
      </c>
      <c r="C4" s="184">
        <v>26</v>
      </c>
      <c r="D4" s="184">
        <v>27</v>
      </c>
      <c r="E4" s="184">
        <v>28</v>
      </c>
      <c r="F4" s="184">
        <v>29</v>
      </c>
      <c r="G4" s="184">
        <v>30</v>
      </c>
      <c r="H4" s="184">
        <v>31</v>
      </c>
      <c r="I4" s="184">
        <v>32</v>
      </c>
      <c r="J4" s="190"/>
    </row>
    <row r="5" spans="1:10" ht="24.75" customHeight="1">
      <c r="A5" s="187"/>
      <c r="B5" s="188" t="str">
        <f>VLOOKUP(B$6,FSPVAR!$A:$F,2,FALSE)</f>
        <v>NONE</v>
      </c>
      <c r="C5" s="188" t="str">
        <f>VLOOKUP(C$6,FSPVAR!$A:$F,2,FALSE)</f>
        <v>NONE</v>
      </c>
      <c r="D5" s="188" t="str">
        <f>VLOOKUP(D$6,FSPVAR!$A:$F,2,FALSE)</f>
        <v>NONE</v>
      </c>
      <c r="E5" s="188" t="str">
        <f>VLOOKUP(E$6,FSPVAR!$A:$F,2,FALSE)</f>
        <v>NONE</v>
      </c>
      <c r="F5" s="188" t="str">
        <f>VLOOKUP(F$6,FSPVAR!$A:$F,2,FALSE)</f>
        <v>NONE</v>
      </c>
      <c r="G5" s="188" t="str">
        <f>VLOOKUP(G$6,FSPVAR!$A:$F,2,FALSE)</f>
        <v>NONE</v>
      </c>
      <c r="H5" s="188" t="str">
        <f>VLOOKUP(H$6,FSPVAR!$A:$F,2,FALSE)</f>
        <v>NONE</v>
      </c>
      <c r="I5" s="188" t="str">
        <f>VLOOKUP(I$6,FSPVAR!$A:$F,2,FALSE)</f>
        <v>NONE</v>
      </c>
      <c r="J5" s="188" t="s">
        <v>1027</v>
      </c>
    </row>
    <row r="6" spans="1:10" ht="12.75">
      <c r="A6" s="187" t="s">
        <v>1077</v>
      </c>
      <c r="B6" s="189">
        <f>IF(admin="sf161",_cdn25,ENROLLMENT!Z8)</f>
        <v>0</v>
      </c>
      <c r="C6" s="189">
        <f>IF(admin="sf161",_cdn26,ENROLLMENT!AA8)</f>
        <v>0</v>
      </c>
      <c r="D6" s="189">
        <f>IF(admin="sf161",_cdn27,ENROLLMENT!AB8)</f>
        <v>0</v>
      </c>
      <c r="E6" s="189">
        <f>IF(admin="sf161",_cdn28,ENROLLMENT!AC8)</f>
        <v>0</v>
      </c>
      <c r="F6" s="189">
        <f>IF(admin="sf161",_cdn29,ENROLLMENT!AD8)</f>
        <v>0</v>
      </c>
      <c r="G6" s="189">
        <f>IF(admin="sf161",_cdn30,ENROLLMENT!AE8)</f>
        <v>0</v>
      </c>
      <c r="H6" s="189">
        <f>IF(admin="sf161",_cdn31,ENROLLMENT!AF8)</f>
        <v>0</v>
      </c>
      <c r="I6" s="189">
        <f>IF(admin="sf161",_cdn32,ENROLLMENT!AG8)</f>
        <v>0</v>
      </c>
      <c r="J6" s="188"/>
    </row>
    <row r="7" spans="1:10" ht="12.75">
      <c r="A7" s="112" t="s">
        <v>875</v>
      </c>
      <c r="B7" s="160">
        <f>IF(admin="sf161",VLOOKUP(B6,whatif,2,FALSE),ENROLLMENT!Z9*ENROLLMENT!Z10)</f>
        <v>0</v>
      </c>
      <c r="C7" s="160">
        <f>IF(admin="sf161",VLOOKUP(C6,whatif,2,FALSE),ENROLLMENT!AA9*ENROLLMENT!AA10)</f>
        <v>0</v>
      </c>
      <c r="D7" s="160">
        <f>IF(admin="sf161",VLOOKUP(D6,whatif,2,FALSE),ENROLLMENT!AB9*ENROLLMENT!AB10)</f>
        <v>0</v>
      </c>
      <c r="E7" s="160">
        <f>IF(admin="sf161",VLOOKUP(E6,whatif,2,FALSE),ENROLLMENT!AC9*ENROLLMENT!AC10)</f>
        <v>0</v>
      </c>
      <c r="F7" s="160">
        <f>IF(admin="sf161",VLOOKUP(F6,whatif,2,FALSE),ENROLLMENT!AD9*ENROLLMENT!AD10)</f>
        <v>0</v>
      </c>
      <c r="G7" s="160">
        <f>IF(admin="sf161",VLOOKUP(G6,whatif,2,FALSE),ENROLLMENT!AE9*ENROLLMENT!AE10)</f>
        <v>0</v>
      </c>
      <c r="H7" s="160">
        <f>IF(admin="sf161",VLOOKUP(H6,whatif,2,FALSE),ENROLLMENT!AF9*ENROLLMENT!AF10)</f>
        <v>0</v>
      </c>
      <c r="I7" s="160">
        <f>IF(admin="sf161",VLOOKUP(I6,whatif,2,FALSE),ENROLLMENT!AG9*ENROLLMENT!AG10)</f>
        <v>0</v>
      </c>
      <c r="J7" s="113">
        <f>SUM(B7:I7)</f>
        <v>0</v>
      </c>
    </row>
    <row r="8" spans="1:10" ht="12.75">
      <c r="A8" s="112" t="s">
        <v>876</v>
      </c>
      <c r="B8" s="161"/>
      <c r="C8" s="161"/>
      <c r="D8" s="161"/>
      <c r="E8" s="161"/>
      <c r="F8" s="161"/>
      <c r="G8" s="161"/>
      <c r="H8" s="161"/>
      <c r="I8" s="161"/>
      <c r="J8" s="114"/>
    </row>
    <row r="9" spans="1:10" ht="12.75">
      <c r="A9" s="115" t="s">
        <v>1051</v>
      </c>
      <c r="B9" s="278">
        <f>IF(admin="sf161",VLOOKUP(B6,whatif,4,FALSE),ENROLLMENT!Z13*ENROLLMENT!Z10*1/6)</f>
        <v>0</v>
      </c>
      <c r="C9" s="278">
        <f>IF(admin="sf161",VLOOKUP(C6,whatif,4,FALSE),ENROLLMENT!AA13*ENROLLMENT!AA10*1/6)</f>
        <v>0</v>
      </c>
      <c r="D9" s="278">
        <f>IF(admin="sf161",VLOOKUP(D6,whatif,4,FALSE),ENROLLMENT!AB13*ENROLLMENT!AB10*1/6)</f>
        <v>0</v>
      </c>
      <c r="E9" s="278">
        <f>IF(admin="sf161",VLOOKUP(E6,whatif,4,FALSE),ENROLLMENT!AC13*ENROLLMENT!AC10*1/6)</f>
        <v>0</v>
      </c>
      <c r="F9" s="278">
        <f>IF(admin="sf161",VLOOKUP(F6,whatif,4,FALSE),ENROLLMENT!AD13*ENROLLMENT!AD10*1/6)</f>
        <v>0</v>
      </c>
      <c r="G9" s="278">
        <f>IF(admin="sf161",VLOOKUP(G6,whatif,4,FALSE),ENROLLMENT!AE13*ENROLLMENT!AE10*1/6)</f>
        <v>0</v>
      </c>
      <c r="H9" s="278">
        <f>IF(admin="sf161",VLOOKUP(H6,whatif,4,FALSE),ENROLLMENT!AF13*ENROLLMENT!AF10*1/6)</f>
        <v>0</v>
      </c>
      <c r="I9" s="278">
        <f>IF(admin="sf161",VLOOKUP(I6,whatif,4,FALSE),ENROLLMENT!AG13*ENROLLMENT!AG10*1/6)</f>
        <v>0</v>
      </c>
      <c r="J9" s="93">
        <f aca="true" t="shared" si="0" ref="J9:J40">SUM(B9:I9)</f>
        <v>0</v>
      </c>
    </row>
    <row r="10" spans="1:10" ht="12.75">
      <c r="A10" s="115" t="s">
        <v>1052</v>
      </c>
      <c r="B10" s="278">
        <f>IF(admin="sf161",VLOOKUP(B6,whatif,5,FALSE),ENROLLMENT!Z14*ENROLLMENT!Z10*4.5/6)</f>
        <v>0</v>
      </c>
      <c r="C10" s="278">
        <f>IF(admin="sf161",VLOOKUP(C6,whatif,5,FALSE),ENROLLMENT!AA14*ENROLLMENT!AA10*4.5/6)</f>
        <v>0</v>
      </c>
      <c r="D10" s="278">
        <f>IF(admin="sf161",VLOOKUP(D6,whatif,5,FALSE),ENROLLMENT!AB14*ENROLLMENT!AB10*4.5/6)</f>
        <v>0</v>
      </c>
      <c r="E10" s="278">
        <f>IF(admin="sf161",VLOOKUP(E6,whatif,5,FALSE),ENROLLMENT!AC14*ENROLLMENT!AC10*4.5/6)</f>
        <v>0</v>
      </c>
      <c r="F10" s="278">
        <f>IF(admin="sf161",VLOOKUP(F6,whatif,5,FALSE),ENROLLMENT!AD14*ENROLLMENT!AD10*4.5/6)</f>
        <v>0</v>
      </c>
      <c r="G10" s="278">
        <f>IF(admin="sf161",VLOOKUP(G6,whatif,5,FALSE),ENROLLMENT!AE14*ENROLLMENT!AE10*4.5/6)</f>
        <v>0</v>
      </c>
      <c r="H10" s="278">
        <f>IF(admin="sf161",VLOOKUP(H6,whatif,5,FALSE),ENROLLMENT!AF14*ENROLLMENT!AF10*4.5/6)</f>
        <v>0</v>
      </c>
      <c r="I10" s="278">
        <f>IF(admin="sf161",VLOOKUP(I6,whatif,5,FALSE),ENROLLMENT!AG14*ENROLLMENT!AG10*4.5/6)</f>
        <v>0</v>
      </c>
      <c r="J10" s="113">
        <f t="shared" si="0"/>
        <v>0</v>
      </c>
    </row>
    <row r="11" spans="1:10" ht="12.75">
      <c r="A11" s="115" t="s">
        <v>1053</v>
      </c>
      <c r="B11" s="278">
        <f>IF(admin="sf161",VLOOKUP(B6,whatif,6,FALSE),ENROLLMENT!Z15*ENROLLMENT!Z10*0.25/6)</f>
        <v>0</v>
      </c>
      <c r="C11" s="278">
        <f>IF(admin="sf161",VLOOKUP(C6,whatif,6,FALSE),ENROLLMENT!AA15*ENROLLMENT!AA10*0.25/6)</f>
        <v>0</v>
      </c>
      <c r="D11" s="278">
        <f>IF(admin="sf161",VLOOKUP(D6,whatif,6,FALSE),ENROLLMENT!AB15*ENROLLMENT!AB10*0.25/6)</f>
        <v>0</v>
      </c>
      <c r="E11" s="278">
        <f>IF(admin="sf161",VLOOKUP(E6,whatif,6,FALSE),ENROLLMENT!AC15*ENROLLMENT!AC10*0.25/6)</f>
        <v>0</v>
      </c>
      <c r="F11" s="278">
        <f>IF(admin="sf161",VLOOKUP(F6,whatif,6,FALSE),ENROLLMENT!AD15*ENROLLMENT!AD10*0.25/6)</f>
        <v>0</v>
      </c>
      <c r="G11" s="278">
        <f>IF(admin="sf161",VLOOKUP(G6,whatif,6,FALSE),ENROLLMENT!AE15*ENROLLMENT!AE10*0.25/6)</f>
        <v>0</v>
      </c>
      <c r="H11" s="278">
        <f>IF(admin="sf161",VLOOKUP(H6,whatif,6,FALSE),ENROLLMENT!AF15*ENROLLMENT!AF10*0.25/6)</f>
        <v>0</v>
      </c>
      <c r="I11" s="278">
        <f>IF(admin="sf161",VLOOKUP(I6,whatif,6,FALSE),ENROLLMENT!AG15*ENROLLMENT!AG10*0.25/6)</f>
        <v>0</v>
      </c>
      <c r="J11" s="113">
        <f t="shared" si="0"/>
        <v>0</v>
      </c>
    </row>
    <row r="12" spans="1:10" ht="12.75">
      <c r="A12" s="115" t="s">
        <v>1054</v>
      </c>
      <c r="B12" s="278">
        <f>IF(admin="sf161",VLOOKUP(B6,whatif,7,FALSE),ENROLLMENT!Z16*ENROLLMENT!Z10*2.859/6)</f>
        <v>0</v>
      </c>
      <c r="C12" s="278">
        <f>IF(admin="sf161",VLOOKUP(C6,whatif,7,FALSE),ENROLLMENT!AA16*ENROLLMENT!AA10*2.859/6)</f>
        <v>0</v>
      </c>
      <c r="D12" s="278">
        <f>IF(admin="sf161",VLOOKUP(D6,whatif,7,FALSE),ENROLLMENT!AB16*ENROLLMENT!AB10*2.859/6)</f>
        <v>0</v>
      </c>
      <c r="E12" s="278">
        <f>IF(admin="sf161",VLOOKUP(E6,whatif,7,FALSE),ENROLLMENT!AC16*ENROLLMENT!AC10*2.859/6)</f>
        <v>0</v>
      </c>
      <c r="F12" s="278">
        <f>IF(admin="sf161",VLOOKUP(F6,whatif,7,FALSE),ENROLLMENT!AD16*ENROLLMENT!AD10*2.859/6)</f>
        <v>0</v>
      </c>
      <c r="G12" s="278">
        <f>IF(admin="sf161",VLOOKUP(G6,whatif,7,FALSE),ENROLLMENT!AE16*ENROLLMENT!AE10*2.859/6)</f>
        <v>0</v>
      </c>
      <c r="H12" s="278">
        <f>IF(admin="sf161",VLOOKUP(H6,whatif,7,FALSE),ENROLLMENT!AF16*ENROLLMENT!AF10*2.859/6)</f>
        <v>0</v>
      </c>
      <c r="I12" s="278">
        <f>IF(admin="sf161",VLOOKUP(I6,whatif,7,FALSE),ENROLLMENT!AG16*ENROLLMENT!AG10*2.859/6)</f>
        <v>0</v>
      </c>
      <c r="J12" s="113">
        <f t="shared" si="0"/>
        <v>0</v>
      </c>
    </row>
    <row r="13" spans="1:10" ht="12.75">
      <c r="A13" s="115" t="s">
        <v>1073</v>
      </c>
      <c r="B13" s="278">
        <f>IF(admin="sf161",VLOOKUP(B6,whatif,8,FALSE),ENROLLMENT!Z17*ENROLLMENT!Z10*2.859/6)</f>
        <v>0</v>
      </c>
      <c r="C13" s="278">
        <f>IF(admin="sf161",VLOOKUP(C6,whatif,8,FALSE),ENROLLMENT!AA17*ENROLLMENT!AA10*2.859/6)</f>
        <v>0</v>
      </c>
      <c r="D13" s="278">
        <f>IF(admin="sf161",VLOOKUP(D6,whatif,8,FALSE),ENROLLMENT!AB17*ENROLLMENT!AB10*2.859/6)</f>
        <v>0</v>
      </c>
      <c r="E13" s="278">
        <f>IF(admin="sf161",VLOOKUP(E6,whatif,8,FALSE),ENROLLMENT!AC17*ENROLLMENT!AC10*2.859/6)</f>
        <v>0</v>
      </c>
      <c r="F13" s="278">
        <f>IF(admin="sf161",VLOOKUP(F6,whatif,8,FALSE),ENROLLMENT!AD17*ENROLLMENT!AD10*2.859/6)</f>
        <v>0</v>
      </c>
      <c r="G13" s="278">
        <f>IF(admin="sf161",VLOOKUP(G6,whatif,8,FALSE),ENROLLMENT!AE17*ENROLLMENT!AE10*2.859/6)</f>
        <v>0</v>
      </c>
      <c r="H13" s="278">
        <f>IF(admin="sf161",VLOOKUP(H6,whatif,8,FALSE),ENROLLMENT!AF17*ENROLLMENT!AF10*2.859/6)</f>
        <v>0</v>
      </c>
      <c r="I13" s="278">
        <f>IF(admin="sf161",VLOOKUP(I6,whatif,8,FALSE),ENROLLMENT!AG17*ENROLLMENT!AG10*2.859/6)</f>
        <v>0</v>
      </c>
      <c r="J13" s="113">
        <f t="shared" si="0"/>
        <v>0</v>
      </c>
    </row>
    <row r="14" spans="1:10" ht="12.75">
      <c r="A14" s="115" t="s">
        <v>897</v>
      </c>
      <c r="B14" s="278">
        <f>IF(admin="sf161",VLOOKUP(B6,whatif,9,FALSE),ENROLLMENT!Z18*ENROLLMENT!Z$10*2.859/6)</f>
        <v>0</v>
      </c>
      <c r="C14" s="278">
        <f>IF(admin="sf161",VLOOKUP(C6,whatif,9,FALSE),ENROLLMENT!AA18*ENROLLMENT!AA$10*2.859/6)</f>
        <v>0</v>
      </c>
      <c r="D14" s="278">
        <f>IF(admin="sf161",VLOOKUP(D6,whatif,9,FALSE),ENROLLMENT!AB18*ENROLLMENT!AB$10*2.859/6)</f>
        <v>0</v>
      </c>
      <c r="E14" s="278">
        <f>IF(admin="sf161",VLOOKUP(E6,whatif,9,FALSE),ENROLLMENT!AC18*ENROLLMENT!AC$10*2.859/6)</f>
        <v>0</v>
      </c>
      <c r="F14" s="278">
        <f>IF(admin="sf161",VLOOKUP(F6,whatif,9,FALSE),ENROLLMENT!AD18*ENROLLMENT!AD$10*2.859/6)</f>
        <v>0</v>
      </c>
      <c r="G14" s="278">
        <f>IF(admin="sf161",VLOOKUP(G6,whatif,9,FALSE),ENROLLMENT!AE18*ENROLLMENT!AE$10*2.859/6)</f>
        <v>0</v>
      </c>
      <c r="H14" s="278">
        <f>IF(admin="sf161",VLOOKUP(H6,whatif,9,FALSE),ENROLLMENT!AF18*ENROLLMENT!AF$10*2.859/6)</f>
        <v>0</v>
      </c>
      <c r="I14" s="278">
        <f>IF(admin="sf161",VLOOKUP(I6,whatif,9,FALSE),ENROLLMENT!AG18*ENROLLMENT!AG$10*2.859/6)</f>
        <v>0</v>
      </c>
      <c r="J14" s="113">
        <f t="shared" si="0"/>
        <v>0</v>
      </c>
    </row>
    <row r="15" spans="1:10" ht="12.75">
      <c r="A15" s="115" t="s">
        <v>1074</v>
      </c>
      <c r="B15" s="278">
        <f>IF(admin="sf161",VLOOKUP(B6,whatif,10,FALSE),ENROLLMENT!Z19*ENROLLMENT!Z10*4.25/6)</f>
        <v>0</v>
      </c>
      <c r="C15" s="278">
        <f>IF(admin="sf161",VLOOKUP(C6,whatif,10,FALSE),ENROLLMENT!AA19*ENROLLMENT!AA10*4.25/6)</f>
        <v>0</v>
      </c>
      <c r="D15" s="278">
        <f>IF(admin="sf161",VLOOKUP(D6,whatif,10,FALSE),ENROLLMENT!AB19*ENROLLMENT!AB10*4.25/6)</f>
        <v>0</v>
      </c>
      <c r="E15" s="278">
        <f>IF(admin="sf161",VLOOKUP(E6,whatif,10,FALSE),ENROLLMENT!AC19*ENROLLMENT!AC10*4.25/6)</f>
        <v>0</v>
      </c>
      <c r="F15" s="278">
        <f>IF(admin="sf161",VLOOKUP(F6,whatif,10,FALSE),ENROLLMENT!AD19*ENROLLMENT!AD10*4.25/6)</f>
        <v>0</v>
      </c>
      <c r="G15" s="278">
        <f>IF(admin="sf161",VLOOKUP(G6,whatif,10,FALSE),ENROLLMENT!AE19*ENROLLMENT!AE10*4.25/6)</f>
        <v>0</v>
      </c>
      <c r="H15" s="278">
        <f>IF(admin="sf161",VLOOKUP(H6,whatif,10,FALSE),ENROLLMENT!AF19*ENROLLMENT!AF10*4.25/6)</f>
        <v>0</v>
      </c>
      <c r="I15" s="278">
        <f>IF(admin="sf161",VLOOKUP(I6,whatif,10,FALSE),ENROLLMENT!AG19*ENROLLMENT!AG10*4.25/6)</f>
        <v>0</v>
      </c>
      <c r="J15" s="113">
        <f t="shared" si="0"/>
        <v>0</v>
      </c>
    </row>
    <row r="16" spans="1:10" ht="12.75">
      <c r="A16" s="115" t="s">
        <v>1057</v>
      </c>
      <c r="B16" s="278">
        <f>IF(admin="sf161",VLOOKUP(B6,whatif,11,FALSE),ENROLLMENT!Z20*ENROLLMENT!Z10*5.5/6)</f>
        <v>0</v>
      </c>
      <c r="C16" s="278">
        <f>IF(admin="sf161",VLOOKUP(C6,whatif,11,FALSE),ENROLLMENT!AA20*ENROLLMENT!AA10*5.5/6)</f>
        <v>0</v>
      </c>
      <c r="D16" s="278">
        <f>IF(admin="sf161",VLOOKUP(D6,whatif,11,FALSE),ENROLLMENT!AB20*ENROLLMENT!AB10*5.5/6)</f>
        <v>0</v>
      </c>
      <c r="E16" s="278">
        <f>IF(admin="sf161",VLOOKUP(E6,whatif,11,FALSE),ENROLLMENT!AC20*ENROLLMENT!AC10*5.5/6)</f>
        <v>0</v>
      </c>
      <c r="F16" s="278">
        <f>IF(admin="sf161",VLOOKUP(F6,whatif,11,FALSE),ENROLLMENT!AD20*ENROLLMENT!AD10*5.5/6)</f>
        <v>0</v>
      </c>
      <c r="G16" s="278">
        <f>IF(admin="sf161",VLOOKUP(G6,whatif,11,FALSE),ENROLLMENT!AE20*ENROLLMENT!AE10*5.5/6)</f>
        <v>0</v>
      </c>
      <c r="H16" s="278">
        <f>IF(admin="sf161",VLOOKUP(H6,whatif,11,FALSE),ENROLLMENT!AF20*ENROLLMENT!AF10*5.5/6)</f>
        <v>0</v>
      </c>
      <c r="I16" s="278">
        <f>IF(admin="sf161",VLOOKUP(I6,whatif,11,FALSE),ENROLLMENT!AG20*ENROLLMENT!AG10*5.5/6)</f>
        <v>0</v>
      </c>
      <c r="J16" s="113">
        <f t="shared" si="0"/>
        <v>0</v>
      </c>
    </row>
    <row r="17" spans="1:10" ht="12.75">
      <c r="A17" s="115" t="s">
        <v>1058</v>
      </c>
      <c r="B17" s="278">
        <f>IF(admin="sf161",VLOOKUP(B6,whatif,12,FALSE),ENROLLMENT!Z21*ENROLLMENT!Z10*5.5/6)</f>
        <v>0</v>
      </c>
      <c r="C17" s="278">
        <f>IF(admin="sf161",VLOOKUP(C6,whatif,12,FALSE),ENROLLMENT!AA21*ENROLLMENT!AA10*5.5/6)</f>
        <v>0</v>
      </c>
      <c r="D17" s="278">
        <f>IF(admin="sf161",VLOOKUP(D6,whatif,12,FALSE),ENROLLMENT!AB21*ENROLLMENT!AB10*5.5/6)</f>
        <v>0</v>
      </c>
      <c r="E17" s="278">
        <f>IF(admin="sf161",VLOOKUP(E6,whatif,12,FALSE),ENROLLMENT!AC21*ENROLLMENT!AC10*5.5/6)</f>
        <v>0</v>
      </c>
      <c r="F17" s="278">
        <f>IF(admin="sf161",VLOOKUP(F6,whatif,12,FALSE),ENROLLMENT!AD21*ENROLLMENT!AD10*5.5/6)</f>
        <v>0</v>
      </c>
      <c r="G17" s="278">
        <f>IF(admin="sf161",VLOOKUP(G6,whatif,12,FALSE),ENROLLMENT!AE21*ENROLLMENT!AE10*5.5/6)</f>
        <v>0</v>
      </c>
      <c r="H17" s="278">
        <f>IF(admin="sf161",VLOOKUP(H6,whatif,12,FALSE),ENROLLMENT!AF21*ENROLLMENT!AF10*5.5/6)</f>
        <v>0</v>
      </c>
      <c r="I17" s="278">
        <f>IF(admin="sf161",VLOOKUP(I6,whatif,12,FALSE),ENROLLMENT!AG21*ENROLLMENT!AG10*5.5/6)</f>
        <v>0</v>
      </c>
      <c r="J17" s="113">
        <f t="shared" si="0"/>
        <v>0</v>
      </c>
    </row>
    <row r="18" spans="1:10" ht="12.75">
      <c r="A18" s="115" t="s">
        <v>1059</v>
      </c>
      <c r="B18" s="278">
        <f>IF(admin="sf161",VLOOKUP(B6,whatif,13,FALSE),ENROLLMENT!Z22*ENROLLMENT!Z10*5.5/6)</f>
        <v>0</v>
      </c>
      <c r="C18" s="278">
        <f>IF(admin="sf161",VLOOKUP(C6,whatif,13,FALSE),ENROLLMENT!AA22*ENROLLMENT!AA10*5.5/6)</f>
        <v>0</v>
      </c>
      <c r="D18" s="278">
        <f>IF(admin="sf161",VLOOKUP(D6,whatif,13,FALSE),ENROLLMENT!AB22*ENROLLMENT!AB10*5.5/6)</f>
        <v>0</v>
      </c>
      <c r="E18" s="278">
        <f>IF(admin="sf161",VLOOKUP(E6,whatif,13,FALSE),ENROLLMENT!AC22*ENROLLMENT!AC10*5.5/6)</f>
        <v>0</v>
      </c>
      <c r="F18" s="278">
        <f>IF(admin="sf161",VLOOKUP(F6,whatif,13,FALSE),ENROLLMENT!AD22*ENROLLMENT!AD10*5.5/6)</f>
        <v>0</v>
      </c>
      <c r="G18" s="278">
        <f>IF(admin="sf161",VLOOKUP(G6,whatif,13,FALSE),ENROLLMENT!AE22*ENROLLMENT!AE10*5.5/6)</f>
        <v>0</v>
      </c>
      <c r="H18" s="278">
        <f>IF(admin="sf161",VLOOKUP(H6,whatif,13,FALSE),ENROLLMENT!AF22*ENROLLMENT!AF10*5.5/6)</f>
        <v>0</v>
      </c>
      <c r="I18" s="278">
        <f>IF(admin="sf161",VLOOKUP(I6,whatif,13,FALSE),ENROLLMENT!AG22*ENROLLMENT!AG10*5.5/6)</f>
        <v>0</v>
      </c>
      <c r="J18" s="113">
        <f t="shared" si="0"/>
        <v>0</v>
      </c>
    </row>
    <row r="19" spans="1:10" ht="12.75">
      <c r="A19" s="116" t="s">
        <v>1060</v>
      </c>
      <c r="B19" s="278">
        <f aca="true" t="shared" si="1" ref="B19:I19">SUM(B9:B18)</f>
        <v>0</v>
      </c>
      <c r="C19" s="278">
        <f t="shared" si="1"/>
        <v>0</v>
      </c>
      <c r="D19" s="278">
        <f t="shared" si="1"/>
        <v>0</v>
      </c>
      <c r="E19" s="278">
        <f t="shared" si="1"/>
        <v>0</v>
      </c>
      <c r="F19" s="278">
        <f t="shared" si="1"/>
        <v>0</v>
      </c>
      <c r="G19" s="278">
        <f t="shared" si="1"/>
        <v>0</v>
      </c>
      <c r="H19" s="278">
        <f t="shared" si="1"/>
        <v>0</v>
      </c>
      <c r="I19" s="278">
        <f t="shared" si="1"/>
        <v>0</v>
      </c>
      <c r="J19" s="113">
        <f t="shared" si="0"/>
        <v>0</v>
      </c>
    </row>
    <row r="20" spans="1:10" ht="12.75">
      <c r="A20" s="116" t="s">
        <v>1061</v>
      </c>
      <c r="B20" s="278">
        <f aca="true" t="shared" si="2" ref="B20:I20">(B9*5)+(B10*3)+(B11*5)+(B12*3)+(B13*3)+(B14*3)+(B15*2.7)+(B16*2.3)+(B17*2.8)+(B18*4)</f>
        <v>0</v>
      </c>
      <c r="C20" s="278">
        <f t="shared" si="2"/>
        <v>0</v>
      </c>
      <c r="D20" s="278">
        <f t="shared" si="2"/>
        <v>0</v>
      </c>
      <c r="E20" s="278">
        <f t="shared" si="2"/>
        <v>0</v>
      </c>
      <c r="F20" s="278">
        <f t="shared" si="2"/>
        <v>0</v>
      </c>
      <c r="G20" s="278">
        <f t="shared" si="2"/>
        <v>0</v>
      </c>
      <c r="H20" s="278">
        <f t="shared" si="2"/>
        <v>0</v>
      </c>
      <c r="I20" s="278">
        <f t="shared" si="2"/>
        <v>0</v>
      </c>
      <c r="J20" s="113">
        <f t="shared" si="0"/>
        <v>0</v>
      </c>
    </row>
    <row r="21" spans="1:10" ht="12.75">
      <c r="A21" s="116" t="s">
        <v>1175</v>
      </c>
      <c r="B21" s="278">
        <f>VLOOKUP(B6,'MAINFRAME WHATIF'!$C$3:$AH$43,32,FALSE)</f>
        <v>0</v>
      </c>
      <c r="C21" s="278">
        <f>VLOOKUP(C6,'MAINFRAME WHATIF'!$C$3:$AH$43,32,FALSE)</f>
        <v>0</v>
      </c>
      <c r="D21" s="278">
        <f>VLOOKUP(D6,'MAINFRAME WHATIF'!$C$3:$AH$43,32,FALSE)</f>
        <v>0</v>
      </c>
      <c r="E21" s="278">
        <f>VLOOKUP(E6,'MAINFRAME WHATIF'!$C$3:$AH$43,32,FALSE)</f>
        <v>0</v>
      </c>
      <c r="F21" s="278">
        <f>VLOOKUP(F6,'MAINFRAME WHATIF'!$C$3:$AH$43,32,FALSE)</f>
        <v>0</v>
      </c>
      <c r="G21" s="278">
        <f>VLOOKUP(G6,'MAINFRAME WHATIF'!$C$3:$AH$43,32,FALSE)</f>
        <v>0</v>
      </c>
      <c r="H21" s="278">
        <f>VLOOKUP(H6,'MAINFRAME WHATIF'!$C$3:$AH$43,32,FALSE)</f>
        <v>0</v>
      </c>
      <c r="I21" s="278">
        <f>VLOOKUP(I6,'MAINFRAME WHATIF'!$C$3:$AH$43,32,FALSE)</f>
        <v>0</v>
      </c>
      <c r="J21" s="113">
        <f t="shared" si="0"/>
        <v>0</v>
      </c>
    </row>
    <row r="22" spans="1:10" ht="12.75">
      <c r="A22" s="112" t="s">
        <v>877</v>
      </c>
      <c r="B22" s="278">
        <f>IF(admin="sf161",VLOOKUP(B6,whatif,15,FALSE),(ENROLLMENT!Z25*ENROLLMENT!Z10*0.17)+(ENROLLMENT!Z26*ENROLLMENT!Z10*0.33)+(ENROLLMENT!Z27*ENROLLMENT!Z10*0.5)+(ENROLLMENT!Z28*ENROLLMENT!Z10*0.67)+(ENROLLMENT!Z29*ENROLLMENT!Z10*0.83)+(ENROLLMENT!Z30*ENROLLMENT!Z10*1))</f>
        <v>0</v>
      </c>
      <c r="C22" s="278">
        <f>IF(admin="sf161",VLOOKUP(C6,whatif,15,FALSE),(ENROLLMENT!AA25*ENROLLMENT!AA10*0.17)+(ENROLLMENT!AA26*ENROLLMENT!AA10*0.33)+(ENROLLMENT!AA27*ENROLLMENT!AA10*0.5)+(ENROLLMENT!AA28*ENROLLMENT!AA10*0.67)+(ENROLLMENT!AA29*ENROLLMENT!AA10*0.83)+(ENROLLMENT!AA30*ENROLLMENT!AA10*1))</f>
        <v>0</v>
      </c>
      <c r="D22" s="278">
        <f>IF(admin="sf161",VLOOKUP(D6,whatif,15,FALSE),(ENROLLMENT!AB25*ENROLLMENT!AB10*0.17)+(ENROLLMENT!AB26*ENROLLMENT!AB10*0.33)+(ENROLLMENT!AB27*ENROLLMENT!AB10*0.5)+(ENROLLMENT!AB28*ENROLLMENT!AB10*0.67)+(ENROLLMENT!AB29*ENROLLMENT!AB10*0.83)+(ENROLLMENT!AB30*ENROLLMENT!AB10*1))</f>
        <v>0</v>
      </c>
      <c r="E22" s="278">
        <f>IF(admin="sf161",VLOOKUP(E6,whatif,15,FALSE),(ENROLLMENT!AC25*ENROLLMENT!AC10*0.17)+(ENROLLMENT!AC26*ENROLLMENT!AC10*0.33)+(ENROLLMENT!AC27*ENROLLMENT!AC10*0.5)+(ENROLLMENT!AC28*ENROLLMENT!AC10*0.67)+(ENROLLMENT!AC29*ENROLLMENT!AC10*0.83)+(ENROLLMENT!AC30*ENROLLMENT!AC10*1))</f>
        <v>0</v>
      </c>
      <c r="F22" s="278">
        <f>IF(admin="sf161",VLOOKUP(F6,whatif,15,FALSE),(ENROLLMENT!AD25*ENROLLMENT!AD10*0.17)+(ENROLLMENT!AD26*ENROLLMENT!AD10*0.33)+(ENROLLMENT!AD27*ENROLLMENT!AD10*0.5)+(ENROLLMENT!AD28*ENROLLMENT!AD10*0.67)+(ENROLLMENT!AD29*ENROLLMENT!AD10*0.83)+(ENROLLMENT!AD30*ENROLLMENT!AD10*1))</f>
        <v>0</v>
      </c>
      <c r="G22" s="278">
        <f>IF(admin="sf161",VLOOKUP(G6,whatif,15,FALSE),(ENROLLMENT!AE25*ENROLLMENT!AE10*0.17)+(ENROLLMENT!AE26*ENROLLMENT!AE10*0.33)+(ENROLLMENT!AE27*ENROLLMENT!AE10*0.5)+(ENROLLMENT!AE28*ENROLLMENT!AE10*0.67)+(ENROLLMENT!AE29*ENROLLMENT!AE10*0.83)+(ENROLLMENT!AE30*ENROLLMENT!AE10*1))</f>
        <v>0</v>
      </c>
      <c r="H22" s="278">
        <f>IF(admin="sf161",VLOOKUP(H6,whatif,15,FALSE),(ENROLLMENT!AF25*ENROLLMENT!AF10*0.17)+(ENROLLMENT!AF26*ENROLLMENT!AF10*0.33)+(ENROLLMENT!AF27*ENROLLMENT!AF10*0.5)+(ENROLLMENT!AF28*ENROLLMENT!AF10*0.67)+(ENROLLMENT!AF29*ENROLLMENT!AF10*0.83)+(ENROLLMENT!AF30*ENROLLMENT!AF10*1))</f>
        <v>0</v>
      </c>
      <c r="I22" s="278">
        <f>IF(admin="sf161",VLOOKUP(I6,whatif,15,FALSE),(ENROLLMENT!AG25*ENROLLMENT!AG10*0.17)+(ENROLLMENT!AG26*ENROLLMENT!AG10*0.33)+(ENROLLMENT!AG27*ENROLLMENT!AG10*0.5)+(ENROLLMENT!AG28*ENROLLMENT!AG10*0.67)+(ENROLLMENT!AG29*ENROLLMENT!AG10*0.83)+(ENROLLMENT!AG30*ENROLLMENT!AG10*1))</f>
        <v>0</v>
      </c>
      <c r="J22" s="113">
        <f t="shared" si="0"/>
        <v>0</v>
      </c>
    </row>
    <row r="23" spans="1:10" ht="12.75">
      <c r="A23" s="112" t="s">
        <v>878</v>
      </c>
      <c r="B23" s="278">
        <f aca="true" t="shared" si="3" ref="B23:I23">B7-B19-B22</f>
        <v>0</v>
      </c>
      <c r="C23" s="278">
        <f t="shared" si="3"/>
        <v>0</v>
      </c>
      <c r="D23" s="278">
        <f t="shared" si="3"/>
        <v>0</v>
      </c>
      <c r="E23" s="278">
        <f t="shared" si="3"/>
        <v>0</v>
      </c>
      <c r="F23" s="278">
        <f t="shared" si="3"/>
        <v>0</v>
      </c>
      <c r="G23" s="278">
        <f t="shared" si="3"/>
        <v>0</v>
      </c>
      <c r="H23" s="278">
        <f t="shared" si="3"/>
        <v>0</v>
      </c>
      <c r="I23" s="278">
        <f t="shared" si="3"/>
        <v>0</v>
      </c>
      <c r="J23" s="113">
        <f t="shared" si="0"/>
        <v>0</v>
      </c>
    </row>
    <row r="24" spans="1:10" ht="12.75">
      <c r="A24" s="112" t="s">
        <v>879</v>
      </c>
      <c r="B24" s="278">
        <f>IF(admin="sf161",VLOOKUP(B6,whatif,16,FALSE),ENROLLMENT!Z23*ENROLLMENT!Z10)</f>
        <v>0</v>
      </c>
      <c r="C24" s="278">
        <f>IF(admin="sf161",VLOOKUP(C6,whatif,16,FALSE),ENROLLMENT!AA23*ENROLLMENT!AA10)</f>
        <v>0</v>
      </c>
      <c r="D24" s="278">
        <f>IF(admin="sf161",VLOOKUP(D6,whatif,16,FALSE),ENROLLMENT!AB23*ENROLLMENT!AB10)</f>
        <v>0</v>
      </c>
      <c r="E24" s="278">
        <f>IF(admin="sf161",VLOOKUP(E6,whatif,16,FALSE),ENROLLMENT!AC23*ENROLLMENT!AC10)</f>
        <v>0</v>
      </c>
      <c r="F24" s="278">
        <f>IF(admin="sf161",VLOOKUP(F6,whatif,16,FALSE),ENROLLMENT!AD23*ENROLLMENT!AD10)</f>
        <v>0</v>
      </c>
      <c r="G24" s="278">
        <f>IF(admin="sf161",VLOOKUP(G6,whatif,16,FALSE),ENROLLMENT!AE23*ENROLLMENT!AE10)</f>
        <v>0</v>
      </c>
      <c r="H24" s="278">
        <f>IF(admin="sf161",VLOOKUP(H6,whatif,16,FALSE),ENROLLMENT!AF23*ENROLLMENT!AF10)</f>
        <v>0</v>
      </c>
      <c r="I24" s="278">
        <f>IF(admin="sf161",VLOOKUP(I6,whatif,16,FALSE),ENROLLMENT!AG23*ENROLLMENT!AG10)</f>
        <v>0</v>
      </c>
      <c r="J24" s="113">
        <f t="shared" si="0"/>
        <v>0</v>
      </c>
    </row>
    <row r="25" spans="1:10" ht="12.75">
      <c r="A25" s="112" t="s">
        <v>874</v>
      </c>
      <c r="B25" s="278">
        <f>IF(admin="sf161",VLOOKUP(B6,whatif,17,FALSE),IF(ENROLLMENT!Z31&lt;B7*0.05,ENROLLMENT!Z31,B7*0.05))</f>
        <v>0</v>
      </c>
      <c r="C25" s="278">
        <f>IF(admin="sf161",VLOOKUP(C6,whatif,17,FALSE),IF(ENROLLMENT!AA31&lt;C7*0.05,ENROLLMENT!AA31,C7*0.05))</f>
        <v>0</v>
      </c>
      <c r="D25" s="278">
        <f>IF(admin="sf161",VLOOKUP(D6,whatif,17,FALSE),IF(ENROLLMENT!AB31&lt;D7*0.05,ENROLLMENT!AB31,D7*0.05))</f>
        <v>0</v>
      </c>
      <c r="E25" s="278">
        <f>IF(admin="sf161",VLOOKUP(E6,whatif,17,FALSE),IF(ENROLLMENT!AC31&lt;E7*0.05,ENROLLMENT!AC31,E7*0.05))</f>
        <v>0</v>
      </c>
      <c r="F25" s="278">
        <f>IF(admin="sf161",VLOOKUP(F6,whatif,17,FALSE),IF(ENROLLMENT!AD31&lt;F7*0.05,ENROLLMENT!AD31,F7*0.05))</f>
        <v>0</v>
      </c>
      <c r="G25" s="278">
        <f>IF(admin="sf161",VLOOKUP(G6,whatif,17,FALSE),IF(ENROLLMENT!AE31&lt;G7*0.05,ENROLLMENT!AE31,G7*0.05))</f>
        <v>0</v>
      </c>
      <c r="H25" s="278">
        <f>IF(admin="sf161",VLOOKUP(H6,whatif,17,FALSE),IF(ENROLLMENT!AF31&lt;H7*0.05,ENROLLMENT!AF31,H7*0.05))</f>
        <v>0</v>
      </c>
      <c r="I25" s="278">
        <f>IF(admin="sf161",VLOOKUP(I6,whatif,17,FALSE),IF(ENROLLMENT!AG31&lt;I7*0.05,ENROLLMENT!AG31,I7*0.05))</f>
        <v>0</v>
      </c>
      <c r="J25" s="113">
        <f t="shared" si="0"/>
        <v>0</v>
      </c>
    </row>
    <row r="26" spans="1:10" ht="12.75">
      <c r="A26" s="112" t="s">
        <v>1163</v>
      </c>
      <c r="B26" s="278">
        <f>IF(B25&lt;B7*0.05,B25,B7*0.05)</f>
        <v>0</v>
      </c>
      <c r="C26" s="278">
        <f aca="true" t="shared" si="4" ref="C26:I26">IF(C25&lt;C7*0.05,C25,C7*0.05)</f>
        <v>0</v>
      </c>
      <c r="D26" s="278">
        <f t="shared" si="4"/>
        <v>0</v>
      </c>
      <c r="E26" s="278">
        <f t="shared" si="4"/>
        <v>0</v>
      </c>
      <c r="F26" s="278">
        <f t="shared" si="4"/>
        <v>0</v>
      </c>
      <c r="G26" s="278">
        <f t="shared" si="4"/>
        <v>0</v>
      </c>
      <c r="H26" s="278">
        <f t="shared" si="4"/>
        <v>0</v>
      </c>
      <c r="I26" s="278">
        <f t="shared" si="4"/>
        <v>0</v>
      </c>
      <c r="J26" s="113">
        <f t="shared" si="0"/>
        <v>0</v>
      </c>
    </row>
    <row r="27" spans="1:10" ht="12.75">
      <c r="A27" s="112" t="s">
        <v>880</v>
      </c>
      <c r="B27" s="278">
        <f>IF(admin="sf161",VLOOKUP(B6,whatif,18,FALSE),ENROLLMENT!Z32)</f>
        <v>0</v>
      </c>
      <c r="C27" s="278">
        <f>IF(admin="sf161",VLOOKUP(C6,whatif,18,FALSE),ENROLLMENT!AA32)</f>
        <v>0</v>
      </c>
      <c r="D27" s="278">
        <f>IF(admin="sf161",VLOOKUP(D6,whatif,18,FALSE),ENROLLMENT!AB32)</f>
        <v>0</v>
      </c>
      <c r="E27" s="278">
        <f>IF(admin="sf161",VLOOKUP(E6,whatif,18,FALSE),ENROLLMENT!AC32)</f>
        <v>0</v>
      </c>
      <c r="F27" s="278">
        <f>IF(admin="sf161",VLOOKUP(F6,whatif,18,FALSE),ENROLLMENT!AD32)</f>
        <v>0</v>
      </c>
      <c r="G27" s="278">
        <f>IF(admin="sf161",VLOOKUP(G6,whatif,18,FALSE),ENROLLMENT!AE32)</f>
        <v>0</v>
      </c>
      <c r="H27" s="278">
        <f>IF(admin="sf161",VLOOKUP(H6,whatif,18,FALSE),ENROLLMENT!AF32)</f>
        <v>0</v>
      </c>
      <c r="I27" s="278">
        <f>IF(admin="sf161",VLOOKUP(I6,whatif,18,FALSE),ENROLLMENT!AG32)</f>
        <v>0</v>
      </c>
      <c r="J27" s="113">
        <f t="shared" si="0"/>
        <v>0</v>
      </c>
    </row>
    <row r="28" spans="1:10" ht="12.75">
      <c r="A28" s="112" t="s">
        <v>1076</v>
      </c>
      <c r="B28" s="278">
        <f>IF(admin="sf161",VLOOKUP(B6,whatif,19,FALSE),ENROLLMENT!Z33*ENROLLMENT!Z10*0.2936)</f>
        <v>0</v>
      </c>
      <c r="C28" s="278">
        <f>IF(admin="sf161",VLOOKUP(C6,whatif,19,FALSE),ENROLLMENT!AA33*ENROLLMENT!AA10*0.2936)</f>
        <v>0</v>
      </c>
      <c r="D28" s="278">
        <f>IF(admin="sf161",VLOOKUP(D6,whatif,19,FALSE),ENROLLMENT!AB33*ENROLLMENT!AB10*0.2936)</f>
        <v>0</v>
      </c>
      <c r="E28" s="278">
        <f>IF(admin="sf161",VLOOKUP(E6,whatif,19,FALSE),ENROLLMENT!AC33*ENROLLMENT!AC10*0.2936)</f>
        <v>0</v>
      </c>
      <c r="F28" s="278">
        <f>IF(admin="sf161",VLOOKUP(F6,whatif,19,FALSE),ENROLLMENT!AD33*ENROLLMENT!AD10*0.2936)</f>
        <v>0</v>
      </c>
      <c r="G28" s="278">
        <f>IF(admin="sf161",VLOOKUP(G6,whatif,19,FALSE),ENROLLMENT!AE33*ENROLLMENT!AE10*0.2936)</f>
        <v>0</v>
      </c>
      <c r="H28" s="278">
        <f>IF(admin="sf161",VLOOKUP(H6,whatif,19,FALSE),ENROLLMENT!AF33*ENROLLMENT!AF10*0.2936)</f>
        <v>0</v>
      </c>
      <c r="I28" s="278">
        <f>IF(admin="sf161",VLOOKUP(I6,whatif,19,FALSE),ENROLLMENT!AG33*ENROLLMENT!AG10*0.2936)</f>
        <v>0</v>
      </c>
      <c r="J28" s="113">
        <f t="shared" si="0"/>
        <v>0</v>
      </c>
    </row>
    <row r="29" spans="1:10" ht="12.75">
      <c r="A29" s="112" t="s">
        <v>882</v>
      </c>
      <c r="B29" s="278">
        <f>IF(admin="sf161",VLOOKUP(B6,whatif,20,FALSE),ENROLLMENT!Z34*ENROLLMENT!Z10)</f>
        <v>0</v>
      </c>
      <c r="C29" s="278">
        <f>IF(admin="sf161",VLOOKUP(C6,whatif,20,FALSE),ENROLLMENT!AA34*ENROLLMENT!AA10)</f>
        <v>0</v>
      </c>
      <c r="D29" s="278">
        <f>IF(admin="sf161",VLOOKUP(D6,whatif,20,FALSE),ENROLLMENT!AB34*ENROLLMENT!AB10)</f>
        <v>0</v>
      </c>
      <c r="E29" s="278">
        <f>IF(admin="sf161",VLOOKUP(E6,whatif,20,FALSE),ENROLLMENT!AC34*ENROLLMENT!AC10)</f>
        <v>0</v>
      </c>
      <c r="F29" s="278">
        <f>IF(admin="sf161",VLOOKUP(F6,whatif,20,FALSE),ENROLLMENT!AD34*ENROLLMENT!AD10)</f>
        <v>0</v>
      </c>
      <c r="G29" s="278">
        <f>IF(admin="sf161",VLOOKUP(G6,whatif,20,FALSE),ENROLLMENT!AE34*ENROLLMENT!AE10)</f>
        <v>0</v>
      </c>
      <c r="H29" s="278">
        <f>IF(admin="sf161",VLOOKUP(H6,whatif,20,FALSE),ENROLLMENT!AF34*ENROLLMENT!AF10)</f>
        <v>0</v>
      </c>
      <c r="I29" s="278">
        <f>IF(admin="sf161",VLOOKUP(I6,whatif,20,FALSE),ENROLLMENT!AG34*ENROLLMENT!AG10)</f>
        <v>0</v>
      </c>
      <c r="J29" s="93">
        <f t="shared" si="0"/>
        <v>0</v>
      </c>
    </row>
    <row r="30" spans="1:10" ht="12.75">
      <c r="A30" s="112"/>
      <c r="B30" s="117"/>
      <c r="C30" s="117"/>
      <c r="D30" s="117"/>
      <c r="E30" s="117"/>
      <c r="F30" s="117"/>
      <c r="G30" s="117"/>
      <c r="H30" s="117"/>
      <c r="I30" s="117"/>
      <c r="J30" s="117"/>
    </row>
    <row r="31" spans="1:10" ht="12.75">
      <c r="A31" s="112" t="s">
        <v>883</v>
      </c>
      <c r="B31" s="118">
        <f>B23</f>
        <v>0</v>
      </c>
      <c r="C31" s="118">
        <f aca="true" t="shared" si="5" ref="C31:I31">C23</f>
        <v>0</v>
      </c>
      <c r="D31" s="118">
        <f t="shared" si="5"/>
        <v>0</v>
      </c>
      <c r="E31" s="118">
        <f t="shared" si="5"/>
        <v>0</v>
      </c>
      <c r="F31" s="118">
        <f t="shared" si="5"/>
        <v>0</v>
      </c>
      <c r="G31" s="118">
        <f t="shared" si="5"/>
        <v>0</v>
      </c>
      <c r="H31" s="118">
        <f t="shared" si="5"/>
        <v>0</v>
      </c>
      <c r="I31" s="118">
        <f t="shared" si="5"/>
        <v>0</v>
      </c>
      <c r="J31" s="118">
        <f t="shared" si="0"/>
        <v>0</v>
      </c>
    </row>
    <row r="32" spans="1:10" ht="12.75">
      <c r="A32" s="112" t="s">
        <v>884</v>
      </c>
      <c r="B32" s="118">
        <f>B20</f>
        <v>0</v>
      </c>
      <c r="C32" s="118">
        <f aca="true" t="shared" si="6" ref="C32:I32">C20</f>
        <v>0</v>
      </c>
      <c r="D32" s="118">
        <f t="shared" si="6"/>
        <v>0</v>
      </c>
      <c r="E32" s="118">
        <f t="shared" si="6"/>
        <v>0</v>
      </c>
      <c r="F32" s="118">
        <f t="shared" si="6"/>
        <v>0</v>
      </c>
      <c r="G32" s="118">
        <f t="shared" si="6"/>
        <v>0</v>
      </c>
      <c r="H32" s="118">
        <f t="shared" si="6"/>
        <v>0</v>
      </c>
      <c r="I32" s="118">
        <f t="shared" si="6"/>
        <v>0</v>
      </c>
      <c r="J32" s="119">
        <f t="shared" si="0"/>
        <v>0</v>
      </c>
    </row>
    <row r="33" spans="1:10" ht="12.75">
      <c r="A33" s="112" t="s">
        <v>885</v>
      </c>
      <c r="B33" s="118">
        <f>B24*1.1</f>
        <v>0</v>
      </c>
      <c r="C33" s="118">
        <f aca="true" t="shared" si="7" ref="C33:I33">C24*1.1</f>
        <v>0</v>
      </c>
      <c r="D33" s="118">
        <f t="shared" si="7"/>
        <v>0</v>
      </c>
      <c r="E33" s="118">
        <f t="shared" si="7"/>
        <v>0</v>
      </c>
      <c r="F33" s="118">
        <f t="shared" si="7"/>
        <v>0</v>
      </c>
      <c r="G33" s="118">
        <f t="shared" si="7"/>
        <v>0</v>
      </c>
      <c r="H33" s="118">
        <f t="shared" si="7"/>
        <v>0</v>
      </c>
      <c r="I33" s="118">
        <f t="shared" si="7"/>
        <v>0</v>
      </c>
      <c r="J33" s="119">
        <f t="shared" si="0"/>
        <v>0</v>
      </c>
    </row>
    <row r="34" spans="1:10" ht="12.75">
      <c r="A34" s="112" t="s">
        <v>886</v>
      </c>
      <c r="B34" s="118">
        <f aca="true" t="shared" si="8" ref="B34:I34">B22*1.35</f>
        <v>0</v>
      </c>
      <c r="C34" s="118">
        <f t="shared" si="8"/>
        <v>0</v>
      </c>
      <c r="D34" s="118">
        <f t="shared" si="8"/>
        <v>0</v>
      </c>
      <c r="E34" s="118">
        <f t="shared" si="8"/>
        <v>0</v>
      </c>
      <c r="F34" s="118">
        <f t="shared" si="8"/>
        <v>0</v>
      </c>
      <c r="G34" s="118">
        <f t="shared" si="8"/>
        <v>0</v>
      </c>
      <c r="H34" s="118">
        <f t="shared" si="8"/>
        <v>0</v>
      </c>
      <c r="I34" s="118">
        <f t="shared" si="8"/>
        <v>0</v>
      </c>
      <c r="J34" s="119">
        <f t="shared" si="0"/>
        <v>0</v>
      </c>
    </row>
    <row r="35" spans="1:10" ht="12.75">
      <c r="A35" s="112" t="s">
        <v>887</v>
      </c>
      <c r="B35" s="118">
        <f>B26*0.12</f>
        <v>0</v>
      </c>
      <c r="C35" s="118">
        <f aca="true" t="shared" si="9" ref="C35:I35">C26*0.12</f>
        <v>0</v>
      </c>
      <c r="D35" s="118">
        <f t="shared" si="9"/>
        <v>0</v>
      </c>
      <c r="E35" s="118">
        <f t="shared" si="9"/>
        <v>0</v>
      </c>
      <c r="F35" s="118">
        <f t="shared" si="9"/>
        <v>0</v>
      </c>
      <c r="G35" s="118">
        <f t="shared" si="9"/>
        <v>0</v>
      </c>
      <c r="H35" s="118">
        <f t="shared" si="9"/>
        <v>0</v>
      </c>
      <c r="I35" s="118">
        <f t="shared" si="9"/>
        <v>0</v>
      </c>
      <c r="J35" s="119">
        <f t="shared" si="0"/>
        <v>0</v>
      </c>
    </row>
    <row r="36" spans="1:10" ht="12.75">
      <c r="A36" s="112" t="s">
        <v>888</v>
      </c>
      <c r="B36" s="118">
        <f>B27*0.2</f>
        <v>0</v>
      </c>
      <c r="C36" s="118">
        <f aca="true" t="shared" si="10" ref="C36:I36">C27*0.2</f>
        <v>0</v>
      </c>
      <c r="D36" s="118">
        <f t="shared" si="10"/>
        <v>0</v>
      </c>
      <c r="E36" s="118">
        <f t="shared" si="10"/>
        <v>0</v>
      </c>
      <c r="F36" s="118">
        <f t="shared" si="10"/>
        <v>0</v>
      </c>
      <c r="G36" s="118">
        <f t="shared" si="10"/>
        <v>0</v>
      </c>
      <c r="H36" s="118">
        <f t="shared" si="10"/>
        <v>0</v>
      </c>
      <c r="I36" s="118">
        <f t="shared" si="10"/>
        <v>0</v>
      </c>
      <c r="J36" s="119">
        <f t="shared" si="0"/>
        <v>0</v>
      </c>
    </row>
    <row r="37" spans="1:10" ht="12.75">
      <c r="A37" s="112" t="s">
        <v>1075</v>
      </c>
      <c r="B37" s="118">
        <f>B28*2.41</f>
        <v>0</v>
      </c>
      <c r="C37" s="118">
        <f aca="true" t="shared" si="11" ref="C37:I37">C28*2.41</f>
        <v>0</v>
      </c>
      <c r="D37" s="118">
        <f t="shared" si="11"/>
        <v>0</v>
      </c>
      <c r="E37" s="118">
        <f t="shared" si="11"/>
        <v>0</v>
      </c>
      <c r="F37" s="118">
        <f t="shared" si="11"/>
        <v>0</v>
      </c>
      <c r="G37" s="118">
        <f t="shared" si="11"/>
        <v>0</v>
      </c>
      <c r="H37" s="118">
        <f t="shared" si="11"/>
        <v>0</v>
      </c>
      <c r="I37" s="118">
        <f t="shared" si="11"/>
        <v>0</v>
      </c>
      <c r="J37" s="119">
        <f t="shared" si="0"/>
        <v>0</v>
      </c>
    </row>
    <row r="38" spans="1:10" ht="12.75">
      <c r="A38" s="112" t="s">
        <v>889</v>
      </c>
      <c r="B38" s="118">
        <f>B29*0.1</f>
        <v>0</v>
      </c>
      <c r="C38" s="118">
        <f aca="true" t="shared" si="12" ref="C38:I38">C29*0.1</f>
        <v>0</v>
      </c>
      <c r="D38" s="118">
        <f t="shared" si="12"/>
        <v>0</v>
      </c>
      <c r="E38" s="118">
        <f t="shared" si="12"/>
        <v>0</v>
      </c>
      <c r="F38" s="118">
        <f t="shared" si="12"/>
        <v>0</v>
      </c>
      <c r="G38" s="118">
        <f t="shared" si="12"/>
        <v>0</v>
      </c>
      <c r="H38" s="118">
        <f t="shared" si="12"/>
        <v>0</v>
      </c>
      <c r="I38" s="118">
        <f t="shared" si="12"/>
        <v>0</v>
      </c>
      <c r="J38" s="119">
        <f t="shared" si="0"/>
        <v>0</v>
      </c>
    </row>
    <row r="39" spans="1:10" ht="12.75">
      <c r="A39" s="112"/>
      <c r="B39" s="93">
        <f>B21</f>
        <v>0</v>
      </c>
      <c r="C39" s="93">
        <f aca="true" t="shared" si="13" ref="C39:I39">C21</f>
        <v>0</v>
      </c>
      <c r="D39" s="93">
        <f t="shared" si="13"/>
        <v>0</v>
      </c>
      <c r="E39" s="93">
        <f t="shared" si="13"/>
        <v>0</v>
      </c>
      <c r="F39" s="93">
        <f t="shared" si="13"/>
        <v>0</v>
      </c>
      <c r="G39" s="93">
        <f t="shared" si="13"/>
        <v>0</v>
      </c>
      <c r="H39" s="93">
        <f t="shared" si="13"/>
        <v>0</v>
      </c>
      <c r="I39" s="93">
        <f t="shared" si="13"/>
        <v>0</v>
      </c>
      <c r="J39" s="119">
        <f t="shared" si="0"/>
        <v>0</v>
      </c>
    </row>
    <row r="40" spans="1:10" ht="12.75">
      <c r="A40" s="115" t="s">
        <v>1062</v>
      </c>
      <c r="B40" s="120">
        <f>SUM(B31:B39)</f>
        <v>0</v>
      </c>
      <c r="C40" s="120">
        <f aca="true" t="shared" si="14" ref="C40:I40">SUM(C31:C39)</f>
        <v>0</v>
      </c>
      <c r="D40" s="120">
        <f t="shared" si="14"/>
        <v>0</v>
      </c>
      <c r="E40" s="120">
        <f t="shared" si="14"/>
        <v>0</v>
      </c>
      <c r="F40" s="120">
        <f t="shared" si="14"/>
        <v>0</v>
      </c>
      <c r="G40" s="120">
        <f t="shared" si="14"/>
        <v>0</v>
      </c>
      <c r="H40" s="120">
        <f t="shared" si="14"/>
        <v>0</v>
      </c>
      <c r="I40" s="120">
        <f t="shared" si="14"/>
        <v>0</v>
      </c>
      <c r="J40" s="118">
        <f t="shared" si="0"/>
        <v>0</v>
      </c>
    </row>
    <row r="41" spans="1:10" ht="12.75">
      <c r="A41" s="115"/>
      <c r="B41" s="120"/>
      <c r="C41" s="120"/>
      <c r="D41" s="120"/>
      <c r="E41" s="120"/>
      <c r="F41" s="120"/>
      <c r="G41" s="120"/>
      <c r="H41" s="120"/>
      <c r="I41" s="120"/>
      <c r="J41" s="118"/>
    </row>
    <row r="42" spans="1:10" ht="12.75">
      <c r="A42" s="112" t="s">
        <v>891</v>
      </c>
      <c r="B42" s="121">
        <f>B40*B45</f>
        <v>0</v>
      </c>
      <c r="C42" s="121">
        <f aca="true" t="shared" si="15" ref="C42:I42">C40*C45</f>
        <v>0</v>
      </c>
      <c r="D42" s="121">
        <f t="shared" si="15"/>
        <v>0</v>
      </c>
      <c r="E42" s="121">
        <f t="shared" si="15"/>
        <v>0</v>
      </c>
      <c r="F42" s="121">
        <f t="shared" si="15"/>
        <v>0</v>
      </c>
      <c r="G42" s="121">
        <f t="shared" si="15"/>
        <v>0</v>
      </c>
      <c r="H42" s="121">
        <f t="shared" si="15"/>
        <v>0</v>
      </c>
      <c r="I42" s="121">
        <f t="shared" si="15"/>
        <v>0</v>
      </c>
      <c r="J42" s="121">
        <f>SUM(B42:I42)</f>
        <v>0</v>
      </c>
    </row>
    <row r="43" spans="1:10" ht="12.75">
      <c r="A43" s="112"/>
      <c r="B43" s="112"/>
      <c r="C43" s="112"/>
      <c r="D43" s="112"/>
      <c r="E43" s="112"/>
      <c r="F43" s="112"/>
      <c r="G43" s="112"/>
      <c r="H43" s="112"/>
      <c r="I43" s="112"/>
      <c r="J43" s="112"/>
    </row>
    <row r="44" spans="1:10" ht="12.75">
      <c r="A44" s="122" t="s">
        <v>892</v>
      </c>
      <c r="B44" s="112"/>
      <c r="C44" s="112"/>
      <c r="D44" s="112"/>
      <c r="E44" s="112"/>
      <c r="F44" s="112"/>
      <c r="G44" s="112"/>
      <c r="H44" s="112"/>
      <c r="I44" s="112"/>
      <c r="J44" s="112"/>
    </row>
    <row r="45" spans="1:10" ht="12.75">
      <c r="A45" s="115" t="s">
        <v>900</v>
      </c>
      <c r="B45" s="123">
        <f>VLOOKUP(B$6,FSPVAR!$A:$F,3,FALSE)</f>
        <v>1</v>
      </c>
      <c r="C45" s="123">
        <f>VLOOKUP(C$6,FSPVAR!$A:$F,3,FALSE)</f>
        <v>1</v>
      </c>
      <c r="D45" s="123">
        <f>VLOOKUP(D$6,FSPVAR!$A:$F,3,FALSE)</f>
        <v>1</v>
      </c>
      <c r="E45" s="123">
        <f>VLOOKUP(E$6,FSPVAR!$A:$F,3,FALSE)</f>
        <v>1</v>
      </c>
      <c r="F45" s="123">
        <f>VLOOKUP(F$6,FSPVAR!$A:$F,3,FALSE)</f>
        <v>1</v>
      </c>
      <c r="G45" s="123">
        <f>VLOOKUP(G$6,FSPVAR!$A:$F,3,FALSE)</f>
        <v>1</v>
      </c>
      <c r="H45" s="123">
        <f>VLOOKUP(H$6,FSPVAR!$A:$F,3,FALSE)</f>
        <v>1</v>
      </c>
      <c r="I45" s="123">
        <f>VLOOKUP(I$6,FSPVAR!$A:$F,3,FALSE)</f>
        <v>1</v>
      </c>
      <c r="J45" s="123"/>
    </row>
    <row r="46" spans="1:10" ht="12.75">
      <c r="A46" s="115" t="s">
        <v>893</v>
      </c>
      <c r="B46" s="124">
        <f>VLOOKUP(B$6,FSPVAR!$A:$F,4,FALSE)</f>
        <v>1</v>
      </c>
      <c r="C46" s="124">
        <f>VLOOKUP(C$6,FSPVAR!$A:$F,4,FALSE)</f>
        <v>1</v>
      </c>
      <c r="D46" s="124">
        <f>VLOOKUP(D$6,FSPVAR!$A:$F,4,FALSE)</f>
        <v>1</v>
      </c>
      <c r="E46" s="124">
        <f>VLOOKUP(E$6,FSPVAR!$A:$F,4,FALSE)</f>
        <v>1</v>
      </c>
      <c r="F46" s="124">
        <f>VLOOKUP(F$6,FSPVAR!$A:$F,4,FALSE)</f>
        <v>1</v>
      </c>
      <c r="G46" s="124">
        <f>VLOOKUP(G$6,FSPVAR!$A:$F,4,FALSE)</f>
        <v>1</v>
      </c>
      <c r="H46" s="124">
        <f>VLOOKUP(H$6,FSPVAR!$A:$F,4,FALSE)</f>
        <v>1</v>
      </c>
      <c r="I46" s="124">
        <f>VLOOKUP(I$6,FSPVAR!$A:$F,4,FALSE)</f>
        <v>1</v>
      </c>
      <c r="J46" s="124"/>
    </row>
    <row r="47" spans="1:10" ht="12.75">
      <c r="A47" s="115" t="s">
        <v>1063</v>
      </c>
      <c r="B47" s="124">
        <f>VLOOKUP(B$6,FSPVAR!$A:$F,5,FALSE)</f>
        <v>1</v>
      </c>
      <c r="C47" s="124">
        <f>VLOOKUP(C$6,FSPVAR!$A:$F,5,FALSE)</f>
        <v>1</v>
      </c>
      <c r="D47" s="124">
        <f>VLOOKUP(D$6,FSPVAR!$A:$F,5,FALSE)</f>
        <v>1</v>
      </c>
      <c r="E47" s="124">
        <f>VLOOKUP(E$6,FSPVAR!$A:$F,5,FALSE)</f>
        <v>1</v>
      </c>
      <c r="F47" s="124">
        <f>VLOOKUP(F$6,FSPVAR!$A:$F,5,FALSE)</f>
        <v>1</v>
      </c>
      <c r="G47" s="124">
        <f>VLOOKUP(G$6,FSPVAR!$A:$F,5,FALSE)</f>
        <v>1</v>
      </c>
      <c r="H47" s="124">
        <f>VLOOKUP(H$6,FSPVAR!$A:$F,5,FALSE)</f>
        <v>1</v>
      </c>
      <c r="I47" s="124">
        <f>VLOOKUP(I$6,FSPVAR!$A:$F,5,FALSE)</f>
        <v>1</v>
      </c>
      <c r="J47" s="124"/>
    </row>
    <row r="48" spans="1:10" ht="12.75">
      <c r="A48" s="115" t="s">
        <v>1064</v>
      </c>
      <c r="B48" s="124">
        <f>VLOOKUP(B$6,FSPVAR!$A:$F,6,FALSE)</f>
        <v>1</v>
      </c>
      <c r="C48" s="124">
        <f>VLOOKUP(C$6,FSPVAR!$A:$F,6,FALSE)</f>
        <v>1</v>
      </c>
      <c r="D48" s="124">
        <f>VLOOKUP(D$6,FSPVAR!$A:$F,6,FALSE)</f>
        <v>1</v>
      </c>
      <c r="E48" s="124">
        <f>VLOOKUP(E$6,FSPVAR!$A:$F,6,FALSE)</f>
        <v>1</v>
      </c>
      <c r="F48" s="124">
        <f>VLOOKUP(F$6,FSPVAR!$A:$F,6,FALSE)</f>
        <v>1</v>
      </c>
      <c r="G48" s="124">
        <f>VLOOKUP(G$6,FSPVAR!$A:$F,6,FALSE)</f>
        <v>1</v>
      </c>
      <c r="H48" s="124">
        <f>VLOOKUP(H$6,FSPVAR!$A:$F,6,FALSE)</f>
        <v>1</v>
      </c>
      <c r="I48" s="124">
        <f>VLOOKUP(I$6,FSPVAR!$A:$F,6,FALSE)</f>
        <v>1</v>
      </c>
      <c r="J48" s="124"/>
    </row>
    <row r="49" spans="1:10" ht="12.75">
      <c r="A49" s="112"/>
      <c r="B49" s="112"/>
      <c r="C49" s="112"/>
      <c r="D49" s="112"/>
      <c r="E49" s="112"/>
      <c r="F49" s="112"/>
      <c r="G49" s="112"/>
      <c r="H49" s="112"/>
      <c r="I49" s="112"/>
      <c r="J49" s="112"/>
    </row>
    <row r="50" spans="1:10" ht="12.75">
      <c r="A50" s="191" t="s">
        <v>1072</v>
      </c>
      <c r="B50" s="192">
        <f>'RISD1-8'!B50</f>
        <v>0.4</v>
      </c>
      <c r="C50" s="192">
        <f aca="true" t="shared" si="16" ref="C50:I50">B50</f>
        <v>0.4</v>
      </c>
      <c r="D50" s="192">
        <f t="shared" si="16"/>
        <v>0.4</v>
      </c>
      <c r="E50" s="192">
        <f t="shared" si="16"/>
        <v>0.4</v>
      </c>
      <c r="F50" s="192">
        <f t="shared" si="16"/>
        <v>0.4</v>
      </c>
      <c r="G50" s="192">
        <f t="shared" si="16"/>
        <v>0.4</v>
      </c>
      <c r="H50" s="192">
        <f t="shared" si="16"/>
        <v>0.4</v>
      </c>
      <c r="I50" s="192">
        <f t="shared" si="16"/>
        <v>0.4</v>
      </c>
      <c r="J50" s="192"/>
    </row>
    <row r="51" spans="1:10" ht="12.75">
      <c r="A51" s="112"/>
      <c r="B51" s="112"/>
      <c r="C51" s="112"/>
      <c r="D51" s="112"/>
      <c r="E51" s="112"/>
      <c r="F51" s="112"/>
      <c r="G51" s="112"/>
      <c r="H51" s="112"/>
      <c r="I51" s="112"/>
      <c r="J51" s="112"/>
    </row>
    <row r="52" spans="1:10" ht="12.75">
      <c r="A52" s="125" t="s">
        <v>893</v>
      </c>
      <c r="B52" s="126">
        <f aca="true" t="shared" si="17" ref="B52:I52">IF(B46&lt;7001,B46*B7*B50,B7*7000*B50)</f>
        <v>0</v>
      </c>
      <c r="C52" s="126">
        <f t="shared" si="17"/>
        <v>0</v>
      </c>
      <c r="D52" s="126">
        <f t="shared" si="17"/>
        <v>0</v>
      </c>
      <c r="E52" s="126">
        <f t="shared" si="17"/>
        <v>0</v>
      </c>
      <c r="F52" s="126">
        <f t="shared" si="17"/>
        <v>0</v>
      </c>
      <c r="G52" s="126">
        <f t="shared" si="17"/>
        <v>0</v>
      </c>
      <c r="H52" s="126">
        <f t="shared" si="17"/>
        <v>0</v>
      </c>
      <c r="I52" s="126">
        <f t="shared" si="17"/>
        <v>0</v>
      </c>
      <c r="J52" s="126">
        <f>SUM(B52:I52)</f>
        <v>0</v>
      </c>
    </row>
    <row r="53" spans="1:10" ht="12.75">
      <c r="A53" s="125"/>
      <c r="B53" s="127"/>
      <c r="C53" s="127"/>
      <c r="D53" s="127"/>
      <c r="E53" s="127"/>
      <c r="F53" s="127"/>
      <c r="G53" s="127"/>
      <c r="H53" s="127"/>
      <c r="I53" s="127"/>
      <c r="J53" s="127"/>
    </row>
    <row r="54" spans="1:10" ht="12.75">
      <c r="A54" s="125" t="s">
        <v>894</v>
      </c>
      <c r="B54" s="126">
        <f aca="true" t="shared" si="18" ref="B54:I54">B47*B42*B50</f>
        <v>0</v>
      </c>
      <c r="C54" s="126">
        <f t="shared" si="18"/>
        <v>0</v>
      </c>
      <c r="D54" s="126">
        <f t="shared" si="18"/>
        <v>0</v>
      </c>
      <c r="E54" s="126">
        <f t="shared" si="18"/>
        <v>0</v>
      </c>
      <c r="F54" s="126">
        <f t="shared" si="18"/>
        <v>0</v>
      </c>
      <c r="G54" s="126">
        <f t="shared" si="18"/>
        <v>0</v>
      </c>
      <c r="H54" s="126">
        <f t="shared" si="18"/>
        <v>0</v>
      </c>
      <c r="I54" s="126">
        <f t="shared" si="18"/>
        <v>0</v>
      </c>
      <c r="J54" s="126">
        <f>SUM(B54:I54)</f>
        <v>0</v>
      </c>
    </row>
    <row r="55" spans="1:10" ht="12.75">
      <c r="A55" s="125"/>
      <c r="B55" s="127"/>
      <c r="C55" s="127"/>
      <c r="D55" s="127"/>
      <c r="E55" s="127"/>
      <c r="F55" s="127"/>
      <c r="G55" s="127"/>
      <c r="H55" s="127"/>
      <c r="I55" s="127"/>
      <c r="J55" s="127"/>
    </row>
    <row r="56" spans="1:10" ht="25.5">
      <c r="A56" s="125" t="s">
        <v>895</v>
      </c>
      <c r="B56" s="126">
        <f>IF(B52&gt;B54,B52,B54)</f>
        <v>0</v>
      </c>
      <c r="C56" s="126">
        <f aca="true" t="shared" si="19" ref="C56:I56">IF(C52&gt;C54,C52,C54)</f>
        <v>0</v>
      </c>
      <c r="D56" s="126">
        <f t="shared" si="19"/>
        <v>0</v>
      </c>
      <c r="E56" s="126">
        <f t="shared" si="19"/>
        <v>0</v>
      </c>
      <c r="F56" s="126">
        <f t="shared" si="19"/>
        <v>0</v>
      </c>
      <c r="G56" s="126">
        <f t="shared" si="19"/>
        <v>0</v>
      </c>
      <c r="H56" s="126">
        <f t="shared" si="19"/>
        <v>0</v>
      </c>
      <c r="I56" s="126">
        <f t="shared" si="19"/>
        <v>0</v>
      </c>
      <c r="J56" s="126">
        <f>SUM(B56:I56)</f>
        <v>0</v>
      </c>
    </row>
    <row r="57" spans="1:10" ht="12.75">
      <c r="A57" s="112"/>
      <c r="B57" s="128"/>
      <c r="C57" s="128"/>
      <c r="D57" s="128"/>
      <c r="E57" s="128"/>
      <c r="F57" s="128"/>
      <c r="G57" s="128"/>
      <c r="H57" s="128"/>
      <c r="I57" s="128"/>
      <c r="J57" s="128"/>
    </row>
    <row r="58" spans="1:10" ht="12.75">
      <c r="A58" s="129" t="s">
        <v>896</v>
      </c>
      <c r="B58" s="128"/>
      <c r="C58" s="128"/>
      <c r="D58" s="128"/>
      <c r="E58" s="128"/>
      <c r="F58" s="128"/>
      <c r="G58" s="128"/>
      <c r="H58" s="128"/>
      <c r="I58" s="128"/>
      <c r="J58" s="128"/>
    </row>
    <row r="59" spans="1:10" ht="12.75">
      <c r="A59" s="130" t="s">
        <v>914</v>
      </c>
      <c r="B59" s="131">
        <f aca="true" t="shared" si="20" ref="B59:I66">B31*B$48*B$50</f>
        <v>0</v>
      </c>
      <c r="C59" s="131">
        <f t="shared" si="20"/>
        <v>0</v>
      </c>
      <c r="D59" s="131">
        <f t="shared" si="20"/>
        <v>0</v>
      </c>
      <c r="E59" s="131">
        <f t="shared" si="20"/>
        <v>0</v>
      </c>
      <c r="F59" s="131">
        <f t="shared" si="20"/>
        <v>0</v>
      </c>
      <c r="G59" s="131">
        <f t="shared" si="20"/>
        <v>0</v>
      </c>
      <c r="H59" s="131">
        <f t="shared" si="20"/>
        <v>0</v>
      </c>
      <c r="I59" s="131">
        <f t="shared" si="20"/>
        <v>0</v>
      </c>
      <c r="J59" s="126">
        <f aca="true" t="shared" si="21" ref="J59:J73">SUM(B59:I59)</f>
        <v>0</v>
      </c>
    </row>
    <row r="60" spans="1:10" ht="12.75">
      <c r="A60" s="130" t="s">
        <v>1065</v>
      </c>
      <c r="B60" s="131">
        <f t="shared" si="20"/>
        <v>0</v>
      </c>
      <c r="C60" s="131">
        <f t="shared" si="20"/>
        <v>0</v>
      </c>
      <c r="D60" s="131">
        <f t="shared" si="20"/>
        <v>0</v>
      </c>
      <c r="E60" s="131">
        <f t="shared" si="20"/>
        <v>0</v>
      </c>
      <c r="F60" s="131">
        <f t="shared" si="20"/>
        <v>0</v>
      </c>
      <c r="G60" s="131">
        <f t="shared" si="20"/>
        <v>0</v>
      </c>
      <c r="H60" s="131">
        <f t="shared" si="20"/>
        <v>0</v>
      </c>
      <c r="I60" s="131">
        <f t="shared" si="20"/>
        <v>0</v>
      </c>
      <c r="J60" s="126">
        <f t="shared" si="21"/>
        <v>0</v>
      </c>
    </row>
    <row r="61" spans="1:10" ht="12.75">
      <c r="A61" s="130" t="s">
        <v>1066</v>
      </c>
      <c r="B61" s="131">
        <f t="shared" si="20"/>
        <v>0</v>
      </c>
      <c r="C61" s="131">
        <f t="shared" si="20"/>
        <v>0</v>
      </c>
      <c r="D61" s="131">
        <f t="shared" si="20"/>
        <v>0</v>
      </c>
      <c r="E61" s="131">
        <f t="shared" si="20"/>
        <v>0</v>
      </c>
      <c r="F61" s="131">
        <f t="shared" si="20"/>
        <v>0</v>
      </c>
      <c r="G61" s="131">
        <f t="shared" si="20"/>
        <v>0</v>
      </c>
      <c r="H61" s="131">
        <f t="shared" si="20"/>
        <v>0</v>
      </c>
      <c r="I61" s="131">
        <f t="shared" si="20"/>
        <v>0</v>
      </c>
      <c r="J61" s="126">
        <f t="shared" si="21"/>
        <v>0</v>
      </c>
    </row>
    <row r="62" spans="1:10" ht="12.75">
      <c r="A62" s="130" t="s">
        <v>1067</v>
      </c>
      <c r="B62" s="131">
        <f t="shared" si="20"/>
        <v>0</v>
      </c>
      <c r="C62" s="131">
        <f t="shared" si="20"/>
        <v>0</v>
      </c>
      <c r="D62" s="131">
        <f t="shared" si="20"/>
        <v>0</v>
      </c>
      <c r="E62" s="131">
        <f t="shared" si="20"/>
        <v>0</v>
      </c>
      <c r="F62" s="131">
        <f t="shared" si="20"/>
        <v>0</v>
      </c>
      <c r="G62" s="131">
        <f t="shared" si="20"/>
        <v>0</v>
      </c>
      <c r="H62" s="131">
        <f t="shared" si="20"/>
        <v>0</v>
      </c>
      <c r="I62" s="131">
        <f t="shared" si="20"/>
        <v>0</v>
      </c>
      <c r="J62" s="126">
        <f t="shared" si="21"/>
        <v>0</v>
      </c>
    </row>
    <row r="63" spans="1:10" ht="12.75">
      <c r="A63" s="130" t="s">
        <v>1068</v>
      </c>
      <c r="B63" s="131">
        <f t="shared" si="20"/>
        <v>0</v>
      </c>
      <c r="C63" s="131">
        <f t="shared" si="20"/>
        <v>0</v>
      </c>
      <c r="D63" s="131">
        <f t="shared" si="20"/>
        <v>0</v>
      </c>
      <c r="E63" s="131">
        <f t="shared" si="20"/>
        <v>0</v>
      </c>
      <c r="F63" s="131">
        <f t="shared" si="20"/>
        <v>0</v>
      </c>
      <c r="G63" s="131">
        <f t="shared" si="20"/>
        <v>0</v>
      </c>
      <c r="H63" s="131">
        <f t="shared" si="20"/>
        <v>0</v>
      </c>
      <c r="I63" s="131">
        <f t="shared" si="20"/>
        <v>0</v>
      </c>
      <c r="J63" s="126">
        <f t="shared" si="21"/>
        <v>0</v>
      </c>
    </row>
    <row r="64" spans="1:10" ht="12.75">
      <c r="A64" s="130" t="s">
        <v>1069</v>
      </c>
      <c r="B64" s="131">
        <f t="shared" si="20"/>
        <v>0</v>
      </c>
      <c r="C64" s="131">
        <f t="shared" si="20"/>
        <v>0</v>
      </c>
      <c r="D64" s="131">
        <f t="shared" si="20"/>
        <v>0</v>
      </c>
      <c r="E64" s="131">
        <f t="shared" si="20"/>
        <v>0</v>
      </c>
      <c r="F64" s="131">
        <f t="shared" si="20"/>
        <v>0</v>
      </c>
      <c r="G64" s="131">
        <f t="shared" si="20"/>
        <v>0</v>
      </c>
      <c r="H64" s="131">
        <f t="shared" si="20"/>
        <v>0</v>
      </c>
      <c r="I64" s="131">
        <f t="shared" si="20"/>
        <v>0</v>
      </c>
      <c r="J64" s="126">
        <f t="shared" si="21"/>
        <v>0</v>
      </c>
    </row>
    <row r="65" spans="1:10" ht="12.75">
      <c r="A65" s="130" t="s">
        <v>1070</v>
      </c>
      <c r="B65" s="131">
        <f t="shared" si="20"/>
        <v>0</v>
      </c>
      <c r="C65" s="131">
        <f t="shared" si="20"/>
        <v>0</v>
      </c>
      <c r="D65" s="131">
        <f t="shared" si="20"/>
        <v>0</v>
      </c>
      <c r="E65" s="131">
        <f t="shared" si="20"/>
        <v>0</v>
      </c>
      <c r="F65" s="131">
        <f t="shared" si="20"/>
        <v>0</v>
      </c>
      <c r="G65" s="131">
        <f t="shared" si="20"/>
        <v>0</v>
      </c>
      <c r="H65" s="131">
        <f t="shared" si="20"/>
        <v>0</v>
      </c>
      <c r="I65" s="131">
        <f t="shared" si="20"/>
        <v>0</v>
      </c>
      <c r="J65" s="126">
        <f t="shared" si="21"/>
        <v>0</v>
      </c>
    </row>
    <row r="66" spans="1:10" ht="12.75">
      <c r="A66" s="130" t="s">
        <v>1071</v>
      </c>
      <c r="B66" s="131">
        <f t="shared" si="20"/>
        <v>0</v>
      </c>
      <c r="C66" s="131">
        <f t="shared" si="20"/>
        <v>0</v>
      </c>
      <c r="D66" s="131">
        <f t="shared" si="20"/>
        <v>0</v>
      </c>
      <c r="E66" s="131">
        <f t="shared" si="20"/>
        <v>0</v>
      </c>
      <c r="F66" s="131">
        <f t="shared" si="20"/>
        <v>0</v>
      </c>
      <c r="G66" s="131">
        <f t="shared" si="20"/>
        <v>0</v>
      </c>
      <c r="H66" s="131">
        <f t="shared" si="20"/>
        <v>0</v>
      </c>
      <c r="I66" s="131">
        <f t="shared" si="20"/>
        <v>0</v>
      </c>
      <c r="J66" s="126">
        <f t="shared" si="21"/>
        <v>0</v>
      </c>
    </row>
    <row r="67" spans="1:10" ht="12.75">
      <c r="A67" s="152" t="s">
        <v>1177</v>
      </c>
      <c r="B67" s="131">
        <f>B21*B$48*B$50*0.75</f>
        <v>0</v>
      </c>
      <c r="C67" s="131">
        <f aca="true" t="shared" si="22" ref="C67:I67">C21*C$48*C$50*0.75</f>
        <v>0</v>
      </c>
      <c r="D67" s="131">
        <f t="shared" si="22"/>
        <v>0</v>
      </c>
      <c r="E67" s="131">
        <f t="shared" si="22"/>
        <v>0</v>
      </c>
      <c r="F67" s="131">
        <f t="shared" si="22"/>
        <v>0</v>
      </c>
      <c r="G67" s="131">
        <f t="shared" si="22"/>
        <v>0</v>
      </c>
      <c r="H67" s="131">
        <f t="shared" si="22"/>
        <v>0</v>
      </c>
      <c r="I67" s="131">
        <f t="shared" si="22"/>
        <v>0</v>
      </c>
      <c r="J67" s="126">
        <f t="shared" si="21"/>
        <v>0</v>
      </c>
    </row>
    <row r="68" spans="1:10" ht="15.75">
      <c r="A68" s="87" t="s">
        <v>934</v>
      </c>
      <c r="B68" s="131">
        <f>SUM(B59:B67)</f>
        <v>0</v>
      </c>
      <c r="C68" s="131">
        <f aca="true" t="shared" si="23" ref="C68:I68">SUM(C59:C67)</f>
        <v>0</v>
      </c>
      <c r="D68" s="131">
        <f t="shared" si="23"/>
        <v>0</v>
      </c>
      <c r="E68" s="131">
        <f t="shared" si="23"/>
        <v>0</v>
      </c>
      <c r="F68" s="131">
        <f t="shared" si="23"/>
        <v>0</v>
      </c>
      <c r="G68" s="131">
        <f t="shared" si="23"/>
        <v>0</v>
      </c>
      <c r="H68" s="131">
        <f t="shared" si="23"/>
        <v>0</v>
      </c>
      <c r="I68" s="131">
        <f t="shared" si="23"/>
        <v>0</v>
      </c>
      <c r="J68" s="126">
        <f t="shared" si="21"/>
        <v>0</v>
      </c>
    </row>
    <row r="69" spans="1:10" ht="16.5" thickBot="1">
      <c r="A69" s="87" t="s">
        <v>935</v>
      </c>
      <c r="B69" s="132">
        <f aca="true" t="shared" si="24" ref="B69:I69">IF(B52&gt;B54,B52-B68,B54-B68)</f>
        <v>0</v>
      </c>
      <c r="C69" s="132">
        <f t="shared" si="24"/>
        <v>0</v>
      </c>
      <c r="D69" s="132">
        <f t="shared" si="24"/>
        <v>0</v>
      </c>
      <c r="E69" s="132">
        <f t="shared" si="24"/>
        <v>0</v>
      </c>
      <c r="F69" s="132">
        <f t="shared" si="24"/>
        <v>0</v>
      </c>
      <c r="G69" s="132">
        <f t="shared" si="24"/>
        <v>0</v>
      </c>
      <c r="H69" s="132">
        <f t="shared" si="24"/>
        <v>0</v>
      </c>
      <c r="I69" s="132">
        <f t="shared" si="24"/>
        <v>0</v>
      </c>
      <c r="J69" s="133">
        <f t="shared" si="21"/>
        <v>0</v>
      </c>
    </row>
    <row r="70" spans="1:10" ht="16.5" thickBot="1">
      <c r="A70" s="88" t="s">
        <v>936</v>
      </c>
      <c r="B70" s="135">
        <f>B68+B69</f>
        <v>0</v>
      </c>
      <c r="C70" s="135">
        <f aca="true" t="shared" si="25" ref="C70:I70">C68+C69</f>
        <v>0</v>
      </c>
      <c r="D70" s="135">
        <f t="shared" si="25"/>
        <v>0</v>
      </c>
      <c r="E70" s="135">
        <f t="shared" si="25"/>
        <v>0</v>
      </c>
      <c r="F70" s="135">
        <f t="shared" si="25"/>
        <v>0</v>
      </c>
      <c r="G70" s="135">
        <f t="shared" si="25"/>
        <v>0</v>
      </c>
      <c r="H70" s="135">
        <f t="shared" si="25"/>
        <v>0</v>
      </c>
      <c r="I70" s="135">
        <f t="shared" si="25"/>
        <v>0</v>
      </c>
      <c r="J70" s="136">
        <f t="shared" si="21"/>
        <v>0</v>
      </c>
    </row>
    <row r="71" spans="1:10" ht="13.5" thickTop="1">
      <c r="A71" s="129" t="s">
        <v>912</v>
      </c>
      <c r="B71" s="137">
        <f aca="true" t="shared" si="26" ref="B71:I71">B7*30*B50</f>
        <v>0</v>
      </c>
      <c r="C71" s="137">
        <f t="shared" si="26"/>
        <v>0</v>
      </c>
      <c r="D71" s="137">
        <f t="shared" si="26"/>
        <v>0</v>
      </c>
      <c r="E71" s="137">
        <f t="shared" si="26"/>
        <v>0</v>
      </c>
      <c r="F71" s="137">
        <f t="shared" si="26"/>
        <v>0</v>
      </c>
      <c r="G71" s="137">
        <f t="shared" si="26"/>
        <v>0</v>
      </c>
      <c r="H71" s="137">
        <f t="shared" si="26"/>
        <v>0</v>
      </c>
      <c r="I71" s="137">
        <f t="shared" si="26"/>
        <v>0</v>
      </c>
      <c r="J71" s="138">
        <f t="shared" si="21"/>
        <v>0</v>
      </c>
    </row>
    <row r="72" spans="1:10" ht="12.75">
      <c r="A72" s="139" t="s">
        <v>913</v>
      </c>
      <c r="B72" s="140">
        <f aca="true" t="shared" si="27" ref="B72:I72">B42*110*B50</f>
        <v>0</v>
      </c>
      <c r="C72" s="140">
        <f t="shared" si="27"/>
        <v>0</v>
      </c>
      <c r="D72" s="140">
        <f t="shared" si="27"/>
        <v>0</v>
      </c>
      <c r="E72" s="140">
        <f t="shared" si="27"/>
        <v>0</v>
      </c>
      <c r="F72" s="140">
        <f t="shared" si="27"/>
        <v>0</v>
      </c>
      <c r="G72" s="140">
        <f t="shared" si="27"/>
        <v>0</v>
      </c>
      <c r="H72" s="140">
        <f t="shared" si="27"/>
        <v>0</v>
      </c>
      <c r="I72" s="140">
        <f t="shared" si="27"/>
        <v>0</v>
      </c>
      <c r="J72" s="141">
        <f t="shared" si="21"/>
        <v>0</v>
      </c>
    </row>
    <row r="73" spans="1:10" ht="13.5" thickBot="1">
      <c r="A73" s="134" t="s">
        <v>1039</v>
      </c>
      <c r="B73" s="142">
        <f>SUM(B70:B72)</f>
        <v>0</v>
      </c>
      <c r="C73" s="142">
        <f aca="true" t="shared" si="28" ref="C73:I73">SUM(C70:C72)</f>
        <v>0</v>
      </c>
      <c r="D73" s="142">
        <f t="shared" si="28"/>
        <v>0</v>
      </c>
      <c r="E73" s="142">
        <f t="shared" si="28"/>
        <v>0</v>
      </c>
      <c r="F73" s="142">
        <f t="shared" si="28"/>
        <v>0</v>
      </c>
      <c r="G73" s="142">
        <f t="shared" si="28"/>
        <v>0</v>
      </c>
      <c r="H73" s="142">
        <f t="shared" si="28"/>
        <v>0</v>
      </c>
      <c r="I73" s="142">
        <f t="shared" si="28"/>
        <v>0</v>
      </c>
      <c r="J73" s="143">
        <f t="shared" si="21"/>
        <v>0</v>
      </c>
    </row>
    <row r="74" ht="13.5" thickTop="1">
      <c r="C74" s="313">
        <f>SUM(C61:C69)</f>
        <v>0</v>
      </c>
    </row>
  </sheetData>
  <sheetProtection password="EE5D" sheet="1"/>
  <mergeCells count="3">
    <mergeCell ref="A1:J1"/>
    <mergeCell ref="A2:J2"/>
    <mergeCell ref="A3:J3"/>
  </mergeCells>
  <printOptions headings="1" horizontalCentered="1"/>
  <pageMargins left="0.5" right="0.5" top="1" bottom="1" header="0.5" footer="0.5"/>
  <pageSetup cellComments="asDisplayed" fitToHeight="1" fitToWidth="1" horizontalDpi="600" verticalDpi="600" orientation="portrait" scale="60" r:id="rId3"/>
  <headerFooter alignWithMargins="0">
    <oddFooter>&amp;C&amp;A
Printed on &amp;D</oddFooter>
  </headerFooter>
  <rowBreaks count="1" manualBreakCount="1">
    <brk id="42"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Education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Estimate of State Aid Entitlement Template</dc:title>
  <dc:subject/>
  <dc:creator>Division of State Funding</dc:creator>
  <cp:keywords/>
  <dc:description/>
  <cp:lastModifiedBy>nora rainey</cp:lastModifiedBy>
  <cp:lastPrinted>2010-05-18T14:26:44Z</cp:lastPrinted>
  <dcterms:created xsi:type="dcterms:W3CDTF">1998-05-05T01:54:51Z</dcterms:created>
  <dcterms:modified xsi:type="dcterms:W3CDTF">2010-05-18T14:53:33Z</dcterms:modified>
  <cp:category/>
  <cp:version/>
  <cp:contentType/>
  <cp:contentStatus/>
</cp:coreProperties>
</file>